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comments6.xml" ContentType="application/vnd.openxmlformats-officedocument.spreadsheetml.comments+xml"/>
  <Override PartName="/xl/comments29.xml" ContentType="application/vnd.openxmlformats-officedocument.spreadsheetml.comments+xml"/>
  <Default Extension="rels" ContentType="application/vnd.openxmlformats-package.relationships+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comments18.xml" ContentType="application/vnd.openxmlformats-officedocument.spreadsheetml.comments+xml"/>
  <Override PartName="/xl/comments27.xml" ContentType="application/vnd.openxmlformats-officedocument.spreadsheetml.comments+xml"/>
  <Override PartName="/xl/comments38.xml" ContentType="application/vnd.openxmlformats-officedocument.spreadsheetml.comments+xml"/>
  <Override PartName="/xl/worksheets/sheet3.xml" ContentType="application/vnd.openxmlformats-officedocument.spreadsheetml.worksheet+xml"/>
  <Override PartName="/xl/comments2.xml" ContentType="application/vnd.openxmlformats-officedocument.spreadsheetml.comments+xml"/>
  <Override PartName="/xl/comments16.xml" ContentType="application/vnd.openxmlformats-officedocument.spreadsheetml.comments+xml"/>
  <Override PartName="/xl/comments25.xml" ContentType="application/vnd.openxmlformats-officedocument.spreadsheetml.comments+xml"/>
  <Override PartName="/xl/comments36.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comments14.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21.xml" ContentType="application/vnd.openxmlformats-officedocument.spreadsheetml.comments+xml"/>
  <Override PartName="/xl/comments32.xml" ContentType="application/vnd.openxmlformats-officedocument.spreadsheetml.comment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comments10.xml" ContentType="application/vnd.openxmlformats-officedocument.spreadsheetml.comments+xml"/>
  <Override PartName="/xl/comments30.xml" ContentType="application/vnd.openxmlformats-officedocument.spreadsheetml.comment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omments7.xml" ContentType="application/vnd.openxmlformats-officedocument.spreadsheetml.comments+xml"/>
  <Override PartName="/xl/comments39.xml" ContentType="application/vnd.openxmlformats-officedocument.spreadsheetml.comment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xl/comments19.xml" ContentType="application/vnd.openxmlformats-officedocument.spreadsheetml.comments+xml"/>
  <Override PartName="/xl/comments28.xml" ContentType="application/vnd.openxmlformats-officedocument.spreadsheetml.comments+xml"/>
  <Override PartName="/xl/comments37.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comments3.xml" ContentType="application/vnd.openxmlformats-officedocument.spreadsheetml.comments+xml"/>
  <Override PartName="/xl/comments17.xml" ContentType="application/vnd.openxmlformats-officedocument.spreadsheetml.comments+xml"/>
  <Override PartName="/xl/comments26.xml" ContentType="application/vnd.openxmlformats-officedocument.spreadsheetml.comments+xml"/>
  <Override PartName="/xl/comments35.xml" ContentType="application/vnd.openxmlformats-officedocument.spreadsheetml.comments+xml"/>
  <Default Extension="vml" ContentType="application/vnd.openxmlformats-officedocument.vmlDrawing"/>
  <Override PartName="/xl/comments1.xml" ContentType="application/vnd.openxmlformats-officedocument.spreadsheetml.comments+xml"/>
  <Override PartName="/xl/comments15.xml" ContentType="application/vnd.openxmlformats-officedocument.spreadsheetml.comments+xml"/>
  <Override PartName="/xl/comments24.xml" ContentType="application/vnd.openxmlformats-officedocument.spreadsheetml.comments+xml"/>
  <Override PartName="/xl/comments33.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comments13.xml" ContentType="application/vnd.openxmlformats-officedocument.spreadsheetml.comments+xml"/>
  <Override PartName="/xl/comments22.xml" ContentType="application/vnd.openxmlformats-officedocument.spreadsheetml.comments+xml"/>
  <Override PartName="/xl/comments31.xml" ContentType="application/vnd.openxmlformats-officedocument.spreadsheetml.comments+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comments11.xml" ContentType="application/vnd.openxmlformats-officedocument.spreadsheetml.comments+xml"/>
  <Override PartName="/xl/comments20.xml" ContentType="application/vnd.openxmlformats-officedocument.spreadsheetml.comments+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640" yWindow="285" windowWidth="24675" windowHeight="13710" tabRatio="869" activeTab="3"/>
  </bookViews>
  <sheets>
    <sheet name="IEAData" sheetId="57" r:id="rId1"/>
    <sheet name="AuxData" sheetId="58" r:id="rId2"/>
    <sheet name="CalibData" sheetId="59" state="veryHidden" r:id="rId3"/>
    <sheet name="COMM" sheetId="60" r:id="rId4"/>
    <sheet name="AGR_Fuels" sheetId="61" r:id="rId5"/>
    <sheet name="AGR_Emi" sheetId="62" r:id="rId6"/>
    <sheet name="AGR" sheetId="63" r:id="rId7"/>
    <sheet name="RES_Fuels" sheetId="64" r:id="rId8"/>
    <sheet name="RES_Emi" sheetId="65" r:id="rId9"/>
    <sheet name="RHT" sheetId="66" r:id="rId10"/>
    <sheet name="RHW" sheetId="67" r:id="rId11"/>
    <sheet name="RCL" sheetId="68" r:id="rId12"/>
    <sheet name="RCK" sheetId="69" r:id="rId13"/>
    <sheet name="RLT" sheetId="70" r:id="rId14"/>
    <sheet name="ROT" sheetId="71" r:id="rId15"/>
    <sheet name="HeaTecs" sheetId="72" r:id="rId16"/>
    <sheet name="COM_Fuels" sheetId="73" r:id="rId17"/>
    <sheet name="COM_Emi" sheetId="74" r:id="rId18"/>
    <sheet name="CHT" sheetId="75" r:id="rId19"/>
    <sheet name="CHW" sheetId="76" r:id="rId20"/>
    <sheet name="CCL" sheetId="77" r:id="rId21"/>
    <sheet name="CCK" sheetId="78" r:id="rId22"/>
    <sheet name="CLA" sheetId="79" r:id="rId23"/>
    <sheet name="COT" sheetId="80" r:id="rId24"/>
    <sheet name="Processes" sheetId="81" r:id="rId25"/>
    <sheet name="Markets" sheetId="82" r:id="rId26"/>
    <sheet name="IEAData2" sheetId="1" r:id="rId27"/>
    <sheet name="AuxData2" sheetId="55" r:id="rId28"/>
    <sheet name="CalibData2" sheetId="52" state="veryHidden" r:id="rId29"/>
    <sheet name="COMM2" sheetId="50" r:id="rId30"/>
    <sheet name="AGR_Fuels2" sheetId="4" r:id="rId31"/>
    <sheet name="AGR2" sheetId="6" r:id="rId32"/>
    <sheet name="RES_Fuels2" sheetId="7" r:id="rId33"/>
    <sheet name="RHT2" sheetId="9" r:id="rId34"/>
    <sheet name="RHW2" sheetId="17" r:id="rId35"/>
    <sheet name="RCL2" sheetId="13" r:id="rId36"/>
    <sheet name="RCK2" sheetId="21" r:id="rId37"/>
    <sheet name="RLT2" sheetId="28" r:id="rId38"/>
    <sheet name="ROT2" sheetId="27" r:id="rId39"/>
    <sheet name="HeaTecs2" sheetId="56" r:id="rId40"/>
    <sheet name="COM_Fuels2" sheetId="32" r:id="rId41"/>
    <sheet name="CHT2" sheetId="34" r:id="rId42"/>
    <sheet name="CHW2" sheetId="42" r:id="rId43"/>
    <sheet name="CCL2" sheetId="38" r:id="rId44"/>
    <sheet name="CCK2" sheetId="44" r:id="rId45"/>
    <sheet name="CLA2" sheetId="43" r:id="rId46"/>
    <sheet name="COT2" sheetId="45" r:id="rId47"/>
    <sheet name="Markets2" sheetId="53" r:id="rId48"/>
  </sheets>
  <definedNames>
    <definedName name="AuxYear">AuxData2!$F$2</definedName>
    <definedName name="BaseYear">IEAData2!$F$2</definedName>
    <definedName name="HT_DD" localSheetId="6" hidden="1">CalibData!$N$132</definedName>
    <definedName name="HT_DD" localSheetId="5" hidden="1">CalibData!$N$132</definedName>
    <definedName name="HT_DD" localSheetId="4" hidden="1">CalibData!$N$132</definedName>
    <definedName name="HT_DD" localSheetId="1" hidden="1">CalibData!$N$132</definedName>
    <definedName name="HT_DD" localSheetId="2" hidden="1">CalibData!$N$132</definedName>
    <definedName name="HT_DD" localSheetId="21" hidden="1">CalibData!$N$132</definedName>
    <definedName name="HT_DD" localSheetId="20" hidden="1">CalibData!$N$132</definedName>
    <definedName name="HT_DD" localSheetId="18" hidden="1">CalibData!$N$132</definedName>
    <definedName name="HT_DD" localSheetId="19" hidden="1">CalibData!$N$132</definedName>
    <definedName name="HT_DD" localSheetId="22" hidden="1">CalibData!$N$132</definedName>
    <definedName name="HT_DD" localSheetId="17" hidden="1">CalibData!$N$132</definedName>
    <definedName name="HT_DD" localSheetId="16" hidden="1">CalibData!$N$132</definedName>
    <definedName name="HT_DD" localSheetId="3" hidden="1">CalibData!$N$132</definedName>
    <definedName name="HT_DD" localSheetId="23" hidden="1">CalibData!$N$132</definedName>
    <definedName name="HT_DD" localSheetId="15" hidden="1">CalibData!$N$132</definedName>
    <definedName name="HT_DD" localSheetId="0" hidden="1">CalibData!$N$132</definedName>
    <definedName name="HT_DD" localSheetId="25" hidden="1">CalibData!$N$132</definedName>
    <definedName name="HT_DD" localSheetId="24" hidden="1">CalibData!$N$132</definedName>
    <definedName name="HT_DD" localSheetId="12" hidden="1">CalibData!$N$132</definedName>
    <definedName name="HT_DD" localSheetId="11" hidden="1">CalibData!$N$132</definedName>
    <definedName name="HT_DD" localSheetId="8" hidden="1">CalibData!$N$132</definedName>
    <definedName name="HT_DD" localSheetId="7" hidden="1">CalibData!$N$132</definedName>
    <definedName name="HT_DD" localSheetId="9" hidden="1">CalibData!$N$132</definedName>
    <definedName name="HT_DD" localSheetId="10" hidden="1">CalibData!$N$132</definedName>
    <definedName name="HT_DD" localSheetId="13" hidden="1">CalibData!$N$132</definedName>
    <definedName name="HT_DD" localSheetId="14" hidden="1">CalibData!$N$132</definedName>
    <definedName name="HT_DD">CalibData2!$N$132</definedName>
    <definedName name="RegIndex" localSheetId="6" hidden="1">2</definedName>
    <definedName name="RegIndex" localSheetId="5" hidden="1">2</definedName>
    <definedName name="RegIndex" localSheetId="4" hidden="1">2</definedName>
    <definedName name="RegIndex" localSheetId="1" hidden="1">2</definedName>
    <definedName name="RegIndex" localSheetId="2" hidden="1">2</definedName>
    <definedName name="RegIndex" localSheetId="21" hidden="1">2</definedName>
    <definedName name="RegIndex" localSheetId="20" hidden="1">2</definedName>
    <definedName name="RegIndex" localSheetId="18" hidden="1">2</definedName>
    <definedName name="RegIndex" localSheetId="19" hidden="1">2</definedName>
    <definedName name="RegIndex" localSheetId="22" hidden="1">2</definedName>
    <definedName name="RegIndex" localSheetId="17" hidden="1">2</definedName>
    <definedName name="RegIndex" localSheetId="16" hidden="1">2</definedName>
    <definedName name="RegIndex" localSheetId="3" hidden="1">2</definedName>
    <definedName name="RegIndex" localSheetId="23" hidden="1">2</definedName>
    <definedName name="RegIndex" localSheetId="15" hidden="1">2</definedName>
    <definedName name="RegIndex" localSheetId="0" hidden="1">2</definedName>
    <definedName name="RegIndex" localSheetId="25" hidden="1">2</definedName>
    <definedName name="RegIndex" localSheetId="24" hidden="1">2</definedName>
    <definedName name="RegIndex" localSheetId="12" hidden="1">2</definedName>
    <definedName name="RegIndex" localSheetId="11" hidden="1">2</definedName>
    <definedName name="RegIndex" localSheetId="8" hidden="1">2</definedName>
    <definedName name="RegIndex" localSheetId="7" hidden="1">2</definedName>
    <definedName name="RegIndex" localSheetId="9" hidden="1">2</definedName>
    <definedName name="RegIndex" localSheetId="10" hidden="1">2</definedName>
    <definedName name="RegIndex" localSheetId="13" hidden="1">2</definedName>
    <definedName name="RegIndex" localSheetId="14" hidden="1">2</definedName>
    <definedName name="RegIndex">3</definedName>
    <definedName name="Region" localSheetId="6" hidden="1">"FIN"</definedName>
    <definedName name="Region" localSheetId="5" hidden="1">"FIN"</definedName>
    <definedName name="Region" localSheetId="4" hidden="1">"FIN"</definedName>
    <definedName name="Region" localSheetId="1" hidden="1">"FIN"</definedName>
    <definedName name="Region" localSheetId="2" hidden="1">"FIN"</definedName>
    <definedName name="Region" localSheetId="21" hidden="1">"FIN"</definedName>
    <definedName name="Region" localSheetId="20" hidden="1">"FIN"</definedName>
    <definedName name="Region" localSheetId="18" hidden="1">"FIN"</definedName>
    <definedName name="Region" localSheetId="19" hidden="1">"FIN"</definedName>
    <definedName name="Region" localSheetId="22" hidden="1">"FIN"</definedName>
    <definedName name="Region" localSheetId="17" hidden="1">"FIN"</definedName>
    <definedName name="Region" localSheetId="16" hidden="1">"FIN"</definedName>
    <definedName name="Region" localSheetId="3" hidden="1">"FIN"</definedName>
    <definedName name="Region" localSheetId="23" hidden="1">"FIN"</definedName>
    <definedName name="Region" localSheetId="15" hidden="1">"FIN"</definedName>
    <definedName name="Region" localSheetId="0" hidden="1">"FIN"</definedName>
    <definedName name="Region" localSheetId="25" hidden="1">"FIN"</definedName>
    <definedName name="Region" localSheetId="24" hidden="1">"FIN"</definedName>
    <definedName name="Region" localSheetId="12" hidden="1">"FIN"</definedName>
    <definedName name="Region" localSheetId="11" hidden="1">"FIN"</definedName>
    <definedName name="Region" localSheetId="8" hidden="1">"FIN"</definedName>
    <definedName name="Region" localSheetId="7" hidden="1">"FIN"</definedName>
    <definedName name="Region" localSheetId="9" hidden="1">"FIN"</definedName>
    <definedName name="Region" localSheetId="10" hidden="1">"FIN"</definedName>
    <definedName name="Region" localSheetId="13" hidden="1">"FIN"</definedName>
    <definedName name="Region" localSheetId="14" hidden="1">"FIN"</definedName>
    <definedName name="Region">"FIM"</definedName>
    <definedName name="TechShar" localSheetId="6" hidden="1">CalibData!$N$78</definedName>
    <definedName name="TechShar" localSheetId="5" hidden="1">CalibData!$N$78</definedName>
    <definedName name="TechShar" localSheetId="4" hidden="1">CalibData!$N$78</definedName>
    <definedName name="TechShar" localSheetId="1" hidden="1">CalibData!$N$78</definedName>
    <definedName name="TechShar" localSheetId="2" hidden="1">CalibData!$N$78</definedName>
    <definedName name="TechShar" localSheetId="21" hidden="1">CalibData!$N$78</definedName>
    <definedName name="TechShar" localSheetId="20" hidden="1">CalibData!$N$78</definedName>
    <definedName name="TechShar" localSheetId="18" hidden="1">CalibData!$N$78</definedName>
    <definedName name="TechShar" localSheetId="19" hidden="1">CalibData!$N$78</definedName>
    <definedName name="TechShar" localSheetId="22" hidden="1">CalibData!$N$78</definedName>
    <definedName name="TechShar" localSheetId="17" hidden="1">CalibData!$N$78</definedName>
    <definedName name="TechShar" localSheetId="16" hidden="1">CalibData!$N$78</definedName>
    <definedName name="TechShar" localSheetId="3" hidden="1">CalibData!$N$78</definedName>
    <definedName name="TechShar" localSheetId="23" hidden="1">CalibData!$N$78</definedName>
    <definedName name="TechShar" localSheetId="15" hidden="1">CalibData!$N$78</definedName>
    <definedName name="TechShar" localSheetId="0" hidden="1">CalibData!$N$78</definedName>
    <definedName name="TechShar" localSheetId="25" hidden="1">CalibData!$N$78</definedName>
    <definedName name="TechShar" localSheetId="24" hidden="1">CalibData!$N$78</definedName>
    <definedName name="TechShar" localSheetId="12" hidden="1">CalibData!$N$78</definedName>
    <definedName name="TechShar" localSheetId="11" hidden="1">CalibData!$N$78</definedName>
    <definedName name="TechShar" localSheetId="8" hidden="1">CalibData!$N$78</definedName>
    <definedName name="TechShar" localSheetId="7" hidden="1">CalibData!$N$78</definedName>
    <definedName name="TechShar" localSheetId="9" hidden="1">CalibData!$N$78</definedName>
    <definedName name="TechShar" localSheetId="10" hidden="1">CalibData!$N$78</definedName>
    <definedName name="TechShar" localSheetId="13" hidden="1">CalibData!$N$78</definedName>
    <definedName name="TechShar" localSheetId="14" hidden="1">CalibData!$N$78</definedName>
    <definedName name="TechShar">CalibData2!$N$78</definedName>
    <definedName name="Tiny">IEAData2!$S$1</definedName>
  </definedNames>
  <calcPr calcId="114210" calcMode="manual"/>
</workbook>
</file>

<file path=xl/calcChain.xml><?xml version="1.0" encoding="utf-8"?>
<calcChain xmlns="http://schemas.openxmlformats.org/spreadsheetml/2006/main">
  <c r="Q1" i="57"/>
  <c r="Q2"/>
  <c r="G9"/>
  <c r="I9"/>
  <c r="G10"/>
  <c r="I10"/>
  <c r="G11"/>
  <c r="I11"/>
  <c r="G12"/>
  <c r="I12"/>
  <c r="G13"/>
  <c r="I13"/>
  <c r="G14"/>
  <c r="I14"/>
  <c r="G15"/>
  <c r="I15"/>
  <c r="G16"/>
  <c r="I16"/>
  <c r="G17"/>
  <c r="I17"/>
  <c r="G18"/>
  <c r="I18"/>
  <c r="G19"/>
  <c r="I19"/>
  <c r="D31"/>
  <c r="M76" i="59"/>
  <c r="M75"/>
  <c r="M74"/>
  <c r="M73"/>
  <c r="M72"/>
  <c r="M71"/>
  <c r="M70"/>
  <c r="M69"/>
  <c r="M68"/>
  <c r="M67"/>
  <c r="M66"/>
  <c r="M65"/>
  <c r="M64"/>
  <c r="M63"/>
  <c r="M62"/>
  <c r="M61"/>
  <c r="M60"/>
  <c r="M59"/>
  <c r="M58"/>
  <c r="M57"/>
  <c r="M56"/>
  <c r="M55"/>
  <c r="M54"/>
  <c r="M53"/>
  <c r="M52"/>
  <c r="M51"/>
  <c r="M50"/>
  <c r="M49"/>
  <c r="M48"/>
  <c r="M47"/>
  <c r="M46"/>
  <c r="M45"/>
  <c r="M44"/>
  <c r="M43"/>
  <c r="M42"/>
  <c r="M41"/>
  <c r="M40"/>
  <c r="M39"/>
  <c r="M38"/>
  <c r="M37"/>
  <c r="M36"/>
  <c r="M35"/>
  <c r="M34"/>
  <c r="M33"/>
  <c r="M32"/>
  <c r="M31"/>
  <c r="M30"/>
  <c r="M29"/>
  <c r="M28"/>
  <c r="M27"/>
  <c r="M26"/>
  <c r="M25"/>
  <c r="M24"/>
  <c r="M23"/>
  <c r="M22"/>
  <c r="M21"/>
  <c r="M20"/>
  <c r="M19"/>
  <c r="M18"/>
  <c r="M17"/>
  <c r="M16"/>
  <c r="M15"/>
  <c r="M14"/>
  <c r="M13"/>
  <c r="M12"/>
  <c r="M11"/>
  <c r="M10"/>
  <c r="M9"/>
  <c r="M8"/>
  <c r="M7"/>
  <c r="M6"/>
  <c r="M5"/>
  <c r="M4"/>
  <c r="N4"/>
  <c r="C36" i="57"/>
  <c r="N7" i="59"/>
  <c r="D36" i="57"/>
  <c r="N19" i="59"/>
  <c r="F36" i="57"/>
  <c r="N21" i="59"/>
  <c r="G36" i="57"/>
  <c r="N30" i="59"/>
  <c r="J36" i="57"/>
  <c r="B36"/>
  <c r="M36"/>
  <c r="N8" i="59"/>
  <c r="D37" i="57"/>
  <c r="N22" i="59"/>
  <c r="G37" i="57"/>
  <c r="N31" i="59"/>
  <c r="J37" i="57"/>
  <c r="B37"/>
  <c r="M37"/>
  <c r="N9" i="59"/>
  <c r="D38" i="57"/>
  <c r="J38"/>
  <c r="B38"/>
  <c r="M38"/>
  <c r="N10" i="59"/>
  <c r="D39" i="57"/>
  <c r="N23" i="59"/>
  <c r="G39" i="57"/>
  <c r="N32" i="59"/>
  <c r="J39" i="57"/>
  <c r="N36" i="59"/>
  <c r="L39" i="57"/>
  <c r="B39"/>
  <c r="M39"/>
  <c r="N11" i="59"/>
  <c r="D40" i="57"/>
  <c r="G40"/>
  <c r="J40"/>
  <c r="B40"/>
  <c r="M40"/>
  <c r="N12" i="59"/>
  <c r="D41" i="57"/>
  <c r="N24" i="59"/>
  <c r="G41" i="57"/>
  <c r="N33" i="59"/>
  <c r="J41" i="57"/>
  <c r="B41"/>
  <c r="M41"/>
  <c r="N13" i="59"/>
  <c r="D42" i="57"/>
  <c r="N25" i="59"/>
  <c r="G42" i="57"/>
  <c r="N34" i="59"/>
  <c r="J42" i="57"/>
  <c r="B42"/>
  <c r="M42"/>
  <c r="N5" i="59"/>
  <c r="C43" i="57"/>
  <c r="N14" i="59"/>
  <c r="D43" i="57"/>
  <c r="N18" i="59"/>
  <c r="E43" i="57"/>
  <c r="N20" i="59"/>
  <c r="F43" i="57"/>
  <c r="N26" i="59"/>
  <c r="G43" i="57"/>
  <c r="N28" i="59"/>
  <c r="H43" i="57"/>
  <c r="N29" i="59"/>
  <c r="I43" i="57"/>
  <c r="N35" i="59"/>
  <c r="K43" i="57"/>
  <c r="N37" i="59"/>
  <c r="L43" i="57"/>
  <c r="B43"/>
  <c r="M43"/>
  <c r="N15" i="59"/>
  <c r="D44" i="57"/>
  <c r="J44"/>
  <c r="B44"/>
  <c r="M44"/>
  <c r="N6" i="59"/>
  <c r="C45" i="57"/>
  <c r="N16" i="59"/>
  <c r="D45" i="57"/>
  <c r="J45"/>
  <c r="B45"/>
  <c r="M45"/>
  <c r="N17" i="59"/>
  <c r="D46" i="57"/>
  <c r="N27" i="59"/>
  <c r="G46" i="57"/>
  <c r="J46"/>
  <c r="B46"/>
  <c r="M46"/>
  <c r="B51"/>
  <c r="C51"/>
  <c r="D51"/>
  <c r="E51"/>
  <c r="H51"/>
  <c r="I51"/>
  <c r="J51"/>
  <c r="K51"/>
  <c r="N38" i="59"/>
  <c r="C52" i="57"/>
  <c r="D52"/>
  <c r="E52"/>
  <c r="B52"/>
  <c r="F52"/>
  <c r="I52"/>
  <c r="H52"/>
  <c r="N46" i="59"/>
  <c r="C60" i="57"/>
  <c r="D60"/>
  <c r="E60"/>
  <c r="B60"/>
  <c r="K60"/>
  <c r="K52"/>
  <c r="J52"/>
  <c r="L52"/>
  <c r="N39" i="59"/>
  <c r="C53" i="57"/>
  <c r="D53"/>
  <c r="E53"/>
  <c r="B53"/>
  <c r="F53"/>
  <c r="I53"/>
  <c r="H53"/>
  <c r="K53"/>
  <c r="J53"/>
  <c r="L53"/>
  <c r="N40" i="59"/>
  <c r="C54" i="57"/>
  <c r="D54"/>
  <c r="E54"/>
  <c r="B54"/>
  <c r="F54"/>
  <c r="I54"/>
  <c r="H54"/>
  <c r="K54"/>
  <c r="J54"/>
  <c r="L54"/>
  <c r="N41" i="59"/>
  <c r="C55" i="57"/>
  <c r="D55"/>
  <c r="E55"/>
  <c r="B55"/>
  <c r="F55"/>
  <c r="I55"/>
  <c r="H55"/>
  <c r="K55"/>
  <c r="J55"/>
  <c r="L55"/>
  <c r="N42" i="59"/>
  <c r="C56" i="57"/>
  <c r="D56"/>
  <c r="E56"/>
  <c r="B56"/>
  <c r="F56"/>
  <c r="I56"/>
  <c r="H56"/>
  <c r="K56"/>
  <c r="J56"/>
  <c r="L56"/>
  <c r="N43" i="59"/>
  <c r="C57" i="57"/>
  <c r="D57"/>
  <c r="E57"/>
  <c r="B57"/>
  <c r="F57"/>
  <c r="I57"/>
  <c r="H57"/>
  <c r="K57"/>
  <c r="J57"/>
  <c r="L57"/>
  <c r="N44" i="59"/>
  <c r="C58" i="57"/>
  <c r="D58"/>
  <c r="E58"/>
  <c r="B58"/>
  <c r="F58"/>
  <c r="I58"/>
  <c r="H58"/>
  <c r="K58"/>
  <c r="J58"/>
  <c r="L58"/>
  <c r="N45" i="59"/>
  <c r="C59" i="57"/>
  <c r="D59"/>
  <c r="E59"/>
  <c r="B59"/>
  <c r="F59"/>
  <c r="I59"/>
  <c r="H59"/>
  <c r="K59"/>
  <c r="J59"/>
  <c r="L59"/>
  <c r="F60"/>
  <c r="I60"/>
  <c r="H60"/>
  <c r="J60"/>
  <c r="L60"/>
  <c r="N47" i="59"/>
  <c r="C61" i="57"/>
  <c r="D61"/>
  <c r="E61"/>
  <c r="B61"/>
  <c r="F61"/>
  <c r="I61"/>
  <c r="H61"/>
  <c r="K61"/>
  <c r="J61"/>
  <c r="L61"/>
  <c r="N48" i="59"/>
  <c r="C62" i="57"/>
  <c r="D62"/>
  <c r="E62"/>
  <c r="B62"/>
  <c r="F62"/>
  <c r="I62"/>
  <c r="H62"/>
  <c r="K62"/>
  <c r="J62"/>
  <c r="L62"/>
  <c r="B65"/>
  <c r="C65"/>
  <c r="D65"/>
  <c r="E65"/>
  <c r="H65"/>
  <c r="I65"/>
  <c r="C66"/>
  <c r="D66"/>
  <c r="E66"/>
  <c r="B66"/>
  <c r="F66"/>
  <c r="I66"/>
  <c r="H66"/>
  <c r="L66"/>
  <c r="C67"/>
  <c r="D67"/>
  <c r="E67"/>
  <c r="B67"/>
  <c r="F67"/>
  <c r="I67"/>
  <c r="H67"/>
  <c r="L67"/>
  <c r="C68"/>
  <c r="D68"/>
  <c r="E68"/>
  <c r="B68"/>
  <c r="F68"/>
  <c r="I68"/>
  <c r="H68"/>
  <c r="L68"/>
  <c r="C69"/>
  <c r="D69"/>
  <c r="E69"/>
  <c r="B69"/>
  <c r="F69"/>
  <c r="I69"/>
  <c r="H69"/>
  <c r="L69"/>
  <c r="C70"/>
  <c r="D70"/>
  <c r="E70"/>
  <c r="B70"/>
  <c r="F70"/>
  <c r="I70"/>
  <c r="H70"/>
  <c r="L70"/>
  <c r="C71"/>
  <c r="D71"/>
  <c r="E71"/>
  <c r="B71"/>
  <c r="F71"/>
  <c r="I71"/>
  <c r="H71"/>
  <c r="L71"/>
  <c r="C72"/>
  <c r="D72"/>
  <c r="E72"/>
  <c r="B72"/>
  <c r="F72"/>
  <c r="I72"/>
  <c r="H72"/>
  <c r="L72"/>
  <c r="C73"/>
  <c r="D73"/>
  <c r="E73"/>
  <c r="B73"/>
  <c r="F73"/>
  <c r="I73"/>
  <c r="H73"/>
  <c r="L73"/>
  <c r="C74"/>
  <c r="D74"/>
  <c r="E74"/>
  <c r="B74"/>
  <c r="F74"/>
  <c r="I74"/>
  <c r="H74"/>
  <c r="L74"/>
  <c r="C75"/>
  <c r="D75"/>
  <c r="E75"/>
  <c r="B75"/>
  <c r="F75"/>
  <c r="I75"/>
  <c r="H75"/>
  <c r="L75"/>
  <c r="C76"/>
  <c r="D76"/>
  <c r="E76"/>
  <c r="B76"/>
  <c r="F76"/>
  <c r="I76"/>
  <c r="H76"/>
  <c r="L76"/>
  <c r="B81"/>
  <c r="C81"/>
  <c r="D81"/>
  <c r="E81"/>
  <c r="F81"/>
  <c r="G81"/>
  <c r="H81"/>
  <c r="I81"/>
  <c r="J81"/>
  <c r="K81"/>
  <c r="L81"/>
  <c r="M81"/>
  <c r="B82"/>
  <c r="B83"/>
  <c r="B84"/>
  <c r="B85"/>
  <c r="B86"/>
  <c r="B87"/>
  <c r="B88"/>
  <c r="B89"/>
  <c r="B90"/>
  <c r="B91"/>
  <c r="B92"/>
  <c r="C88"/>
  <c r="C90"/>
  <c r="C92"/>
  <c r="D82"/>
  <c r="D83"/>
  <c r="D84"/>
  <c r="D85"/>
  <c r="D86"/>
  <c r="D87"/>
  <c r="D88"/>
  <c r="D89"/>
  <c r="D90"/>
  <c r="D91"/>
  <c r="D92"/>
  <c r="E88"/>
  <c r="E92"/>
  <c r="F88"/>
  <c r="F92"/>
  <c r="G82"/>
  <c r="G84"/>
  <c r="G85"/>
  <c r="G86"/>
  <c r="G87"/>
  <c r="G88"/>
  <c r="G91"/>
  <c r="G92"/>
  <c r="H88"/>
  <c r="H92"/>
  <c r="I88"/>
  <c r="I92"/>
  <c r="J82"/>
  <c r="J83"/>
  <c r="J84"/>
  <c r="J85"/>
  <c r="J86"/>
  <c r="J87"/>
  <c r="J89"/>
  <c r="J90"/>
  <c r="J91"/>
  <c r="J92"/>
  <c r="K88"/>
  <c r="K92"/>
  <c r="L84"/>
  <c r="L88"/>
  <c r="L92"/>
  <c r="M92"/>
  <c r="N81"/>
  <c r="P81"/>
  <c r="Q81"/>
  <c r="C82"/>
  <c r="E82"/>
  <c r="F82"/>
  <c r="H82"/>
  <c r="I82"/>
  <c r="K82"/>
  <c r="L82"/>
  <c r="M82"/>
  <c r="N82"/>
  <c r="P82"/>
  <c r="Q82"/>
  <c r="C83"/>
  <c r="E83"/>
  <c r="F83"/>
  <c r="G83"/>
  <c r="H83"/>
  <c r="I83"/>
  <c r="K83"/>
  <c r="L83"/>
  <c r="M83"/>
  <c r="N83"/>
  <c r="P83"/>
  <c r="Q83"/>
  <c r="C84"/>
  <c r="E84"/>
  <c r="F84"/>
  <c r="H84"/>
  <c r="I84"/>
  <c r="K84"/>
  <c r="M84"/>
  <c r="N84"/>
  <c r="P84"/>
  <c r="Q84"/>
  <c r="C85"/>
  <c r="E85"/>
  <c r="F85"/>
  <c r="H85"/>
  <c r="I85"/>
  <c r="K85"/>
  <c r="L85"/>
  <c r="M85"/>
  <c r="N85"/>
  <c r="P85"/>
  <c r="Q85"/>
  <c r="C86"/>
  <c r="E86"/>
  <c r="F86"/>
  <c r="H86"/>
  <c r="I86"/>
  <c r="K86"/>
  <c r="L86"/>
  <c r="M86"/>
  <c r="N86"/>
  <c r="P86"/>
  <c r="Q86"/>
  <c r="C87"/>
  <c r="E87"/>
  <c r="F87"/>
  <c r="H87"/>
  <c r="I87"/>
  <c r="K87"/>
  <c r="L87"/>
  <c r="M87"/>
  <c r="N87"/>
  <c r="P87"/>
  <c r="Q87"/>
  <c r="J88"/>
  <c r="M88"/>
  <c r="N88"/>
  <c r="P88"/>
  <c r="Q88"/>
  <c r="C89"/>
  <c r="E89"/>
  <c r="F89"/>
  <c r="G89"/>
  <c r="H89"/>
  <c r="I89"/>
  <c r="K89"/>
  <c r="L89"/>
  <c r="M89"/>
  <c r="N89"/>
  <c r="P89"/>
  <c r="Q89"/>
  <c r="E90"/>
  <c r="F90"/>
  <c r="G90"/>
  <c r="H90"/>
  <c r="I90"/>
  <c r="K90"/>
  <c r="L90"/>
  <c r="M90"/>
  <c r="N90"/>
  <c r="P90"/>
  <c r="Q90"/>
  <c r="C91"/>
  <c r="E91"/>
  <c r="F91"/>
  <c r="H91"/>
  <c r="I91"/>
  <c r="K91"/>
  <c r="L91"/>
  <c r="M91"/>
  <c r="N91"/>
  <c r="P91"/>
  <c r="Q91"/>
  <c r="B93"/>
  <c r="C93"/>
  <c r="D93"/>
  <c r="E93"/>
  <c r="F93"/>
  <c r="G93"/>
  <c r="H93"/>
  <c r="I93"/>
  <c r="J93"/>
  <c r="K93"/>
  <c r="L93"/>
  <c r="M93"/>
  <c r="G99"/>
  <c r="G100"/>
  <c r="G101"/>
  <c r="G102"/>
  <c r="G103"/>
  <c r="G104"/>
  <c r="O104"/>
  <c r="P104"/>
  <c r="G105"/>
  <c r="G106"/>
  <c r="G107"/>
  <c r="G108"/>
  <c r="G109"/>
  <c r="D121"/>
  <c r="N49" i="59"/>
  <c r="C127" i="57"/>
  <c r="N54" i="59"/>
  <c r="D127" i="57"/>
  <c r="N67" i="59"/>
  <c r="F127" i="57"/>
  <c r="N74" i="59"/>
  <c r="I127" i="57"/>
  <c r="B127"/>
  <c r="J127"/>
  <c r="K127"/>
  <c r="N50" i="59"/>
  <c r="C128" i="57"/>
  <c r="N55" i="59"/>
  <c r="D128" i="57"/>
  <c r="F128"/>
  <c r="N75" i="59"/>
  <c r="I128" i="57"/>
  <c r="B128"/>
  <c r="J128"/>
  <c r="K128"/>
  <c r="N56" i="59"/>
  <c r="D129" i="57"/>
  <c r="B129"/>
  <c r="J129"/>
  <c r="K129"/>
  <c r="N57" i="59"/>
  <c r="D130" i="57"/>
  <c r="N65" i="59"/>
  <c r="E130" i="57"/>
  <c r="N68" i="59"/>
  <c r="F130" i="57"/>
  <c r="B130"/>
  <c r="J130"/>
  <c r="K130"/>
  <c r="N58" i="59"/>
  <c r="D131" i="57"/>
  <c r="F131"/>
  <c r="B131"/>
  <c r="J131"/>
  <c r="K131"/>
  <c r="N59" i="59"/>
  <c r="D132" i="57"/>
  <c r="N69" i="59"/>
  <c r="F132" i="57"/>
  <c r="B132"/>
  <c r="J132"/>
  <c r="K132"/>
  <c r="N60" i="59"/>
  <c r="D133" i="57"/>
  <c r="F133"/>
  <c r="B133"/>
  <c r="J133"/>
  <c r="K133"/>
  <c r="N51" i="59"/>
  <c r="C134" i="57"/>
  <c r="N61" i="59"/>
  <c r="D134" i="57"/>
  <c r="N66" i="59"/>
  <c r="E134" i="57"/>
  <c r="N70" i="59"/>
  <c r="F134" i="57"/>
  <c r="N72" i="59"/>
  <c r="G134" i="57"/>
  <c r="N73" i="59"/>
  <c r="H134" i="57"/>
  <c r="N76" i="59"/>
  <c r="I134" i="57"/>
  <c r="B134"/>
  <c r="J134"/>
  <c r="K134"/>
  <c r="N52" i="59"/>
  <c r="C135" i="57"/>
  <c r="N62" i="59"/>
  <c r="D135" i="57"/>
  <c r="B135"/>
  <c r="J135"/>
  <c r="K135"/>
  <c r="N53" i="59"/>
  <c r="C136" i="57"/>
  <c r="N63" i="59"/>
  <c r="D136" i="57"/>
  <c r="B136"/>
  <c r="J136"/>
  <c r="K136"/>
  <c r="N64" i="59"/>
  <c r="D137" i="57"/>
  <c r="N71" i="59"/>
  <c r="F137" i="57"/>
  <c r="B137"/>
  <c r="J137"/>
  <c r="K137"/>
  <c r="B144"/>
  <c r="C144"/>
  <c r="D144"/>
  <c r="E144"/>
  <c r="C145"/>
  <c r="D145"/>
  <c r="E145"/>
  <c r="B145"/>
  <c r="F145"/>
  <c r="C146"/>
  <c r="D146"/>
  <c r="E146"/>
  <c r="B146"/>
  <c r="F146"/>
  <c r="C147"/>
  <c r="D147"/>
  <c r="E147"/>
  <c r="B147"/>
  <c r="F147"/>
  <c r="C148"/>
  <c r="D148"/>
  <c r="E148"/>
  <c r="B148"/>
  <c r="F148"/>
  <c r="C149"/>
  <c r="D149"/>
  <c r="E149"/>
  <c r="B149"/>
  <c r="F149"/>
  <c r="C150"/>
  <c r="D150"/>
  <c r="E150"/>
  <c r="B150"/>
  <c r="F150"/>
  <c r="C151"/>
  <c r="D151"/>
  <c r="E151"/>
  <c r="B151"/>
  <c r="F151"/>
  <c r="C152"/>
  <c r="D152"/>
  <c r="E152"/>
  <c r="B152"/>
  <c r="F152"/>
  <c r="C153"/>
  <c r="D153"/>
  <c r="E153"/>
  <c r="B153"/>
  <c r="F153"/>
  <c r="C154"/>
  <c r="D154"/>
  <c r="E154"/>
  <c r="B154"/>
  <c r="F154"/>
  <c r="B157"/>
  <c r="C157"/>
  <c r="D157"/>
  <c r="E157"/>
  <c r="C158"/>
  <c r="D158"/>
  <c r="E158"/>
  <c r="B158"/>
  <c r="F158"/>
  <c r="C159"/>
  <c r="D159"/>
  <c r="E159"/>
  <c r="B159"/>
  <c r="F159"/>
  <c r="C160"/>
  <c r="D160"/>
  <c r="E160"/>
  <c r="B160"/>
  <c r="F160"/>
  <c r="C161"/>
  <c r="D161"/>
  <c r="E161"/>
  <c r="B161"/>
  <c r="F161"/>
  <c r="C162"/>
  <c r="D162"/>
  <c r="E162"/>
  <c r="B162"/>
  <c r="F162"/>
  <c r="C163"/>
  <c r="D163"/>
  <c r="E163"/>
  <c r="B163"/>
  <c r="F163"/>
  <c r="C164"/>
  <c r="D164"/>
  <c r="E164"/>
  <c r="B164"/>
  <c r="F164"/>
  <c r="C165"/>
  <c r="D165"/>
  <c r="E165"/>
  <c r="B165"/>
  <c r="F165"/>
  <c r="C166"/>
  <c r="D166"/>
  <c r="E166"/>
  <c r="B166"/>
  <c r="F166"/>
  <c r="C167"/>
  <c r="D167"/>
  <c r="E167"/>
  <c r="B167"/>
  <c r="F167"/>
  <c r="B172"/>
  <c r="C172"/>
  <c r="D172"/>
  <c r="E172"/>
  <c r="F172"/>
  <c r="G172"/>
  <c r="H172"/>
  <c r="I172"/>
  <c r="J172"/>
  <c r="B173"/>
  <c r="B174"/>
  <c r="B175"/>
  <c r="B176"/>
  <c r="B177"/>
  <c r="B178"/>
  <c r="B179"/>
  <c r="B180"/>
  <c r="B181"/>
  <c r="B182"/>
  <c r="B183"/>
  <c r="C173"/>
  <c r="C179"/>
  <c r="C180"/>
  <c r="C181"/>
  <c r="C183"/>
  <c r="D173"/>
  <c r="D174"/>
  <c r="D175"/>
  <c r="D176"/>
  <c r="D177"/>
  <c r="D178"/>
  <c r="D179"/>
  <c r="D180"/>
  <c r="D181"/>
  <c r="D182"/>
  <c r="D183"/>
  <c r="E175"/>
  <c r="E179"/>
  <c r="E183"/>
  <c r="F173"/>
  <c r="F175"/>
  <c r="F176"/>
  <c r="F177"/>
  <c r="F178"/>
  <c r="F179"/>
  <c r="F182"/>
  <c r="F183"/>
  <c r="G179"/>
  <c r="G183"/>
  <c r="H179"/>
  <c r="H183"/>
  <c r="I173"/>
  <c r="I179"/>
  <c r="I183"/>
  <c r="J183"/>
  <c r="K172"/>
  <c r="E173"/>
  <c r="G173"/>
  <c r="H173"/>
  <c r="J173"/>
  <c r="K173"/>
  <c r="C174"/>
  <c r="E174"/>
  <c r="F174"/>
  <c r="G174"/>
  <c r="H174"/>
  <c r="I174"/>
  <c r="J174"/>
  <c r="K174"/>
  <c r="C175"/>
  <c r="G175"/>
  <c r="H175"/>
  <c r="I175"/>
  <c r="J175"/>
  <c r="K175"/>
  <c r="A176"/>
  <c r="C176"/>
  <c r="E176"/>
  <c r="G176"/>
  <c r="H176"/>
  <c r="I176"/>
  <c r="J176"/>
  <c r="K176"/>
  <c r="C177"/>
  <c r="E177"/>
  <c r="G177"/>
  <c r="H177"/>
  <c r="I177"/>
  <c r="J177"/>
  <c r="K177"/>
  <c r="C178"/>
  <c r="E178"/>
  <c r="G178"/>
  <c r="H178"/>
  <c r="I178"/>
  <c r="J178"/>
  <c r="K178"/>
  <c r="J179"/>
  <c r="K179"/>
  <c r="A180"/>
  <c r="E180"/>
  <c r="F180"/>
  <c r="G180"/>
  <c r="H180"/>
  <c r="I180"/>
  <c r="J180"/>
  <c r="K180"/>
  <c r="E181"/>
  <c r="F181"/>
  <c r="G181"/>
  <c r="H181"/>
  <c r="I181"/>
  <c r="J181"/>
  <c r="K181"/>
  <c r="C182"/>
  <c r="E182"/>
  <c r="G182"/>
  <c r="H182"/>
  <c r="I182"/>
  <c r="J182"/>
  <c r="K182"/>
  <c r="K183"/>
  <c r="B184"/>
  <c r="C184"/>
  <c r="D184"/>
  <c r="E184"/>
  <c r="F184"/>
  <c r="G184"/>
  <c r="H184"/>
  <c r="I184"/>
  <c r="J184"/>
  <c r="G190"/>
  <c r="N190"/>
  <c r="O190"/>
  <c r="O190" a="1"/>
  <c r="P190"/>
  <c r="Q190"/>
  <c r="G191"/>
  <c r="N191"/>
  <c r="O191"/>
  <c r="P191"/>
  <c r="Q191"/>
  <c r="G192"/>
  <c r="N192"/>
  <c r="O192"/>
  <c r="P192"/>
  <c r="Q192"/>
  <c r="G193"/>
  <c r="N193"/>
  <c r="O193"/>
  <c r="P193"/>
  <c r="Q193"/>
  <c r="G194"/>
  <c r="N194"/>
  <c r="O194"/>
  <c r="P194"/>
  <c r="Q194"/>
  <c r="G195"/>
  <c r="N195"/>
  <c r="O195"/>
  <c r="P195"/>
  <c r="Q195"/>
  <c r="G196"/>
  <c r="N196"/>
  <c r="O196"/>
  <c r="P196"/>
  <c r="Q196"/>
  <c r="G197"/>
  <c r="N197"/>
  <c r="O197"/>
  <c r="P197"/>
  <c r="Q197"/>
  <c r="G198"/>
  <c r="N198"/>
  <c r="O198"/>
  <c r="P198"/>
  <c r="Q198"/>
  <c r="G199"/>
  <c r="N199"/>
  <c r="O199"/>
  <c r="P199"/>
  <c r="Q199"/>
  <c r="G200"/>
  <c r="N200"/>
  <c r="O200"/>
  <c r="P200"/>
  <c r="Q200"/>
  <c r="G201"/>
  <c r="N201"/>
  <c r="O201"/>
  <c r="P201"/>
  <c r="Q201"/>
  <c r="G202"/>
  <c r="L202"/>
  <c r="M202"/>
  <c r="N202"/>
  <c r="D212"/>
  <c r="Q1" i="58"/>
  <c r="Q2"/>
  <c r="G9"/>
  <c r="I9"/>
  <c r="G10"/>
  <c r="I10"/>
  <c r="G11"/>
  <c r="I11"/>
  <c r="G12"/>
  <c r="I12"/>
  <c r="G13"/>
  <c r="I13"/>
  <c r="G14"/>
  <c r="I14"/>
  <c r="G15"/>
  <c r="I15"/>
  <c r="G16"/>
  <c r="I16"/>
  <c r="G17"/>
  <c r="I17"/>
  <c r="G18"/>
  <c r="I18"/>
  <c r="G19"/>
  <c r="I19"/>
  <c r="D31"/>
  <c r="O4" i="59"/>
  <c r="C36" i="58"/>
  <c r="O7" i="59"/>
  <c r="D36" i="58"/>
  <c r="O19" i="59"/>
  <c r="F36" i="58"/>
  <c r="O21" i="59"/>
  <c r="G36" i="58"/>
  <c r="O30" i="59"/>
  <c r="J36" i="58"/>
  <c r="B36"/>
  <c r="M36"/>
  <c r="O8" i="59"/>
  <c r="D37" i="58"/>
  <c r="O22" i="59"/>
  <c r="G37" i="58"/>
  <c r="O31" i="59"/>
  <c r="J37" i="58"/>
  <c r="B37"/>
  <c r="M37"/>
  <c r="O9" i="59"/>
  <c r="D38" i="58"/>
  <c r="J38"/>
  <c r="B38"/>
  <c r="M38"/>
  <c r="O10" i="59"/>
  <c r="D39" i="58"/>
  <c r="O23" i="59"/>
  <c r="G39" i="58"/>
  <c r="O32" i="59"/>
  <c r="J39" i="58"/>
  <c r="O36" i="59"/>
  <c r="L39" i="58"/>
  <c r="B39"/>
  <c r="M39"/>
  <c r="O11" i="59"/>
  <c r="D40" i="58"/>
  <c r="G40"/>
  <c r="J40"/>
  <c r="B40"/>
  <c r="M40"/>
  <c r="O12" i="59"/>
  <c r="D41" i="58"/>
  <c r="O24" i="59"/>
  <c r="G41" i="58"/>
  <c r="O33" i="59"/>
  <c r="J41" i="58"/>
  <c r="B41"/>
  <c r="M41"/>
  <c r="O13" i="59"/>
  <c r="D42" i="58"/>
  <c r="O25" i="59"/>
  <c r="G42" i="58"/>
  <c r="O34" i="59"/>
  <c r="J42" i="58"/>
  <c r="B42"/>
  <c r="M42"/>
  <c r="O5" i="59"/>
  <c r="C43" i="58"/>
  <c r="O14" i="59"/>
  <c r="D43" i="58"/>
  <c r="O18" i="59"/>
  <c r="E43" i="58"/>
  <c r="O20" i="59"/>
  <c r="F43" i="58"/>
  <c r="O26" i="59"/>
  <c r="G43" i="58"/>
  <c r="O28" i="59"/>
  <c r="H43" i="58"/>
  <c r="O29" i="59"/>
  <c r="I43" i="58"/>
  <c r="O35" i="59"/>
  <c r="K43" i="58"/>
  <c r="O37" i="59"/>
  <c r="L43" i="58"/>
  <c r="B43"/>
  <c r="M43"/>
  <c r="O15" i="59"/>
  <c r="D44" i="58"/>
  <c r="J44"/>
  <c r="B44"/>
  <c r="M44"/>
  <c r="O6" i="59"/>
  <c r="C45" i="58"/>
  <c r="O16" i="59"/>
  <c r="D45" i="58"/>
  <c r="J45"/>
  <c r="B45"/>
  <c r="M45"/>
  <c r="O17" i="59"/>
  <c r="D46" i="58"/>
  <c r="O27" i="59"/>
  <c r="G46" i="58"/>
  <c r="J46"/>
  <c r="B46"/>
  <c r="M46"/>
  <c r="B51"/>
  <c r="C51"/>
  <c r="D51"/>
  <c r="E51"/>
  <c r="H51"/>
  <c r="I51"/>
  <c r="J51"/>
  <c r="K51"/>
  <c r="O38" i="59"/>
  <c r="C52" i="58"/>
  <c r="D52"/>
  <c r="E52"/>
  <c r="B52"/>
  <c r="F52"/>
  <c r="I52"/>
  <c r="H52"/>
  <c r="O46" i="59"/>
  <c r="C60" i="58"/>
  <c r="D60"/>
  <c r="E60"/>
  <c r="B60"/>
  <c r="K60"/>
  <c r="K52"/>
  <c r="J52"/>
  <c r="L52"/>
  <c r="O39" i="59"/>
  <c r="C53" i="58"/>
  <c r="D53"/>
  <c r="E53"/>
  <c r="B53"/>
  <c r="F53"/>
  <c r="I53"/>
  <c r="H53"/>
  <c r="K53"/>
  <c r="J53"/>
  <c r="L53"/>
  <c r="O40" i="59"/>
  <c r="C54" i="58"/>
  <c r="D54"/>
  <c r="E54"/>
  <c r="B54"/>
  <c r="F54"/>
  <c r="I54"/>
  <c r="H54"/>
  <c r="K54"/>
  <c r="J54"/>
  <c r="L54"/>
  <c r="O41" i="59"/>
  <c r="C55" i="58"/>
  <c r="D55"/>
  <c r="E55"/>
  <c r="B55"/>
  <c r="F55"/>
  <c r="I55"/>
  <c r="H55"/>
  <c r="K55"/>
  <c r="J55"/>
  <c r="L55"/>
  <c r="O42" i="59"/>
  <c r="C56" i="58"/>
  <c r="D56"/>
  <c r="E56"/>
  <c r="B56"/>
  <c r="F56"/>
  <c r="I56"/>
  <c r="H56"/>
  <c r="K56"/>
  <c r="J56"/>
  <c r="L56"/>
  <c r="O43" i="59"/>
  <c r="C57" i="58"/>
  <c r="D57"/>
  <c r="E57"/>
  <c r="B57"/>
  <c r="F57"/>
  <c r="I57"/>
  <c r="H57"/>
  <c r="K57"/>
  <c r="J57"/>
  <c r="L57"/>
  <c r="O44" i="59"/>
  <c r="C58" i="58"/>
  <c r="D58"/>
  <c r="E58"/>
  <c r="B58"/>
  <c r="F58"/>
  <c r="I58"/>
  <c r="H58"/>
  <c r="K58"/>
  <c r="J58"/>
  <c r="L58"/>
  <c r="O45" i="59"/>
  <c r="C59" i="58"/>
  <c r="D59"/>
  <c r="E59"/>
  <c r="B59"/>
  <c r="F59"/>
  <c r="I59"/>
  <c r="H59"/>
  <c r="K59"/>
  <c r="J59"/>
  <c r="L59"/>
  <c r="F60"/>
  <c r="I60"/>
  <c r="H60"/>
  <c r="J60"/>
  <c r="L60"/>
  <c r="O47" i="59"/>
  <c r="C61" i="58"/>
  <c r="D61"/>
  <c r="E61"/>
  <c r="B61"/>
  <c r="F61"/>
  <c r="I61"/>
  <c r="H61"/>
  <c r="K61"/>
  <c r="J61"/>
  <c r="L61"/>
  <c r="O48" i="59"/>
  <c r="C62" i="58"/>
  <c r="D62"/>
  <c r="E62"/>
  <c r="B62"/>
  <c r="F62"/>
  <c r="I62"/>
  <c r="H62"/>
  <c r="K62"/>
  <c r="J62"/>
  <c r="L62"/>
  <c r="B65"/>
  <c r="C65"/>
  <c r="D65"/>
  <c r="E65"/>
  <c r="H65"/>
  <c r="I65"/>
  <c r="C66"/>
  <c r="D66"/>
  <c r="E66"/>
  <c r="B66"/>
  <c r="F66"/>
  <c r="I66"/>
  <c r="H66"/>
  <c r="L66"/>
  <c r="C67"/>
  <c r="D67"/>
  <c r="E67"/>
  <c r="B67"/>
  <c r="F67"/>
  <c r="I67"/>
  <c r="H67"/>
  <c r="L67"/>
  <c r="C68"/>
  <c r="D68"/>
  <c r="E68"/>
  <c r="B68"/>
  <c r="F68"/>
  <c r="I68"/>
  <c r="H68"/>
  <c r="L68"/>
  <c r="C69"/>
  <c r="D69"/>
  <c r="E69"/>
  <c r="B69"/>
  <c r="F69"/>
  <c r="I69"/>
  <c r="H69"/>
  <c r="L69"/>
  <c r="C70"/>
  <c r="D70"/>
  <c r="E70"/>
  <c r="B70"/>
  <c r="F70"/>
  <c r="I70"/>
  <c r="H70"/>
  <c r="L70"/>
  <c r="C71"/>
  <c r="D71"/>
  <c r="E71"/>
  <c r="B71"/>
  <c r="F71"/>
  <c r="I71"/>
  <c r="H71"/>
  <c r="L71"/>
  <c r="C72"/>
  <c r="D72"/>
  <c r="E72"/>
  <c r="B72"/>
  <c r="F72"/>
  <c r="I72"/>
  <c r="H72"/>
  <c r="L72"/>
  <c r="C73"/>
  <c r="D73"/>
  <c r="E73"/>
  <c r="B73"/>
  <c r="F73"/>
  <c r="I73"/>
  <c r="H73"/>
  <c r="L73"/>
  <c r="C74"/>
  <c r="D74"/>
  <c r="E74"/>
  <c r="B74"/>
  <c r="F74"/>
  <c r="I74"/>
  <c r="H74"/>
  <c r="L74"/>
  <c r="C75"/>
  <c r="D75"/>
  <c r="E75"/>
  <c r="B75"/>
  <c r="F75"/>
  <c r="I75"/>
  <c r="H75"/>
  <c r="L75"/>
  <c r="C76"/>
  <c r="D76"/>
  <c r="E76"/>
  <c r="B76"/>
  <c r="F76"/>
  <c r="I76"/>
  <c r="H76"/>
  <c r="L76"/>
  <c r="B81"/>
  <c r="C81"/>
  <c r="D81"/>
  <c r="E81"/>
  <c r="F81"/>
  <c r="G81"/>
  <c r="H81"/>
  <c r="I81"/>
  <c r="J81"/>
  <c r="K81"/>
  <c r="L81"/>
  <c r="M81"/>
  <c r="B82"/>
  <c r="B83"/>
  <c r="B84"/>
  <c r="B85"/>
  <c r="B86"/>
  <c r="B87"/>
  <c r="B88"/>
  <c r="B89"/>
  <c r="B90"/>
  <c r="B91"/>
  <c r="B92"/>
  <c r="C88"/>
  <c r="C90"/>
  <c r="C92"/>
  <c r="D82"/>
  <c r="D83"/>
  <c r="D84"/>
  <c r="D85"/>
  <c r="D86"/>
  <c r="D87"/>
  <c r="D88"/>
  <c r="D89"/>
  <c r="D90"/>
  <c r="D91"/>
  <c r="D92"/>
  <c r="E88"/>
  <c r="E92"/>
  <c r="F88"/>
  <c r="F92"/>
  <c r="G82"/>
  <c r="G84"/>
  <c r="G85"/>
  <c r="G86"/>
  <c r="G87"/>
  <c r="G88"/>
  <c r="G91"/>
  <c r="G92"/>
  <c r="H88"/>
  <c r="H92"/>
  <c r="I88"/>
  <c r="I92"/>
  <c r="J82"/>
  <c r="J83"/>
  <c r="J84"/>
  <c r="J85"/>
  <c r="J86"/>
  <c r="J87"/>
  <c r="J88"/>
  <c r="J89"/>
  <c r="J90"/>
  <c r="J91"/>
  <c r="J92"/>
  <c r="K88"/>
  <c r="K92"/>
  <c r="L84"/>
  <c r="L88"/>
  <c r="L92"/>
  <c r="M92"/>
  <c r="N81"/>
  <c r="P81"/>
  <c r="Q81"/>
  <c r="C82"/>
  <c r="E82"/>
  <c r="F82"/>
  <c r="H82"/>
  <c r="I82"/>
  <c r="K82"/>
  <c r="L82"/>
  <c r="M82"/>
  <c r="N82"/>
  <c r="P82"/>
  <c r="Q82"/>
  <c r="C83"/>
  <c r="E83"/>
  <c r="F83"/>
  <c r="G83"/>
  <c r="H83"/>
  <c r="I83"/>
  <c r="K83"/>
  <c r="L83"/>
  <c r="M83"/>
  <c r="N83"/>
  <c r="P83"/>
  <c r="Q83"/>
  <c r="C84"/>
  <c r="E84"/>
  <c r="F84"/>
  <c r="H84"/>
  <c r="I84"/>
  <c r="K84"/>
  <c r="M84"/>
  <c r="N84"/>
  <c r="P84"/>
  <c r="Q84"/>
  <c r="C85"/>
  <c r="E85"/>
  <c r="F85"/>
  <c r="H85"/>
  <c r="I85"/>
  <c r="K85"/>
  <c r="L85"/>
  <c r="M85"/>
  <c r="N85"/>
  <c r="P85"/>
  <c r="Q85"/>
  <c r="C86"/>
  <c r="E86"/>
  <c r="F86"/>
  <c r="H86"/>
  <c r="I86"/>
  <c r="K86"/>
  <c r="L86"/>
  <c r="M86"/>
  <c r="N86"/>
  <c r="P86"/>
  <c r="Q86"/>
  <c r="C87"/>
  <c r="E87"/>
  <c r="F87"/>
  <c r="H87"/>
  <c r="I87"/>
  <c r="K87"/>
  <c r="L87"/>
  <c r="M87"/>
  <c r="N87"/>
  <c r="P87"/>
  <c r="Q87"/>
  <c r="M88"/>
  <c r="N88"/>
  <c r="P88"/>
  <c r="Q88"/>
  <c r="C89"/>
  <c r="E89"/>
  <c r="F89"/>
  <c r="G89"/>
  <c r="H89"/>
  <c r="I89"/>
  <c r="K89"/>
  <c r="L89"/>
  <c r="M89"/>
  <c r="N89"/>
  <c r="P89"/>
  <c r="Q89"/>
  <c r="E90"/>
  <c r="F90"/>
  <c r="G90"/>
  <c r="H90"/>
  <c r="I90"/>
  <c r="K90"/>
  <c r="L90"/>
  <c r="M90"/>
  <c r="N90"/>
  <c r="P90"/>
  <c r="Q90"/>
  <c r="C91"/>
  <c r="E91"/>
  <c r="F91"/>
  <c r="H91"/>
  <c r="I91"/>
  <c r="K91"/>
  <c r="L91"/>
  <c r="M91"/>
  <c r="N91"/>
  <c r="P91"/>
  <c r="Q91"/>
  <c r="B93"/>
  <c r="C93"/>
  <c r="D93"/>
  <c r="E93"/>
  <c r="F93"/>
  <c r="G93"/>
  <c r="H93"/>
  <c r="I93"/>
  <c r="J93"/>
  <c r="K93"/>
  <c r="L93"/>
  <c r="M93"/>
  <c r="G99"/>
  <c r="G100"/>
  <c r="P100"/>
  <c r="G101"/>
  <c r="G102"/>
  <c r="G103"/>
  <c r="G104"/>
  <c r="O104"/>
  <c r="P104"/>
  <c r="G105"/>
  <c r="G106"/>
  <c r="G107"/>
  <c r="G108"/>
  <c r="G109"/>
  <c r="D121"/>
  <c r="O49" i="59"/>
  <c r="C127" i="58"/>
  <c r="O54" i="59"/>
  <c r="D127" i="58"/>
  <c r="O67" i="59"/>
  <c r="F127" i="58"/>
  <c r="O74" i="59"/>
  <c r="I127" i="58"/>
  <c r="B127"/>
  <c r="J127"/>
  <c r="K127"/>
  <c r="O50" i="59"/>
  <c r="C128" i="58"/>
  <c r="O55" i="59"/>
  <c r="D128" i="58"/>
  <c r="F128"/>
  <c r="O75" i="59"/>
  <c r="I128" i="58"/>
  <c r="B128"/>
  <c r="J128"/>
  <c r="K128"/>
  <c r="O56" i="59"/>
  <c r="D129" i="58"/>
  <c r="B129"/>
  <c r="J129"/>
  <c r="K129"/>
  <c r="O57" i="59"/>
  <c r="D130" i="58"/>
  <c r="O65" i="59"/>
  <c r="E130" i="58"/>
  <c r="O68" i="59"/>
  <c r="F130" i="58"/>
  <c r="B130"/>
  <c r="J130"/>
  <c r="K130"/>
  <c r="O58" i="59"/>
  <c r="D131" i="58"/>
  <c r="F131"/>
  <c r="B131"/>
  <c r="J131"/>
  <c r="K131"/>
  <c r="O59" i="59"/>
  <c r="D132" i="58"/>
  <c r="O69" i="59"/>
  <c r="F132" i="58"/>
  <c r="B132"/>
  <c r="J132"/>
  <c r="K132"/>
  <c r="O60" i="59"/>
  <c r="D133" i="58"/>
  <c r="F133"/>
  <c r="B133"/>
  <c r="J133"/>
  <c r="K133"/>
  <c r="O51" i="59"/>
  <c r="C134" i="58"/>
  <c r="O61" i="59"/>
  <c r="D134" i="58"/>
  <c r="O66" i="59"/>
  <c r="E134" i="58"/>
  <c r="O70" i="59"/>
  <c r="F134" i="58"/>
  <c r="O72" i="59"/>
  <c r="G134" i="58"/>
  <c r="O73" i="59"/>
  <c r="H134" i="58"/>
  <c r="O76" i="59"/>
  <c r="I134" i="58"/>
  <c r="B134"/>
  <c r="J134"/>
  <c r="K134"/>
  <c r="O52" i="59"/>
  <c r="C135" i="58"/>
  <c r="O62" i="59"/>
  <c r="D135" i="58"/>
  <c r="B135"/>
  <c r="J135"/>
  <c r="K135"/>
  <c r="O53" i="59"/>
  <c r="C136" i="58"/>
  <c r="O63" i="59"/>
  <c r="D136" i="58"/>
  <c r="B136"/>
  <c r="J136"/>
  <c r="K136"/>
  <c r="O64" i="59"/>
  <c r="D137" i="58"/>
  <c r="O71" i="59"/>
  <c r="F137" i="58"/>
  <c r="B137"/>
  <c r="J137"/>
  <c r="K137"/>
  <c r="B144"/>
  <c r="C144"/>
  <c r="D144"/>
  <c r="E144"/>
  <c r="C145"/>
  <c r="D145"/>
  <c r="E145"/>
  <c r="B145"/>
  <c r="F145"/>
  <c r="C146"/>
  <c r="D146"/>
  <c r="E146"/>
  <c r="B146"/>
  <c r="F146"/>
  <c r="C147"/>
  <c r="D147"/>
  <c r="E147"/>
  <c r="B147"/>
  <c r="F147"/>
  <c r="C148"/>
  <c r="D148"/>
  <c r="E148"/>
  <c r="B148"/>
  <c r="F148"/>
  <c r="C149"/>
  <c r="D149"/>
  <c r="E149"/>
  <c r="B149"/>
  <c r="F149"/>
  <c r="C150"/>
  <c r="D150"/>
  <c r="E150"/>
  <c r="B150"/>
  <c r="F150"/>
  <c r="C151"/>
  <c r="D151"/>
  <c r="E151"/>
  <c r="B151"/>
  <c r="F151"/>
  <c r="C152"/>
  <c r="D152"/>
  <c r="E152"/>
  <c r="B152"/>
  <c r="F152"/>
  <c r="C153"/>
  <c r="D153"/>
  <c r="E153"/>
  <c r="B153"/>
  <c r="F153"/>
  <c r="C154"/>
  <c r="D154"/>
  <c r="E154"/>
  <c r="B154"/>
  <c r="F154"/>
  <c r="B157"/>
  <c r="C157"/>
  <c r="D157"/>
  <c r="E157"/>
  <c r="C158"/>
  <c r="D158"/>
  <c r="E158"/>
  <c r="B158"/>
  <c r="F158"/>
  <c r="C159"/>
  <c r="D159"/>
  <c r="E159"/>
  <c r="B159"/>
  <c r="F159"/>
  <c r="C160"/>
  <c r="D160"/>
  <c r="E160"/>
  <c r="B160"/>
  <c r="F160"/>
  <c r="C161"/>
  <c r="D161"/>
  <c r="E161"/>
  <c r="B161"/>
  <c r="F161"/>
  <c r="C162"/>
  <c r="D162"/>
  <c r="E162"/>
  <c r="B162"/>
  <c r="F162"/>
  <c r="C163"/>
  <c r="D163"/>
  <c r="E163"/>
  <c r="B163"/>
  <c r="F163"/>
  <c r="C164"/>
  <c r="D164"/>
  <c r="E164"/>
  <c r="B164"/>
  <c r="F164"/>
  <c r="C165"/>
  <c r="D165"/>
  <c r="E165"/>
  <c r="B165"/>
  <c r="F165"/>
  <c r="C166"/>
  <c r="D166"/>
  <c r="E166"/>
  <c r="B166"/>
  <c r="F166"/>
  <c r="C167"/>
  <c r="D167"/>
  <c r="E167"/>
  <c r="B167"/>
  <c r="F167"/>
  <c r="B172"/>
  <c r="C172"/>
  <c r="D172"/>
  <c r="E172"/>
  <c r="F172"/>
  <c r="G172"/>
  <c r="H172"/>
  <c r="I172"/>
  <c r="J172"/>
  <c r="B173"/>
  <c r="B174"/>
  <c r="B175"/>
  <c r="B176"/>
  <c r="B177"/>
  <c r="B178"/>
  <c r="B179"/>
  <c r="B180"/>
  <c r="B181"/>
  <c r="B182"/>
  <c r="B183"/>
  <c r="C173"/>
  <c r="C179"/>
  <c r="C180"/>
  <c r="C181"/>
  <c r="C183"/>
  <c r="D173"/>
  <c r="D174"/>
  <c r="D175"/>
  <c r="D176"/>
  <c r="D177"/>
  <c r="D178"/>
  <c r="D179"/>
  <c r="D180"/>
  <c r="D181"/>
  <c r="D182"/>
  <c r="D183"/>
  <c r="E175"/>
  <c r="E179"/>
  <c r="E183"/>
  <c r="F173"/>
  <c r="F175"/>
  <c r="F176"/>
  <c r="F177"/>
  <c r="F178"/>
  <c r="F179"/>
  <c r="F182"/>
  <c r="F183"/>
  <c r="G179"/>
  <c r="G183"/>
  <c r="H179"/>
  <c r="H183"/>
  <c r="I173"/>
  <c r="I179"/>
  <c r="I183"/>
  <c r="J183"/>
  <c r="K172"/>
  <c r="E173"/>
  <c r="G173"/>
  <c r="H173"/>
  <c r="J173"/>
  <c r="K173"/>
  <c r="C174"/>
  <c r="E174"/>
  <c r="F174"/>
  <c r="G174"/>
  <c r="H174"/>
  <c r="I174"/>
  <c r="J174"/>
  <c r="K174"/>
  <c r="C175"/>
  <c r="G175"/>
  <c r="H175"/>
  <c r="I175"/>
  <c r="J175"/>
  <c r="K175"/>
  <c r="A176"/>
  <c r="C176"/>
  <c r="E176"/>
  <c r="G176"/>
  <c r="H176"/>
  <c r="I176"/>
  <c r="J176"/>
  <c r="K176"/>
  <c r="C177"/>
  <c r="E177"/>
  <c r="G177"/>
  <c r="H177"/>
  <c r="I177"/>
  <c r="J177"/>
  <c r="K177"/>
  <c r="C178"/>
  <c r="E178"/>
  <c r="G178"/>
  <c r="H178"/>
  <c r="I178"/>
  <c r="J178"/>
  <c r="K178"/>
  <c r="J179"/>
  <c r="K179"/>
  <c r="A180"/>
  <c r="E180"/>
  <c r="F180"/>
  <c r="G180"/>
  <c r="H180"/>
  <c r="I180"/>
  <c r="J180"/>
  <c r="K180"/>
  <c r="E181"/>
  <c r="F181"/>
  <c r="G181"/>
  <c r="H181"/>
  <c r="I181"/>
  <c r="J181"/>
  <c r="K181"/>
  <c r="C182"/>
  <c r="E182"/>
  <c r="G182"/>
  <c r="H182"/>
  <c r="I182"/>
  <c r="J182"/>
  <c r="K182"/>
  <c r="K183"/>
  <c r="B184"/>
  <c r="C184"/>
  <c r="D184"/>
  <c r="E184"/>
  <c r="F184"/>
  <c r="G184"/>
  <c r="H184"/>
  <c r="I184"/>
  <c r="J184"/>
  <c r="G190"/>
  <c r="N190"/>
  <c r="O190"/>
  <c r="O190" a="1"/>
  <c r="P190"/>
  <c r="Q190"/>
  <c r="G191"/>
  <c r="N191"/>
  <c r="O191"/>
  <c r="P191"/>
  <c r="Q191"/>
  <c r="G192"/>
  <c r="N192"/>
  <c r="O192"/>
  <c r="P192"/>
  <c r="Q192"/>
  <c r="G193"/>
  <c r="N193"/>
  <c r="O193"/>
  <c r="P193"/>
  <c r="Q193"/>
  <c r="G194"/>
  <c r="N194"/>
  <c r="O194"/>
  <c r="P194"/>
  <c r="Q194"/>
  <c r="G195"/>
  <c r="N195"/>
  <c r="O195"/>
  <c r="P195"/>
  <c r="Q195"/>
  <c r="G196"/>
  <c r="N196"/>
  <c r="O196"/>
  <c r="P196"/>
  <c r="Q196"/>
  <c r="G197"/>
  <c r="N197"/>
  <c r="O197"/>
  <c r="P197"/>
  <c r="Q197"/>
  <c r="G198"/>
  <c r="N198"/>
  <c r="O198"/>
  <c r="P198"/>
  <c r="Q198"/>
  <c r="G199"/>
  <c r="N199"/>
  <c r="O199"/>
  <c r="P199"/>
  <c r="Q199"/>
  <c r="G200"/>
  <c r="N200"/>
  <c r="O200"/>
  <c r="P200"/>
  <c r="Q200"/>
  <c r="G201"/>
  <c r="N201"/>
  <c r="O201"/>
  <c r="P201"/>
  <c r="Q201"/>
  <c r="G202"/>
  <c r="L202"/>
  <c r="M202"/>
  <c r="N202"/>
  <c r="D212"/>
  <c r="C1" i="59"/>
  <c r="O1"/>
  <c r="N3"/>
  <c r="O3"/>
  <c r="G21"/>
  <c r="H21"/>
  <c r="N78"/>
  <c r="O78"/>
  <c r="N79"/>
  <c r="O79"/>
  <c r="N80"/>
  <c r="O80"/>
  <c r="N81"/>
  <c r="O81"/>
  <c r="N82"/>
  <c r="O82"/>
  <c r="N83"/>
  <c r="O83"/>
  <c r="N84"/>
  <c r="O84"/>
  <c r="N85"/>
  <c r="O85"/>
  <c r="N86"/>
  <c r="O86"/>
  <c r="N87"/>
  <c r="O87"/>
  <c r="N88"/>
  <c r="O88"/>
  <c r="N89"/>
  <c r="O89"/>
  <c r="N90"/>
  <c r="O90"/>
  <c r="N91"/>
  <c r="O91"/>
  <c r="N92"/>
  <c r="O92"/>
  <c r="N93"/>
  <c r="O93"/>
  <c r="N94"/>
  <c r="O94"/>
  <c r="N95"/>
  <c r="O95"/>
  <c r="N96"/>
  <c r="O96"/>
  <c r="N97"/>
  <c r="O97"/>
  <c r="N98"/>
  <c r="O98"/>
  <c r="N99"/>
  <c r="O99"/>
  <c r="N100"/>
  <c r="O100"/>
  <c r="N101"/>
  <c r="O101"/>
  <c r="N102"/>
  <c r="O102"/>
  <c r="N103"/>
  <c r="O103"/>
  <c r="N104"/>
  <c r="O104"/>
  <c r="N105"/>
  <c r="O105"/>
  <c r="N106"/>
  <c r="O106"/>
  <c r="N107"/>
  <c r="O107"/>
  <c r="N108"/>
  <c r="O108"/>
  <c r="N109"/>
  <c r="O109"/>
  <c r="N110"/>
  <c r="O110"/>
  <c r="N111"/>
  <c r="O111"/>
  <c r="N112"/>
  <c r="O112"/>
  <c r="N113"/>
  <c r="O113"/>
  <c r="N114"/>
  <c r="O114"/>
  <c r="N115"/>
  <c r="O115"/>
  <c r="N116"/>
  <c r="O116"/>
  <c r="N117"/>
  <c r="O117"/>
  <c r="N118"/>
  <c r="O118"/>
  <c r="N119"/>
  <c r="O119"/>
  <c r="N120"/>
  <c r="O120"/>
  <c r="N121"/>
  <c r="O121"/>
  <c r="N122"/>
  <c r="O122"/>
  <c r="N123"/>
  <c r="O123"/>
  <c r="N124"/>
  <c r="O124"/>
  <c r="N125"/>
  <c r="O125"/>
  <c r="N126"/>
  <c r="O126"/>
  <c r="N127"/>
  <c r="O127"/>
  <c r="N128"/>
  <c r="O128"/>
  <c r="N129"/>
  <c r="O129"/>
  <c r="N130"/>
  <c r="O130"/>
  <c r="N131"/>
  <c r="O131"/>
  <c r="G132"/>
  <c r="H132"/>
  <c r="N132"/>
  <c r="O132"/>
  <c r="N133"/>
  <c r="O133"/>
  <c r="N134"/>
  <c r="O134"/>
  <c r="N135"/>
  <c r="O135"/>
  <c r="N136"/>
  <c r="O136"/>
  <c r="N137"/>
  <c r="O137"/>
  <c r="N138"/>
  <c r="O138"/>
  <c r="N139"/>
  <c r="O139"/>
  <c r="F5" i="61"/>
  <c r="N6"/>
  <c r="Q6"/>
  <c r="R6"/>
  <c r="E11"/>
  <c r="B7"/>
  <c r="D7"/>
  <c r="G7"/>
  <c r="H7"/>
  <c r="M7"/>
  <c r="N7"/>
  <c r="D8"/>
  <c r="G8"/>
  <c r="H8"/>
  <c r="M8"/>
  <c r="N8"/>
  <c r="D9"/>
  <c r="M9"/>
  <c r="N9"/>
  <c r="E13"/>
  <c r="B12"/>
  <c r="D12"/>
  <c r="E17"/>
  <c r="B14"/>
  <c r="D14"/>
  <c r="G14"/>
  <c r="H14"/>
  <c r="M14"/>
  <c r="D15"/>
  <c r="G15"/>
  <c r="H15"/>
  <c r="M15"/>
  <c r="N15"/>
  <c r="O15"/>
  <c r="P15"/>
  <c r="H16"/>
  <c r="M16"/>
  <c r="N16"/>
  <c r="E19"/>
  <c r="B18"/>
  <c r="D18"/>
  <c r="E21"/>
  <c r="B20"/>
  <c r="D20"/>
  <c r="M20"/>
  <c r="E23"/>
  <c r="B22"/>
  <c r="D22"/>
  <c r="E27"/>
  <c r="B24"/>
  <c r="D24"/>
  <c r="G24"/>
  <c r="H24"/>
  <c r="M24"/>
  <c r="N24"/>
  <c r="D25"/>
  <c r="G25"/>
  <c r="H25"/>
  <c r="M25"/>
  <c r="N25"/>
  <c r="D26"/>
  <c r="G26"/>
  <c r="H26"/>
  <c r="M26"/>
  <c r="N26"/>
  <c r="E29"/>
  <c r="B28"/>
  <c r="D28"/>
  <c r="B30"/>
  <c r="E35"/>
  <c r="B32"/>
  <c r="G32"/>
  <c r="H32"/>
  <c r="Q32"/>
  <c r="R32"/>
  <c r="D33"/>
  <c r="G33"/>
  <c r="H33"/>
  <c r="M34"/>
  <c r="N34"/>
  <c r="E37"/>
  <c r="B36"/>
  <c r="D37"/>
  <c r="E39"/>
  <c r="B38"/>
  <c r="E41"/>
  <c r="B40"/>
  <c r="D40"/>
  <c r="E43"/>
  <c r="B42"/>
  <c r="D42"/>
  <c r="E45"/>
  <c r="B44"/>
  <c r="D44"/>
  <c r="F49"/>
  <c r="E52"/>
  <c r="B51"/>
  <c r="E54"/>
  <c r="B53"/>
  <c r="D53"/>
  <c r="K5" i="62"/>
  <c r="L5"/>
  <c r="M5"/>
  <c r="K6"/>
  <c r="L6"/>
  <c r="M6"/>
  <c r="C7"/>
  <c r="K7"/>
  <c r="L7"/>
  <c r="M7"/>
  <c r="C8"/>
  <c r="D8"/>
  <c r="K8"/>
  <c r="L8"/>
  <c r="M8"/>
  <c r="C9"/>
  <c r="D9"/>
  <c r="K9"/>
  <c r="L9"/>
  <c r="M9"/>
  <c r="C10"/>
  <c r="D10"/>
  <c r="K10"/>
  <c r="L10"/>
  <c r="M10"/>
  <c r="C11"/>
  <c r="D11"/>
  <c r="K11"/>
  <c r="L11"/>
  <c r="M11"/>
  <c r="C12"/>
  <c r="D12"/>
  <c r="K12"/>
  <c r="L12"/>
  <c r="M12"/>
  <c r="K13"/>
  <c r="L13"/>
  <c r="M13"/>
  <c r="D14"/>
  <c r="K14"/>
  <c r="L14"/>
  <c r="M14"/>
  <c r="D15"/>
  <c r="K15"/>
  <c r="L15"/>
  <c r="M15"/>
  <c r="D16"/>
  <c r="K16"/>
  <c r="L16"/>
  <c r="M16"/>
  <c r="D17"/>
  <c r="K17"/>
  <c r="L17"/>
  <c r="M17"/>
  <c r="D18"/>
  <c r="K18"/>
  <c r="L18"/>
  <c r="M18"/>
  <c r="D19"/>
  <c r="K19"/>
  <c r="L19"/>
  <c r="M19"/>
  <c r="K20"/>
  <c r="L20"/>
  <c r="M20"/>
  <c r="K21"/>
  <c r="L21"/>
  <c r="M21"/>
  <c r="D22"/>
  <c r="K22"/>
  <c r="L22"/>
  <c r="M22"/>
  <c r="D23"/>
  <c r="K23"/>
  <c r="L23"/>
  <c r="M23"/>
  <c r="D24"/>
  <c r="K24"/>
  <c r="L24"/>
  <c r="M24"/>
  <c r="K25"/>
  <c r="L25"/>
  <c r="M25"/>
  <c r="K26"/>
  <c r="L26"/>
  <c r="M26"/>
  <c r="D27"/>
  <c r="K27"/>
  <c r="L27"/>
  <c r="M27"/>
  <c r="D28"/>
  <c r="K28"/>
  <c r="L28"/>
  <c r="M28"/>
  <c r="D29"/>
  <c r="K29"/>
  <c r="L29"/>
  <c r="M29"/>
  <c r="D30"/>
  <c r="D31"/>
  <c r="D32"/>
  <c r="D34"/>
  <c r="D35"/>
  <c r="D36"/>
  <c r="D37"/>
  <c r="C41"/>
  <c r="C42"/>
  <c r="B43"/>
  <c r="B44"/>
  <c r="C44"/>
  <c r="B45"/>
  <c r="C45"/>
  <c r="P1" i="63"/>
  <c r="Q5"/>
  <c r="Q1"/>
  <c r="R1"/>
  <c r="S1"/>
  <c r="T1"/>
  <c r="E4"/>
  <c r="F5"/>
  <c r="G5"/>
  <c r="H5"/>
  <c r="I5"/>
  <c r="K5"/>
  <c r="L5"/>
  <c r="V5"/>
  <c r="W5"/>
  <c r="Z5"/>
  <c r="AC5"/>
  <c r="D6"/>
  <c r="F14"/>
  <c r="F6"/>
  <c r="G14"/>
  <c r="G6"/>
  <c r="H6"/>
  <c r="K6"/>
  <c r="O6"/>
  <c r="D7"/>
  <c r="F7"/>
  <c r="F8"/>
  <c r="P6"/>
  <c r="G7"/>
  <c r="G8"/>
  <c r="Q6"/>
  <c r="R6"/>
  <c r="S6"/>
  <c r="T6"/>
  <c r="H7"/>
  <c r="K7"/>
  <c r="O7"/>
  <c r="P7"/>
  <c r="Q7"/>
  <c r="R7"/>
  <c r="S7"/>
  <c r="T7"/>
  <c r="J22"/>
  <c r="D9"/>
  <c r="F9"/>
  <c r="D10"/>
  <c r="F10"/>
  <c r="D11"/>
  <c r="F11"/>
  <c r="D12"/>
  <c r="F12"/>
  <c r="F13"/>
  <c r="D16"/>
  <c r="F16"/>
  <c r="D17"/>
  <c r="F17"/>
  <c r="D18"/>
  <c r="F18"/>
  <c r="D19"/>
  <c r="F19"/>
  <c r="D20"/>
  <c r="F20"/>
  <c r="D21"/>
  <c r="F21"/>
  <c r="D22"/>
  <c r="F22"/>
  <c r="D23"/>
  <c r="F23"/>
  <c r="D24"/>
  <c r="F24"/>
  <c r="D25"/>
  <c r="F25"/>
  <c r="D26"/>
  <c r="F26"/>
  <c r="J27"/>
  <c r="Y8"/>
  <c r="M22"/>
  <c r="K22"/>
  <c r="G9"/>
  <c r="G10"/>
  <c r="G11"/>
  <c r="G12"/>
  <c r="G13"/>
  <c r="G16"/>
  <c r="G17"/>
  <c r="G18"/>
  <c r="G19"/>
  <c r="G20"/>
  <c r="G21"/>
  <c r="G22"/>
  <c r="G23"/>
  <c r="G24"/>
  <c r="G25"/>
  <c r="G26"/>
  <c r="K27"/>
  <c r="Z8"/>
  <c r="AA8"/>
  <c r="AB8"/>
  <c r="H9"/>
  <c r="K9"/>
  <c r="O9"/>
  <c r="P9"/>
  <c r="Q9"/>
  <c r="R9"/>
  <c r="S9"/>
  <c r="T9"/>
  <c r="H10"/>
  <c r="K10"/>
  <c r="O10"/>
  <c r="P10"/>
  <c r="Q10"/>
  <c r="R10"/>
  <c r="S10"/>
  <c r="T10"/>
  <c r="H11"/>
  <c r="K11"/>
  <c r="O11"/>
  <c r="P11"/>
  <c r="Q11"/>
  <c r="R11"/>
  <c r="S11"/>
  <c r="T11"/>
  <c r="H12"/>
  <c r="K12"/>
  <c r="O12"/>
  <c r="P12"/>
  <c r="Q12"/>
  <c r="R12"/>
  <c r="S12"/>
  <c r="T12"/>
  <c r="H13"/>
  <c r="Y13"/>
  <c r="Z13"/>
  <c r="Z14"/>
  <c r="AA14"/>
  <c r="AA13"/>
  <c r="AB13"/>
  <c r="D14"/>
  <c r="H14"/>
  <c r="Y14"/>
  <c r="AB14"/>
  <c r="B16"/>
  <c r="C16"/>
  <c r="H16"/>
  <c r="K16"/>
  <c r="M16"/>
  <c r="U16"/>
  <c r="V16"/>
  <c r="AC16"/>
  <c r="B17"/>
  <c r="C17"/>
  <c r="H17"/>
  <c r="K17"/>
  <c r="M17"/>
  <c r="U17"/>
  <c r="V17"/>
  <c r="AC17"/>
  <c r="B18"/>
  <c r="C18"/>
  <c r="H18"/>
  <c r="K18"/>
  <c r="M18"/>
  <c r="U18"/>
  <c r="V18"/>
  <c r="AC18"/>
  <c r="B19"/>
  <c r="C19"/>
  <c r="H19"/>
  <c r="K19"/>
  <c r="M19"/>
  <c r="U19"/>
  <c r="V19"/>
  <c r="AC19"/>
  <c r="B20"/>
  <c r="C20"/>
  <c r="H20"/>
  <c r="K20"/>
  <c r="M20"/>
  <c r="U20"/>
  <c r="V20"/>
  <c r="AC20"/>
  <c r="B21"/>
  <c r="C21"/>
  <c r="H21"/>
  <c r="K21"/>
  <c r="M21"/>
  <c r="U21"/>
  <c r="V21"/>
  <c r="AC21"/>
  <c r="B22"/>
  <c r="C22"/>
  <c r="H22"/>
  <c r="U22"/>
  <c r="V22"/>
  <c r="AC22"/>
  <c r="C23"/>
  <c r="H23"/>
  <c r="K23"/>
  <c r="U23"/>
  <c r="V23"/>
  <c r="AC23"/>
  <c r="U24"/>
  <c r="U25"/>
  <c r="U26"/>
  <c r="U27"/>
  <c r="AD23"/>
  <c r="B24"/>
  <c r="C24"/>
  <c r="H24"/>
  <c r="K24"/>
  <c r="M24"/>
  <c r="V24"/>
  <c r="AC24"/>
  <c r="B25"/>
  <c r="C25"/>
  <c r="H25"/>
  <c r="K25"/>
  <c r="M25"/>
  <c r="V25"/>
  <c r="AC25"/>
  <c r="B26"/>
  <c r="C26"/>
  <c r="H26"/>
  <c r="K26"/>
  <c r="M26"/>
  <c r="V26"/>
  <c r="AC26"/>
  <c r="F27"/>
  <c r="G27"/>
  <c r="H27"/>
  <c r="O27"/>
  <c r="P27"/>
  <c r="R27"/>
  <c r="S27"/>
  <c r="T27"/>
  <c r="V27"/>
  <c r="Y27"/>
  <c r="Z27"/>
  <c r="AA27"/>
  <c r="AB27"/>
  <c r="D35"/>
  <c r="F36"/>
  <c r="H36"/>
  <c r="E37"/>
  <c r="F37"/>
  <c r="G37"/>
  <c r="H37"/>
  <c r="F5" i="64"/>
  <c r="M6"/>
  <c r="N6"/>
  <c r="P6"/>
  <c r="S6"/>
  <c r="E10"/>
  <c r="B7"/>
  <c r="D7"/>
  <c r="H7"/>
  <c r="I7"/>
  <c r="O7"/>
  <c r="P7"/>
  <c r="Q7"/>
  <c r="R7"/>
  <c r="D8"/>
  <c r="H8"/>
  <c r="I8"/>
  <c r="M8"/>
  <c r="N8"/>
  <c r="H9"/>
  <c r="I9"/>
  <c r="M9"/>
  <c r="N9"/>
  <c r="E15"/>
  <c r="B11"/>
  <c r="D11"/>
  <c r="H11"/>
  <c r="I11"/>
  <c r="O11"/>
  <c r="P11"/>
  <c r="Q11"/>
  <c r="R11"/>
  <c r="S11"/>
  <c r="T11"/>
  <c r="D12"/>
  <c r="H12"/>
  <c r="I12"/>
  <c r="M12"/>
  <c r="N12"/>
  <c r="D13"/>
  <c r="M13"/>
  <c r="N13"/>
  <c r="H14"/>
  <c r="I14"/>
  <c r="M14"/>
  <c r="N14"/>
  <c r="E17"/>
  <c r="B16"/>
  <c r="D16"/>
  <c r="O16"/>
  <c r="P16"/>
  <c r="Q16"/>
  <c r="R16"/>
  <c r="E19"/>
  <c r="B18"/>
  <c r="D18"/>
  <c r="O18"/>
  <c r="P18"/>
  <c r="Q18"/>
  <c r="R18"/>
  <c r="S18"/>
  <c r="T18"/>
  <c r="E23"/>
  <c r="B20"/>
  <c r="D20"/>
  <c r="H20"/>
  <c r="I20"/>
  <c r="M20"/>
  <c r="N20"/>
  <c r="O20"/>
  <c r="P20"/>
  <c r="Q20"/>
  <c r="R20"/>
  <c r="D21"/>
  <c r="H21"/>
  <c r="I21"/>
  <c r="M21"/>
  <c r="N21"/>
  <c r="D22"/>
  <c r="H22"/>
  <c r="I22"/>
  <c r="M22"/>
  <c r="N22"/>
  <c r="E25"/>
  <c r="B24"/>
  <c r="D24"/>
  <c r="O24"/>
  <c r="P24"/>
  <c r="Q24"/>
  <c r="R24"/>
  <c r="S24"/>
  <c r="T24"/>
  <c r="E27"/>
  <c r="B26"/>
  <c r="H26"/>
  <c r="I26"/>
  <c r="Y7" i="66"/>
  <c r="Y8"/>
  <c r="Y9"/>
  <c r="Y10"/>
  <c r="Y11"/>
  <c r="Y12"/>
  <c r="Y13"/>
  <c r="Y14"/>
  <c r="Y15"/>
  <c r="AC15"/>
  <c r="E15"/>
  <c r="Y22"/>
  <c r="Y23"/>
  <c r="Y24"/>
  <c r="Y25"/>
  <c r="Y26"/>
  <c r="Y27"/>
  <c r="Y28"/>
  <c r="Y29"/>
  <c r="AC29"/>
  <c r="E29"/>
  <c r="Z38"/>
  <c r="O28" i="64"/>
  <c r="O26"/>
  <c r="AD15" i="66"/>
  <c r="F15"/>
  <c r="AD29"/>
  <c r="F29"/>
  <c r="AA38"/>
  <c r="P28" i="64"/>
  <c r="P26"/>
  <c r="Q26"/>
  <c r="R26"/>
  <c r="S26"/>
  <c r="T26"/>
  <c r="B28"/>
  <c r="Q28"/>
  <c r="R28"/>
  <c r="E31"/>
  <c r="B30"/>
  <c r="D30"/>
  <c r="O30"/>
  <c r="P30"/>
  <c r="Q30"/>
  <c r="R30"/>
  <c r="E33"/>
  <c r="B32"/>
  <c r="D32"/>
  <c r="O32"/>
  <c r="P32"/>
  <c r="Q32"/>
  <c r="R32"/>
  <c r="G37"/>
  <c r="Q38"/>
  <c r="S38"/>
  <c r="E40"/>
  <c r="B39"/>
  <c r="D41"/>
  <c r="U43"/>
  <c r="AC22" i="66"/>
  <c r="E22"/>
  <c r="AC23"/>
  <c r="E23"/>
  <c r="E24"/>
  <c r="E25"/>
  <c r="E26"/>
  <c r="E27"/>
  <c r="E28"/>
  <c r="AC30"/>
  <c r="E30"/>
  <c r="Y30"/>
  <c r="Y31"/>
  <c r="AC31"/>
  <c r="E31"/>
  <c r="AC32"/>
  <c r="E32"/>
  <c r="E33"/>
  <c r="E34"/>
  <c r="J35"/>
  <c r="H35"/>
  <c r="G16"/>
  <c r="J16"/>
  <c r="AC7"/>
  <c r="E7"/>
  <c r="AC8"/>
  <c r="E8"/>
  <c r="E9"/>
  <c r="E10"/>
  <c r="E11"/>
  <c r="E12"/>
  <c r="E13"/>
  <c r="AC14"/>
  <c r="E14"/>
  <c r="AC16"/>
  <c r="E16"/>
  <c r="Y16"/>
  <c r="Y17"/>
  <c r="AC17"/>
  <c r="E17"/>
  <c r="AC18"/>
  <c r="E18"/>
  <c r="E19"/>
  <c r="E20"/>
  <c r="J21"/>
  <c r="H21"/>
  <c r="P43" i="64"/>
  <c r="AD22" i="66"/>
  <c r="F22"/>
  <c r="AD23"/>
  <c r="F23"/>
  <c r="F24"/>
  <c r="F25"/>
  <c r="F26"/>
  <c r="F27"/>
  <c r="F28"/>
  <c r="AD30"/>
  <c r="F30"/>
  <c r="AD31"/>
  <c r="F31"/>
  <c r="AD32"/>
  <c r="F32"/>
  <c r="F33"/>
  <c r="F34"/>
  <c r="K35"/>
  <c r="K16"/>
  <c r="AD7"/>
  <c r="F7"/>
  <c r="AD8"/>
  <c r="F8"/>
  <c r="F9"/>
  <c r="F10"/>
  <c r="F11"/>
  <c r="F12"/>
  <c r="F13"/>
  <c r="AD14"/>
  <c r="F14"/>
  <c r="AD16"/>
  <c r="F16"/>
  <c r="AD17"/>
  <c r="F17"/>
  <c r="AD18"/>
  <c r="F18"/>
  <c r="F19"/>
  <c r="F20"/>
  <c r="K21"/>
  <c r="Q43" i="64"/>
  <c r="R43"/>
  <c r="S43"/>
  <c r="V43"/>
  <c r="W43"/>
  <c r="U44"/>
  <c r="P44"/>
  <c r="Q44"/>
  <c r="R44"/>
  <c r="S44"/>
  <c r="V44"/>
  <c r="W44"/>
  <c r="U45"/>
  <c r="P45"/>
  <c r="Q45"/>
  <c r="R45"/>
  <c r="S45"/>
  <c r="V45"/>
  <c r="W45"/>
  <c r="V47"/>
  <c r="W47"/>
  <c r="V48"/>
  <c r="W48"/>
  <c r="G54"/>
  <c r="O55"/>
  <c r="T55"/>
  <c r="U55"/>
  <c r="V55"/>
  <c r="B56"/>
  <c r="D56"/>
  <c r="H56"/>
  <c r="N56"/>
  <c r="O56"/>
  <c r="P56"/>
  <c r="S56"/>
  <c r="T56"/>
  <c r="U56"/>
  <c r="V56"/>
  <c r="B59"/>
  <c r="G43" i="66"/>
  <c r="I43"/>
  <c r="G47"/>
  <c r="F7" i="67"/>
  <c r="L7"/>
  <c r="F8"/>
  <c r="L8"/>
  <c r="F9"/>
  <c r="L9"/>
  <c r="F10"/>
  <c r="L10"/>
  <c r="F11"/>
  <c r="L11"/>
  <c r="Z12"/>
  <c r="F12"/>
  <c r="G12"/>
  <c r="J12"/>
  <c r="K12"/>
  <c r="L12"/>
  <c r="Z13"/>
  <c r="F13"/>
  <c r="G13"/>
  <c r="J13"/>
  <c r="K13"/>
  <c r="L13"/>
  <c r="Z14"/>
  <c r="F14"/>
  <c r="L14"/>
  <c r="Z15"/>
  <c r="F15"/>
  <c r="G15"/>
  <c r="J15"/>
  <c r="K15"/>
  <c r="L15"/>
  <c r="F16"/>
  <c r="L16"/>
  <c r="F17"/>
  <c r="L17"/>
  <c r="L18"/>
  <c r="Y60" i="64"/>
  <c r="X59"/>
  <c r="B61"/>
  <c r="G44" i="66"/>
  <c r="I44"/>
  <c r="G48"/>
  <c r="F19" i="67"/>
  <c r="L19"/>
  <c r="F20"/>
  <c r="L20"/>
  <c r="F21"/>
  <c r="L21"/>
  <c r="F22"/>
  <c r="L22"/>
  <c r="F23"/>
  <c r="L23"/>
  <c r="Z24"/>
  <c r="F24"/>
  <c r="G24"/>
  <c r="J24"/>
  <c r="K24"/>
  <c r="L24"/>
  <c r="Z25"/>
  <c r="F25"/>
  <c r="G25"/>
  <c r="J25"/>
  <c r="K25"/>
  <c r="L25"/>
  <c r="F26"/>
  <c r="L26"/>
  <c r="F27"/>
  <c r="L27"/>
  <c r="F28"/>
  <c r="L28"/>
  <c r="F29"/>
  <c r="L29"/>
  <c r="L30"/>
  <c r="Y62" i="64"/>
  <c r="X61"/>
  <c r="F66"/>
  <c r="T67"/>
  <c r="B68"/>
  <c r="H68"/>
  <c r="L68"/>
  <c r="H69"/>
  <c r="H70"/>
  <c r="N68"/>
  <c r="S68"/>
  <c r="N69"/>
  <c r="N70"/>
  <c r="B73"/>
  <c r="S73"/>
  <c r="B75"/>
  <c r="H75"/>
  <c r="S75"/>
  <c r="H76"/>
  <c r="B78"/>
  <c r="H78"/>
  <c r="S78"/>
  <c r="B80"/>
  <c r="S80"/>
  <c r="B82"/>
  <c r="N82"/>
  <c r="S82"/>
  <c r="T82"/>
  <c r="B84"/>
  <c r="S84"/>
  <c r="B86"/>
  <c r="H86"/>
  <c r="N86"/>
  <c r="S86"/>
  <c r="B88"/>
  <c r="S88"/>
  <c r="B90"/>
  <c r="S90"/>
  <c r="B92"/>
  <c r="S92"/>
  <c r="B94"/>
  <c r="S94"/>
  <c r="B96"/>
  <c r="S96"/>
  <c r="K5" i="65"/>
  <c r="L5"/>
  <c r="M5"/>
  <c r="K6"/>
  <c r="L6"/>
  <c r="M6"/>
  <c r="C7"/>
  <c r="D7"/>
  <c r="K7"/>
  <c r="L7"/>
  <c r="M7"/>
  <c r="C8"/>
  <c r="D8"/>
  <c r="L8"/>
  <c r="M8"/>
  <c r="C9"/>
  <c r="D9"/>
  <c r="K9"/>
  <c r="L9"/>
  <c r="M9"/>
  <c r="C10"/>
  <c r="D10"/>
  <c r="K10"/>
  <c r="L10"/>
  <c r="M10"/>
  <c r="C11"/>
  <c r="D11"/>
  <c r="K11"/>
  <c r="L11"/>
  <c r="M11"/>
  <c r="C12"/>
  <c r="D12"/>
  <c r="K12"/>
  <c r="L12"/>
  <c r="M12"/>
  <c r="K13"/>
  <c r="L13"/>
  <c r="M13"/>
  <c r="D14"/>
  <c r="K14"/>
  <c r="L14"/>
  <c r="M14"/>
  <c r="D15"/>
  <c r="K15"/>
  <c r="L15"/>
  <c r="M15"/>
  <c r="D16"/>
  <c r="K16"/>
  <c r="L16"/>
  <c r="M16"/>
  <c r="D17"/>
  <c r="K17"/>
  <c r="L17"/>
  <c r="M17"/>
  <c r="D18"/>
  <c r="K18"/>
  <c r="L18"/>
  <c r="M18"/>
  <c r="D19"/>
  <c r="K19"/>
  <c r="L19"/>
  <c r="M19"/>
  <c r="K20"/>
  <c r="L20"/>
  <c r="M20"/>
  <c r="D21"/>
  <c r="K21"/>
  <c r="L21"/>
  <c r="M21"/>
  <c r="D22"/>
  <c r="K22"/>
  <c r="L22"/>
  <c r="M22"/>
  <c r="D23"/>
  <c r="K23"/>
  <c r="L23"/>
  <c r="M23"/>
  <c r="D24"/>
  <c r="L24"/>
  <c r="M24"/>
  <c r="K25"/>
  <c r="L25"/>
  <c r="M25"/>
  <c r="K26"/>
  <c r="L26"/>
  <c r="M26"/>
  <c r="D27"/>
  <c r="K27"/>
  <c r="L27"/>
  <c r="M27"/>
  <c r="D28"/>
  <c r="K28"/>
  <c r="L28"/>
  <c r="M28"/>
  <c r="D29"/>
  <c r="K29"/>
  <c r="L29"/>
  <c r="M29"/>
  <c r="D30"/>
  <c r="K30"/>
  <c r="L30"/>
  <c r="M30"/>
  <c r="D31"/>
  <c r="K31"/>
  <c r="L31"/>
  <c r="M31"/>
  <c r="D32"/>
  <c r="K32"/>
  <c r="L32"/>
  <c r="M32"/>
  <c r="K33"/>
  <c r="L33"/>
  <c r="M33"/>
  <c r="D34"/>
  <c r="D35"/>
  <c r="D36"/>
  <c r="D37"/>
  <c r="C41"/>
  <c r="C42"/>
  <c r="C43"/>
  <c r="C44"/>
  <c r="C45"/>
  <c r="D4" i="66"/>
  <c r="E5"/>
  <c r="F5"/>
  <c r="G5"/>
  <c r="H5"/>
  <c r="K5"/>
  <c r="N5"/>
  <c r="Q5"/>
  <c r="R5"/>
  <c r="S5"/>
  <c r="T5"/>
  <c r="V5"/>
  <c r="D7"/>
  <c r="H7"/>
  <c r="J7"/>
  <c r="K7"/>
  <c r="L7"/>
  <c r="P7"/>
  <c r="Q7"/>
  <c r="R7"/>
  <c r="S7"/>
  <c r="V7"/>
  <c r="L8"/>
  <c r="L9"/>
  <c r="L10"/>
  <c r="L11"/>
  <c r="L12"/>
  <c r="L13"/>
  <c r="L14"/>
  <c r="L15"/>
  <c r="L16"/>
  <c r="L17"/>
  <c r="L18"/>
  <c r="L19"/>
  <c r="L20"/>
  <c r="L21"/>
  <c r="W7"/>
  <c r="D8"/>
  <c r="H8"/>
  <c r="J8"/>
  <c r="K8"/>
  <c r="P8"/>
  <c r="Q8"/>
  <c r="R8"/>
  <c r="S8"/>
  <c r="V8"/>
  <c r="W8"/>
  <c r="D9"/>
  <c r="H9"/>
  <c r="J9"/>
  <c r="K9"/>
  <c r="P9"/>
  <c r="Q9"/>
  <c r="R9"/>
  <c r="S9"/>
  <c r="V9"/>
  <c r="W9"/>
  <c r="D10"/>
  <c r="H10"/>
  <c r="J10"/>
  <c r="K10"/>
  <c r="P10"/>
  <c r="Q10"/>
  <c r="R10"/>
  <c r="S10"/>
  <c r="V10"/>
  <c r="W10"/>
  <c r="D11"/>
  <c r="H11"/>
  <c r="J11"/>
  <c r="K11"/>
  <c r="P11"/>
  <c r="Q11"/>
  <c r="R11"/>
  <c r="S11"/>
  <c r="V11"/>
  <c r="W11"/>
  <c r="D12"/>
  <c r="H12"/>
  <c r="J12"/>
  <c r="K12"/>
  <c r="P12"/>
  <c r="Q12"/>
  <c r="R12"/>
  <c r="S12"/>
  <c r="V12"/>
  <c r="W12"/>
  <c r="D13"/>
  <c r="H13"/>
  <c r="J13"/>
  <c r="K13"/>
  <c r="P13"/>
  <c r="Q13"/>
  <c r="R13"/>
  <c r="S13"/>
  <c r="V13"/>
  <c r="W13"/>
  <c r="D14"/>
  <c r="H14"/>
  <c r="J14"/>
  <c r="K14"/>
  <c r="P14"/>
  <c r="Q14"/>
  <c r="R14"/>
  <c r="S14"/>
  <c r="V14"/>
  <c r="W14"/>
  <c r="H15"/>
  <c r="J15"/>
  <c r="K15"/>
  <c r="P15"/>
  <c r="Q15"/>
  <c r="R15"/>
  <c r="S15"/>
  <c r="V15"/>
  <c r="W15"/>
  <c r="D16"/>
  <c r="H16"/>
  <c r="P16"/>
  <c r="Q16"/>
  <c r="R16"/>
  <c r="S16"/>
  <c r="T16"/>
  <c r="V16"/>
  <c r="W16"/>
  <c r="H17"/>
  <c r="J17"/>
  <c r="K17"/>
  <c r="P17"/>
  <c r="Q17"/>
  <c r="R17"/>
  <c r="S17"/>
  <c r="V17"/>
  <c r="W17"/>
  <c r="H18"/>
  <c r="J18"/>
  <c r="K18"/>
  <c r="P18"/>
  <c r="Q18"/>
  <c r="R18"/>
  <c r="S18"/>
  <c r="V18"/>
  <c r="W18"/>
  <c r="Y18"/>
  <c r="D19"/>
  <c r="H19"/>
  <c r="J19"/>
  <c r="K19"/>
  <c r="P19"/>
  <c r="Q19"/>
  <c r="R19"/>
  <c r="S19"/>
  <c r="V19"/>
  <c r="W19"/>
  <c r="Y19"/>
  <c r="D20"/>
  <c r="H20"/>
  <c r="J20"/>
  <c r="K20"/>
  <c r="P20"/>
  <c r="Q20"/>
  <c r="R20"/>
  <c r="S20"/>
  <c r="V20"/>
  <c r="L22"/>
  <c r="L23"/>
  <c r="L24"/>
  <c r="L25"/>
  <c r="L26"/>
  <c r="L27"/>
  <c r="L28"/>
  <c r="L29"/>
  <c r="L30"/>
  <c r="L31"/>
  <c r="L32"/>
  <c r="L33"/>
  <c r="L34"/>
  <c r="L35"/>
  <c r="W20"/>
  <c r="E21"/>
  <c r="F21"/>
  <c r="P21"/>
  <c r="W21"/>
  <c r="D22"/>
  <c r="H22"/>
  <c r="J22"/>
  <c r="K22"/>
  <c r="P22"/>
  <c r="Q22"/>
  <c r="R22"/>
  <c r="S22"/>
  <c r="V22"/>
  <c r="W22"/>
  <c r="D23"/>
  <c r="H23"/>
  <c r="J23"/>
  <c r="K23"/>
  <c r="P23"/>
  <c r="Q23"/>
  <c r="R23"/>
  <c r="S23"/>
  <c r="V23"/>
  <c r="W23"/>
  <c r="D24"/>
  <c r="H24"/>
  <c r="J24"/>
  <c r="K24"/>
  <c r="P24"/>
  <c r="Q24"/>
  <c r="R24"/>
  <c r="S24"/>
  <c r="V24"/>
  <c r="W24"/>
  <c r="D25"/>
  <c r="H25"/>
  <c r="J25"/>
  <c r="K25"/>
  <c r="P25"/>
  <c r="Q25"/>
  <c r="R25"/>
  <c r="S25"/>
  <c r="V25"/>
  <c r="W25"/>
  <c r="D26"/>
  <c r="H26"/>
  <c r="J26"/>
  <c r="K26"/>
  <c r="P26"/>
  <c r="Q26"/>
  <c r="R26"/>
  <c r="S26"/>
  <c r="V26"/>
  <c r="W26"/>
  <c r="D27"/>
  <c r="H27"/>
  <c r="J27"/>
  <c r="K27"/>
  <c r="P27"/>
  <c r="Q27"/>
  <c r="R27"/>
  <c r="S27"/>
  <c r="V27"/>
  <c r="W27"/>
  <c r="D28"/>
  <c r="H28"/>
  <c r="J28"/>
  <c r="K28"/>
  <c r="P28"/>
  <c r="Q28"/>
  <c r="R28"/>
  <c r="S28"/>
  <c r="V28"/>
  <c r="W28"/>
  <c r="G29"/>
  <c r="H29"/>
  <c r="J29"/>
  <c r="K29"/>
  <c r="P29"/>
  <c r="Q29"/>
  <c r="R29"/>
  <c r="S29"/>
  <c r="V29"/>
  <c r="W29"/>
  <c r="D30"/>
  <c r="G30"/>
  <c r="H30"/>
  <c r="J30"/>
  <c r="K30"/>
  <c r="P30"/>
  <c r="Q30"/>
  <c r="R30"/>
  <c r="S30"/>
  <c r="V30"/>
  <c r="W30"/>
  <c r="H31"/>
  <c r="J31"/>
  <c r="K31"/>
  <c r="P31"/>
  <c r="Q31"/>
  <c r="R31"/>
  <c r="S31"/>
  <c r="V31"/>
  <c r="W31"/>
  <c r="H32"/>
  <c r="J32"/>
  <c r="K32"/>
  <c r="P32"/>
  <c r="Q32"/>
  <c r="R32"/>
  <c r="S32"/>
  <c r="V32"/>
  <c r="W32"/>
  <c r="Y32"/>
  <c r="D33"/>
  <c r="H33"/>
  <c r="J33"/>
  <c r="K33"/>
  <c r="P33"/>
  <c r="Q33"/>
  <c r="R33"/>
  <c r="S33"/>
  <c r="T33"/>
  <c r="V33"/>
  <c r="W33"/>
  <c r="Y33"/>
  <c r="D34"/>
  <c r="H34"/>
  <c r="J34"/>
  <c r="K34"/>
  <c r="P34"/>
  <c r="Q34"/>
  <c r="R34"/>
  <c r="S34"/>
  <c r="V34"/>
  <c r="W34"/>
  <c r="Y34"/>
  <c r="E35"/>
  <c r="F35"/>
  <c r="P35"/>
  <c r="W35"/>
  <c r="C43"/>
  <c r="E43"/>
  <c r="F43"/>
  <c r="H43"/>
  <c r="C44"/>
  <c r="E44"/>
  <c r="F44"/>
  <c r="H44"/>
  <c r="F47"/>
  <c r="H47"/>
  <c r="I47"/>
  <c r="J47"/>
  <c r="K47"/>
  <c r="F48"/>
  <c r="H48"/>
  <c r="I48"/>
  <c r="J48"/>
  <c r="K48"/>
  <c r="D4" i="67"/>
  <c r="E5"/>
  <c r="F5"/>
  <c r="G5"/>
  <c r="H5"/>
  <c r="K5"/>
  <c r="Q5"/>
  <c r="R5"/>
  <c r="S5"/>
  <c r="T5"/>
  <c r="V5"/>
  <c r="D7"/>
  <c r="E7"/>
  <c r="H7"/>
  <c r="J7"/>
  <c r="K7"/>
  <c r="P7"/>
  <c r="Q7"/>
  <c r="S7"/>
  <c r="V7"/>
  <c r="W7"/>
  <c r="D8"/>
  <c r="E8"/>
  <c r="H8"/>
  <c r="J8"/>
  <c r="K8"/>
  <c r="P8"/>
  <c r="Q8"/>
  <c r="S8"/>
  <c r="V8"/>
  <c r="W8"/>
  <c r="D9"/>
  <c r="E9"/>
  <c r="H9"/>
  <c r="J9"/>
  <c r="K9"/>
  <c r="P9"/>
  <c r="Q9"/>
  <c r="S9"/>
  <c r="V9"/>
  <c r="W9"/>
  <c r="D10"/>
  <c r="E10"/>
  <c r="H10"/>
  <c r="J10"/>
  <c r="K10"/>
  <c r="P10"/>
  <c r="Q10"/>
  <c r="S10"/>
  <c r="V10"/>
  <c r="W10"/>
  <c r="D11"/>
  <c r="E11"/>
  <c r="H11"/>
  <c r="J11"/>
  <c r="K11"/>
  <c r="P11"/>
  <c r="Q11"/>
  <c r="S11"/>
  <c r="V11"/>
  <c r="W11"/>
  <c r="D12"/>
  <c r="Y12"/>
  <c r="E12"/>
  <c r="H12"/>
  <c r="P12"/>
  <c r="Q12"/>
  <c r="S12"/>
  <c r="V12"/>
  <c r="W12"/>
  <c r="Y13"/>
  <c r="E13"/>
  <c r="H13"/>
  <c r="P13"/>
  <c r="Q13"/>
  <c r="S13"/>
  <c r="V13"/>
  <c r="W13"/>
  <c r="Y14"/>
  <c r="E14"/>
  <c r="H14"/>
  <c r="J14"/>
  <c r="K14"/>
  <c r="P14"/>
  <c r="Q14"/>
  <c r="S14"/>
  <c r="V14"/>
  <c r="W14"/>
  <c r="Y15"/>
  <c r="E15"/>
  <c r="H15"/>
  <c r="P15"/>
  <c r="Q15"/>
  <c r="S15"/>
  <c r="V15"/>
  <c r="W15"/>
  <c r="D16"/>
  <c r="E16"/>
  <c r="H16"/>
  <c r="J16"/>
  <c r="K16"/>
  <c r="P16"/>
  <c r="Q16"/>
  <c r="S16"/>
  <c r="V16"/>
  <c r="W16"/>
  <c r="D17"/>
  <c r="E17"/>
  <c r="H17"/>
  <c r="J17"/>
  <c r="K17"/>
  <c r="P17"/>
  <c r="Q17"/>
  <c r="S17"/>
  <c r="V17"/>
  <c r="W17"/>
  <c r="E18"/>
  <c r="F18"/>
  <c r="P18"/>
  <c r="W18"/>
  <c r="D19"/>
  <c r="E19"/>
  <c r="H19"/>
  <c r="J19"/>
  <c r="K19"/>
  <c r="P19"/>
  <c r="Q19"/>
  <c r="S19"/>
  <c r="V19"/>
  <c r="W19"/>
  <c r="D20"/>
  <c r="E20"/>
  <c r="H20"/>
  <c r="J20"/>
  <c r="K20"/>
  <c r="P20"/>
  <c r="Q20"/>
  <c r="S20"/>
  <c r="V20"/>
  <c r="W20"/>
  <c r="D21"/>
  <c r="E21"/>
  <c r="H21"/>
  <c r="J21"/>
  <c r="K21"/>
  <c r="P21"/>
  <c r="Q21"/>
  <c r="S21"/>
  <c r="V21"/>
  <c r="W21"/>
  <c r="D22"/>
  <c r="E22"/>
  <c r="H22"/>
  <c r="J22"/>
  <c r="K22"/>
  <c r="P22"/>
  <c r="Q22"/>
  <c r="S22"/>
  <c r="V22"/>
  <c r="W22"/>
  <c r="D23"/>
  <c r="E23"/>
  <c r="H23"/>
  <c r="J23"/>
  <c r="K23"/>
  <c r="P23"/>
  <c r="Q23"/>
  <c r="S23"/>
  <c r="V23"/>
  <c r="W23"/>
  <c r="D24"/>
  <c r="Y24"/>
  <c r="E24"/>
  <c r="H24"/>
  <c r="P24"/>
  <c r="Q24"/>
  <c r="S24"/>
  <c r="V24"/>
  <c r="W24"/>
  <c r="Y25"/>
  <c r="E25"/>
  <c r="H25"/>
  <c r="P25"/>
  <c r="Q25"/>
  <c r="S25"/>
  <c r="V25"/>
  <c r="W25"/>
  <c r="E26"/>
  <c r="H26"/>
  <c r="J26"/>
  <c r="K26"/>
  <c r="P26"/>
  <c r="Q26"/>
  <c r="S26"/>
  <c r="V26"/>
  <c r="W26"/>
  <c r="D27"/>
  <c r="E27"/>
  <c r="H27"/>
  <c r="J27"/>
  <c r="K27"/>
  <c r="P27"/>
  <c r="Q27"/>
  <c r="S27"/>
  <c r="V27"/>
  <c r="W27"/>
  <c r="D28"/>
  <c r="E28"/>
  <c r="H28"/>
  <c r="J28"/>
  <c r="K28"/>
  <c r="P28"/>
  <c r="Q28"/>
  <c r="S28"/>
  <c r="V28"/>
  <c r="W28"/>
  <c r="D29"/>
  <c r="E29"/>
  <c r="H29"/>
  <c r="J29"/>
  <c r="K29"/>
  <c r="P29"/>
  <c r="Q29"/>
  <c r="S29"/>
  <c r="V29"/>
  <c r="W29"/>
  <c r="E30"/>
  <c r="F30"/>
  <c r="P30"/>
  <c r="W30"/>
  <c r="D36"/>
  <c r="G37"/>
  <c r="C43"/>
  <c r="C44"/>
  <c r="D4" i="68"/>
  <c r="E5"/>
  <c r="F5"/>
  <c r="G5"/>
  <c r="H5"/>
  <c r="P5"/>
  <c r="Q5"/>
  <c r="R5"/>
  <c r="S5"/>
  <c r="D7"/>
  <c r="E7"/>
  <c r="F7"/>
  <c r="H7"/>
  <c r="J7"/>
  <c r="K7"/>
  <c r="O7"/>
  <c r="P7"/>
  <c r="E8"/>
  <c r="Y7"/>
  <c r="Y8"/>
  <c r="Y9"/>
  <c r="Z9" a="1"/>
  <c r="Z9"/>
  <c r="Z10"/>
  <c r="E9"/>
  <c r="E10"/>
  <c r="Z11"/>
  <c r="E11"/>
  <c r="E12"/>
  <c r="W7"/>
  <c r="F8"/>
  <c r="H8"/>
  <c r="J8"/>
  <c r="K8"/>
  <c r="O8"/>
  <c r="P8"/>
  <c r="W8"/>
  <c r="AA9" a="1"/>
  <c r="AA9"/>
  <c r="AA10"/>
  <c r="F9"/>
  <c r="H9"/>
  <c r="J9"/>
  <c r="K9"/>
  <c r="O9"/>
  <c r="P9"/>
  <c r="W9"/>
  <c r="F10"/>
  <c r="H10"/>
  <c r="J10"/>
  <c r="K10"/>
  <c r="O10"/>
  <c r="P10"/>
  <c r="W10"/>
  <c r="Y10"/>
  <c r="AA11"/>
  <c r="F11"/>
  <c r="H11"/>
  <c r="J11"/>
  <c r="K11"/>
  <c r="O11"/>
  <c r="P11"/>
  <c r="W11"/>
  <c r="Y11"/>
  <c r="H12"/>
  <c r="K12"/>
  <c r="O12"/>
  <c r="W12"/>
  <c r="D13"/>
  <c r="E13"/>
  <c r="F13"/>
  <c r="H13"/>
  <c r="J13"/>
  <c r="K13"/>
  <c r="O13"/>
  <c r="P13"/>
  <c r="E14"/>
  <c r="Y13"/>
  <c r="Y14"/>
  <c r="Y15"/>
  <c r="Z15" a="1"/>
  <c r="Z15"/>
  <c r="Z16"/>
  <c r="E15"/>
  <c r="E16"/>
  <c r="Z17"/>
  <c r="E17"/>
  <c r="E18"/>
  <c r="W13"/>
  <c r="F14"/>
  <c r="H14"/>
  <c r="J14"/>
  <c r="K14"/>
  <c r="O14"/>
  <c r="P14"/>
  <c r="W14"/>
  <c r="AA15" a="1"/>
  <c r="AA15"/>
  <c r="AA16"/>
  <c r="F15"/>
  <c r="H15"/>
  <c r="J15"/>
  <c r="K15"/>
  <c r="O15"/>
  <c r="P15"/>
  <c r="W15"/>
  <c r="F16"/>
  <c r="H16"/>
  <c r="J16"/>
  <c r="K16"/>
  <c r="O16"/>
  <c r="P16"/>
  <c r="W16"/>
  <c r="Y16"/>
  <c r="AA17"/>
  <c r="F17"/>
  <c r="H17"/>
  <c r="J17"/>
  <c r="K17"/>
  <c r="O17"/>
  <c r="P17"/>
  <c r="W17"/>
  <c r="Y17"/>
  <c r="F18"/>
  <c r="H18"/>
  <c r="K18"/>
  <c r="O18"/>
  <c r="W18"/>
  <c r="C26"/>
  <c r="E26"/>
  <c r="F26"/>
  <c r="C27"/>
  <c r="E27"/>
  <c r="F27"/>
  <c r="D4" i="69"/>
  <c r="E5"/>
  <c r="F5"/>
  <c r="G5"/>
  <c r="H5"/>
  <c r="P5"/>
  <c r="Q5"/>
  <c r="R5"/>
  <c r="S5"/>
  <c r="D7"/>
  <c r="E7"/>
  <c r="F7"/>
  <c r="H7"/>
  <c r="J7"/>
  <c r="K7"/>
  <c r="O7"/>
  <c r="P7"/>
  <c r="E8"/>
  <c r="E9"/>
  <c r="E10"/>
  <c r="E11"/>
  <c r="E12"/>
  <c r="E13"/>
  <c r="E14"/>
  <c r="W7"/>
  <c r="D8"/>
  <c r="F8"/>
  <c r="H8"/>
  <c r="J8"/>
  <c r="K8"/>
  <c r="O8"/>
  <c r="P8"/>
  <c r="W8"/>
  <c r="D9"/>
  <c r="F9"/>
  <c r="H9"/>
  <c r="J9"/>
  <c r="K9"/>
  <c r="O9"/>
  <c r="P9"/>
  <c r="W9"/>
  <c r="D10"/>
  <c r="F10"/>
  <c r="H10"/>
  <c r="J10"/>
  <c r="K10"/>
  <c r="O10"/>
  <c r="P10"/>
  <c r="W10"/>
  <c r="F11"/>
  <c r="H11"/>
  <c r="J11"/>
  <c r="K11"/>
  <c r="O11"/>
  <c r="P11"/>
  <c r="W11"/>
  <c r="D12"/>
  <c r="F12"/>
  <c r="H12"/>
  <c r="J12"/>
  <c r="K12"/>
  <c r="O12"/>
  <c r="P12"/>
  <c r="W12"/>
  <c r="D13"/>
  <c r="F13"/>
  <c r="H13"/>
  <c r="J13"/>
  <c r="K13"/>
  <c r="O13"/>
  <c r="P13"/>
  <c r="W13"/>
  <c r="F14"/>
  <c r="H14"/>
  <c r="K14"/>
  <c r="O14"/>
  <c r="W14"/>
  <c r="D15"/>
  <c r="E15"/>
  <c r="F15"/>
  <c r="H15"/>
  <c r="J15"/>
  <c r="K15"/>
  <c r="O15"/>
  <c r="P15"/>
  <c r="E16"/>
  <c r="E17"/>
  <c r="E18"/>
  <c r="E19"/>
  <c r="E20"/>
  <c r="E21"/>
  <c r="E22"/>
  <c r="W15"/>
  <c r="D16"/>
  <c r="F16"/>
  <c r="H16"/>
  <c r="J16"/>
  <c r="K16"/>
  <c r="O16"/>
  <c r="P16"/>
  <c r="W16"/>
  <c r="D17"/>
  <c r="F17"/>
  <c r="H17"/>
  <c r="J17"/>
  <c r="K17"/>
  <c r="O17"/>
  <c r="P17"/>
  <c r="W17"/>
  <c r="D18"/>
  <c r="F18"/>
  <c r="H18"/>
  <c r="J18"/>
  <c r="K18"/>
  <c r="O18"/>
  <c r="P18"/>
  <c r="W18"/>
  <c r="F19"/>
  <c r="H19"/>
  <c r="J19"/>
  <c r="K19"/>
  <c r="O19"/>
  <c r="P19"/>
  <c r="W19"/>
  <c r="D20"/>
  <c r="F20"/>
  <c r="H20"/>
  <c r="J20"/>
  <c r="K20"/>
  <c r="O20"/>
  <c r="P20"/>
  <c r="W20"/>
  <c r="D21"/>
  <c r="F21"/>
  <c r="H21"/>
  <c r="J21"/>
  <c r="K21"/>
  <c r="O21"/>
  <c r="P21"/>
  <c r="W21"/>
  <c r="F22"/>
  <c r="H22"/>
  <c r="K22"/>
  <c r="O22"/>
  <c r="W22"/>
  <c r="C30"/>
  <c r="E30"/>
  <c r="F30"/>
  <c r="C31"/>
  <c r="E31"/>
  <c r="F31"/>
  <c r="D4" i="70"/>
  <c r="E5"/>
  <c r="F5"/>
  <c r="G5"/>
  <c r="H5"/>
  <c r="P5"/>
  <c r="Q5"/>
  <c r="R5"/>
  <c r="S5"/>
  <c r="D7"/>
  <c r="E7"/>
  <c r="F7"/>
  <c r="H7"/>
  <c r="J7"/>
  <c r="K7"/>
  <c r="O7"/>
  <c r="P7"/>
  <c r="Q7"/>
  <c r="R7"/>
  <c r="Y8"/>
  <c r="AB8" a="1"/>
  <c r="AB8"/>
  <c r="AB9"/>
  <c r="AB10"/>
  <c r="E8"/>
  <c r="E9"/>
  <c r="E10"/>
  <c r="AB11"/>
  <c r="E11"/>
  <c r="E12"/>
  <c r="W7"/>
  <c r="Y7"/>
  <c r="AC8" a="1"/>
  <c r="AC8"/>
  <c r="AC9"/>
  <c r="AC10"/>
  <c r="F8"/>
  <c r="H8"/>
  <c r="J8"/>
  <c r="K8"/>
  <c r="O8"/>
  <c r="P8"/>
  <c r="Q8"/>
  <c r="R8"/>
  <c r="W8"/>
  <c r="F9"/>
  <c r="H9"/>
  <c r="J9"/>
  <c r="K9"/>
  <c r="O9"/>
  <c r="P9"/>
  <c r="Q9"/>
  <c r="R9"/>
  <c r="W9"/>
  <c r="Y9"/>
  <c r="F10"/>
  <c r="H10"/>
  <c r="J10"/>
  <c r="K10"/>
  <c r="O10"/>
  <c r="P10"/>
  <c r="Q10"/>
  <c r="R10"/>
  <c r="W10"/>
  <c r="Y10"/>
  <c r="AC11"/>
  <c r="F11"/>
  <c r="H11"/>
  <c r="J11"/>
  <c r="K11"/>
  <c r="O11"/>
  <c r="P11"/>
  <c r="Q11"/>
  <c r="R11"/>
  <c r="W11"/>
  <c r="Y11"/>
  <c r="F12"/>
  <c r="H12"/>
  <c r="K12"/>
  <c r="O12"/>
  <c r="W12"/>
  <c r="D13"/>
  <c r="E13"/>
  <c r="F13"/>
  <c r="H13"/>
  <c r="J13"/>
  <c r="K13"/>
  <c r="O13"/>
  <c r="P13"/>
  <c r="Q13"/>
  <c r="R13"/>
  <c r="Y14"/>
  <c r="AB14" a="1"/>
  <c r="AB14"/>
  <c r="AB15"/>
  <c r="AB16"/>
  <c r="E14"/>
  <c r="E15"/>
  <c r="E16"/>
  <c r="AB17"/>
  <c r="E17"/>
  <c r="E18"/>
  <c r="W13"/>
  <c r="Y13"/>
  <c r="AC14" a="1"/>
  <c r="AC14"/>
  <c r="AC15"/>
  <c r="AC16"/>
  <c r="F14"/>
  <c r="H14"/>
  <c r="J14"/>
  <c r="K14"/>
  <c r="O14"/>
  <c r="P14"/>
  <c r="Q14"/>
  <c r="R14"/>
  <c r="W14"/>
  <c r="F15"/>
  <c r="H15"/>
  <c r="J15"/>
  <c r="K15"/>
  <c r="O15"/>
  <c r="P15"/>
  <c r="Q15"/>
  <c r="R15"/>
  <c r="W15"/>
  <c r="Y15"/>
  <c r="F16"/>
  <c r="H16"/>
  <c r="J16"/>
  <c r="K16"/>
  <c r="O16"/>
  <c r="P16"/>
  <c r="Q16"/>
  <c r="R16"/>
  <c r="W16"/>
  <c r="Y16"/>
  <c r="AC17"/>
  <c r="F17"/>
  <c r="H17"/>
  <c r="J17"/>
  <c r="K17"/>
  <c r="O17"/>
  <c r="P17"/>
  <c r="Q17"/>
  <c r="R17"/>
  <c r="W17"/>
  <c r="Y17"/>
  <c r="F18"/>
  <c r="H18"/>
  <c r="K18"/>
  <c r="O18"/>
  <c r="W18"/>
  <c r="C27"/>
  <c r="E27"/>
  <c r="F27"/>
  <c r="C28"/>
  <c r="E28"/>
  <c r="F28"/>
  <c r="D4" i="71"/>
  <c r="E5"/>
  <c r="F5"/>
  <c r="G5"/>
  <c r="H5"/>
  <c r="P5"/>
  <c r="Q5"/>
  <c r="R5"/>
  <c r="S5"/>
  <c r="Y7"/>
  <c r="Z7"/>
  <c r="E7"/>
  <c r="AA7"/>
  <c r="F7"/>
  <c r="H7"/>
  <c r="J7"/>
  <c r="K7"/>
  <c r="O7"/>
  <c r="P7"/>
  <c r="Q7"/>
  <c r="Z8"/>
  <c r="E8"/>
  <c r="E9"/>
  <c r="W7"/>
  <c r="AA8"/>
  <c r="F8"/>
  <c r="H8"/>
  <c r="J8"/>
  <c r="K8"/>
  <c r="O8"/>
  <c r="P8"/>
  <c r="Q8"/>
  <c r="W8"/>
  <c r="Y8"/>
  <c r="F9"/>
  <c r="H9"/>
  <c r="K9"/>
  <c r="O9"/>
  <c r="W9"/>
  <c r="E10"/>
  <c r="F10"/>
  <c r="H10"/>
  <c r="J10"/>
  <c r="K10"/>
  <c r="O10"/>
  <c r="P10"/>
  <c r="Q10"/>
  <c r="E11"/>
  <c r="W10"/>
  <c r="F11"/>
  <c r="H11"/>
  <c r="K11"/>
  <c r="O11"/>
  <c r="W11"/>
  <c r="D12"/>
  <c r="E12"/>
  <c r="F12"/>
  <c r="H12"/>
  <c r="J12"/>
  <c r="K12"/>
  <c r="O12"/>
  <c r="P12"/>
  <c r="Q12"/>
  <c r="E13"/>
  <c r="E14"/>
  <c r="W12"/>
  <c r="F13"/>
  <c r="H13"/>
  <c r="J13"/>
  <c r="K13"/>
  <c r="O13"/>
  <c r="P13"/>
  <c r="Q13"/>
  <c r="W13"/>
  <c r="F14"/>
  <c r="H14"/>
  <c r="K14"/>
  <c r="O14"/>
  <c r="W14"/>
  <c r="E15"/>
  <c r="F15"/>
  <c r="H15"/>
  <c r="J15"/>
  <c r="K15"/>
  <c r="O15"/>
  <c r="P15"/>
  <c r="Q15"/>
  <c r="E16"/>
  <c r="W15"/>
  <c r="F16"/>
  <c r="H16"/>
  <c r="K16"/>
  <c r="O16"/>
  <c r="W16"/>
  <c r="E17"/>
  <c r="F17"/>
  <c r="H17"/>
  <c r="J17"/>
  <c r="K17"/>
  <c r="O17"/>
  <c r="P17"/>
  <c r="Q17"/>
  <c r="E18"/>
  <c r="F18"/>
  <c r="H18"/>
  <c r="K18"/>
  <c r="O18"/>
  <c r="D19"/>
  <c r="E19"/>
  <c r="F19"/>
  <c r="H19"/>
  <c r="J19"/>
  <c r="K19"/>
  <c r="O19"/>
  <c r="P19"/>
  <c r="E20"/>
  <c r="E21"/>
  <c r="E22"/>
  <c r="E23"/>
  <c r="E24"/>
  <c r="W19"/>
  <c r="D20"/>
  <c r="F20"/>
  <c r="H20"/>
  <c r="J20"/>
  <c r="K20"/>
  <c r="O20"/>
  <c r="P20"/>
  <c r="W20"/>
  <c r="D21"/>
  <c r="F21"/>
  <c r="H21"/>
  <c r="J21"/>
  <c r="K21"/>
  <c r="O21"/>
  <c r="P21"/>
  <c r="S21"/>
  <c r="W21"/>
  <c r="D22"/>
  <c r="F22"/>
  <c r="H22"/>
  <c r="J22"/>
  <c r="K22"/>
  <c r="O22"/>
  <c r="P22"/>
  <c r="W22"/>
  <c r="D23"/>
  <c r="F23"/>
  <c r="H23"/>
  <c r="J23"/>
  <c r="K23"/>
  <c r="O23"/>
  <c r="P23"/>
  <c r="W23"/>
  <c r="F24"/>
  <c r="H24"/>
  <c r="K24"/>
  <c r="O24"/>
  <c r="W24"/>
  <c r="D30"/>
  <c r="H31"/>
  <c r="J31"/>
  <c r="B32"/>
  <c r="C32"/>
  <c r="E32"/>
  <c r="F32"/>
  <c r="G32"/>
  <c r="H32"/>
  <c r="I32"/>
  <c r="J32"/>
  <c r="B33"/>
  <c r="C33"/>
  <c r="E33"/>
  <c r="F33"/>
  <c r="G33"/>
  <c r="H33"/>
  <c r="I33"/>
  <c r="J33"/>
  <c r="B34"/>
  <c r="C34"/>
  <c r="E34"/>
  <c r="F34"/>
  <c r="G34"/>
  <c r="H34"/>
  <c r="I34"/>
  <c r="J34"/>
  <c r="B35"/>
  <c r="C35"/>
  <c r="E35"/>
  <c r="F35"/>
  <c r="G35"/>
  <c r="H35"/>
  <c r="I35"/>
  <c r="J35"/>
  <c r="B36"/>
  <c r="C36"/>
  <c r="E36"/>
  <c r="F36"/>
  <c r="G36"/>
  <c r="H36"/>
  <c r="I36"/>
  <c r="J36"/>
  <c r="B37"/>
  <c r="C37"/>
  <c r="E37"/>
  <c r="F37"/>
  <c r="G37"/>
  <c r="H37"/>
  <c r="I37"/>
  <c r="J37"/>
  <c r="E38"/>
  <c r="F38"/>
  <c r="G38"/>
  <c r="H38"/>
  <c r="I38"/>
  <c r="J38"/>
  <c r="E39"/>
  <c r="F39"/>
  <c r="G39"/>
  <c r="H39"/>
  <c r="I39"/>
  <c r="J39"/>
  <c r="E40"/>
  <c r="F40"/>
  <c r="G40"/>
  <c r="H40"/>
  <c r="I40"/>
  <c r="J40"/>
  <c r="E41"/>
  <c r="F41"/>
  <c r="G41"/>
  <c r="H41"/>
  <c r="I41"/>
  <c r="J41"/>
  <c r="E42"/>
  <c r="F42"/>
  <c r="G42"/>
  <c r="H42"/>
  <c r="I42"/>
  <c r="J42"/>
  <c r="E43"/>
  <c r="F43"/>
  <c r="G43"/>
  <c r="H43"/>
  <c r="I43"/>
  <c r="J43"/>
  <c r="H12" i="72"/>
  <c r="L14"/>
  <c r="M14"/>
  <c r="N14"/>
  <c r="O14"/>
  <c r="P14"/>
  <c r="P14" a="1"/>
  <c r="Q14"/>
  <c r="Y14"/>
  <c r="P15"/>
  <c r="Q15"/>
  <c r="P16"/>
  <c r="Q16"/>
  <c r="L17"/>
  <c r="M17"/>
  <c r="N17"/>
  <c r="O17"/>
  <c r="P17"/>
  <c r="Q17"/>
  <c r="L18"/>
  <c r="M18"/>
  <c r="N18"/>
  <c r="O18"/>
  <c r="P18"/>
  <c r="Q18"/>
  <c r="Y18"/>
  <c r="P19"/>
  <c r="Q19"/>
  <c r="P20"/>
  <c r="Q20"/>
  <c r="L21"/>
  <c r="M21"/>
  <c r="N21"/>
  <c r="O21"/>
  <c r="P21"/>
  <c r="Q21"/>
  <c r="L22"/>
  <c r="M22"/>
  <c r="N22"/>
  <c r="O22"/>
  <c r="P22"/>
  <c r="Q22"/>
  <c r="Y22"/>
  <c r="P23"/>
  <c r="Q23"/>
  <c r="P24"/>
  <c r="Q24"/>
  <c r="L25"/>
  <c r="M25"/>
  <c r="N25"/>
  <c r="O25"/>
  <c r="P25"/>
  <c r="Q25"/>
  <c r="C26"/>
  <c r="K26"/>
  <c r="S26"/>
  <c r="K27"/>
  <c r="K28"/>
  <c r="L28"/>
  <c r="M28"/>
  <c r="N28"/>
  <c r="O28"/>
  <c r="K29"/>
  <c r="L29"/>
  <c r="M29"/>
  <c r="N29"/>
  <c r="O29"/>
  <c r="C30"/>
  <c r="K30"/>
  <c r="P30"/>
  <c r="S30"/>
  <c r="K31"/>
  <c r="K32"/>
  <c r="L32"/>
  <c r="M32"/>
  <c r="N32"/>
  <c r="O32"/>
  <c r="K33"/>
  <c r="L33"/>
  <c r="M33"/>
  <c r="N33"/>
  <c r="O33"/>
  <c r="C34"/>
  <c r="K34"/>
  <c r="P34"/>
  <c r="S34"/>
  <c r="K35"/>
  <c r="K36"/>
  <c r="L36"/>
  <c r="M36"/>
  <c r="N36"/>
  <c r="O36"/>
  <c r="K37"/>
  <c r="L37"/>
  <c r="M37"/>
  <c r="N37"/>
  <c r="O37"/>
  <c r="C38"/>
  <c r="K38"/>
  <c r="P38"/>
  <c r="S38"/>
  <c r="K39"/>
  <c r="K40"/>
  <c r="L40"/>
  <c r="M40"/>
  <c r="N40"/>
  <c r="O40"/>
  <c r="K41"/>
  <c r="L41"/>
  <c r="M41"/>
  <c r="N41"/>
  <c r="O41"/>
  <c r="C42"/>
  <c r="K42"/>
  <c r="P42"/>
  <c r="S42"/>
  <c r="K43"/>
  <c r="K44"/>
  <c r="L44"/>
  <c r="M44"/>
  <c r="N44"/>
  <c r="O44"/>
  <c r="K45"/>
  <c r="L45"/>
  <c r="M45"/>
  <c r="N45"/>
  <c r="O45"/>
  <c r="C46"/>
  <c r="K46"/>
  <c r="S46"/>
  <c r="K47"/>
  <c r="K48"/>
  <c r="L48"/>
  <c r="M48"/>
  <c r="N48"/>
  <c r="O48"/>
  <c r="K49"/>
  <c r="L49"/>
  <c r="M49"/>
  <c r="N49"/>
  <c r="O49"/>
  <c r="C50"/>
  <c r="K50"/>
  <c r="P50"/>
  <c r="S50"/>
  <c r="K51"/>
  <c r="K52"/>
  <c r="L52"/>
  <c r="M52"/>
  <c r="N52"/>
  <c r="O52"/>
  <c r="K53"/>
  <c r="L53"/>
  <c r="M53"/>
  <c r="N53"/>
  <c r="O53"/>
  <c r="C54"/>
  <c r="K54"/>
  <c r="P54"/>
  <c r="S54"/>
  <c r="K55"/>
  <c r="K56"/>
  <c r="L56"/>
  <c r="M56"/>
  <c r="N56"/>
  <c r="O56"/>
  <c r="K57"/>
  <c r="L57"/>
  <c r="M57"/>
  <c r="N57"/>
  <c r="O57"/>
  <c r="C58"/>
  <c r="K58"/>
  <c r="P58"/>
  <c r="S58"/>
  <c r="K59"/>
  <c r="K60"/>
  <c r="L60"/>
  <c r="M60"/>
  <c r="N60"/>
  <c r="O60"/>
  <c r="K61"/>
  <c r="L61"/>
  <c r="M61"/>
  <c r="N61"/>
  <c r="O61"/>
  <c r="C62"/>
  <c r="K62"/>
  <c r="P62"/>
  <c r="S62"/>
  <c r="K63"/>
  <c r="K64"/>
  <c r="L64"/>
  <c r="M64"/>
  <c r="N64"/>
  <c r="O64"/>
  <c r="K65"/>
  <c r="L65"/>
  <c r="M65"/>
  <c r="N65"/>
  <c r="O65"/>
  <c r="C66"/>
  <c r="K66"/>
  <c r="S66"/>
  <c r="K67"/>
  <c r="K68"/>
  <c r="L68"/>
  <c r="M68"/>
  <c r="N68"/>
  <c r="O68"/>
  <c r="K69"/>
  <c r="L69"/>
  <c r="M69"/>
  <c r="N69"/>
  <c r="O69"/>
  <c r="C70"/>
  <c r="K70"/>
  <c r="P70"/>
  <c r="S70"/>
  <c r="K71"/>
  <c r="K72"/>
  <c r="L72"/>
  <c r="M72"/>
  <c r="N72"/>
  <c r="O72"/>
  <c r="K73"/>
  <c r="L73"/>
  <c r="M73"/>
  <c r="N73"/>
  <c r="O73"/>
  <c r="C74"/>
  <c r="K74"/>
  <c r="P74"/>
  <c r="S74"/>
  <c r="K75"/>
  <c r="K76"/>
  <c r="L76"/>
  <c r="M76"/>
  <c r="N76"/>
  <c r="O76"/>
  <c r="K77"/>
  <c r="L77"/>
  <c r="M77"/>
  <c r="N77"/>
  <c r="O77"/>
  <c r="C78"/>
  <c r="K78"/>
  <c r="P78"/>
  <c r="S78"/>
  <c r="K79"/>
  <c r="K80"/>
  <c r="L80"/>
  <c r="M80"/>
  <c r="N80"/>
  <c r="O80"/>
  <c r="K81"/>
  <c r="L81"/>
  <c r="M81"/>
  <c r="N81"/>
  <c r="O81"/>
  <c r="C82"/>
  <c r="K82"/>
  <c r="P82"/>
  <c r="S82"/>
  <c r="K83"/>
  <c r="K84"/>
  <c r="L84"/>
  <c r="M84"/>
  <c r="N84"/>
  <c r="O84"/>
  <c r="K85"/>
  <c r="L85"/>
  <c r="M85"/>
  <c r="N85"/>
  <c r="O85"/>
  <c r="C86"/>
  <c r="D86"/>
  <c r="K86"/>
  <c r="M86"/>
  <c r="S86"/>
  <c r="D87"/>
  <c r="K87"/>
  <c r="M87"/>
  <c r="D88"/>
  <c r="K88"/>
  <c r="C89"/>
  <c r="D89"/>
  <c r="K89"/>
  <c r="M89"/>
  <c r="S89"/>
  <c r="D90"/>
  <c r="K90"/>
  <c r="M90"/>
  <c r="D91"/>
  <c r="K91"/>
  <c r="C92"/>
  <c r="D92"/>
  <c r="K92"/>
  <c r="M92"/>
  <c r="S92"/>
  <c r="D93"/>
  <c r="K93"/>
  <c r="M93"/>
  <c r="D94"/>
  <c r="K94"/>
  <c r="C95"/>
  <c r="D95"/>
  <c r="K95"/>
  <c r="M95"/>
  <c r="S95"/>
  <c r="D96"/>
  <c r="K96"/>
  <c r="M96"/>
  <c r="D97"/>
  <c r="K97"/>
  <c r="C98"/>
  <c r="D98"/>
  <c r="K98"/>
  <c r="M98"/>
  <c r="S98"/>
  <c r="D99"/>
  <c r="K99"/>
  <c r="M99"/>
  <c r="D100"/>
  <c r="K100"/>
  <c r="C101"/>
  <c r="D101"/>
  <c r="K101"/>
  <c r="M101"/>
  <c r="P101"/>
  <c r="S101"/>
  <c r="D102"/>
  <c r="K102"/>
  <c r="M102"/>
  <c r="D103"/>
  <c r="K103"/>
  <c r="C104"/>
  <c r="D104"/>
  <c r="K104"/>
  <c r="M104"/>
  <c r="S104"/>
  <c r="D105"/>
  <c r="K105"/>
  <c r="M105"/>
  <c r="D106"/>
  <c r="K106"/>
  <c r="C107"/>
  <c r="D107"/>
  <c r="K107"/>
  <c r="M107"/>
  <c r="S107"/>
  <c r="D108"/>
  <c r="K108"/>
  <c r="M108"/>
  <c r="D109"/>
  <c r="K109"/>
  <c r="C110"/>
  <c r="D110"/>
  <c r="K110"/>
  <c r="M110"/>
  <c r="P110"/>
  <c r="S110"/>
  <c r="D111"/>
  <c r="K111"/>
  <c r="M111"/>
  <c r="D112"/>
  <c r="K112"/>
  <c r="F5" i="73"/>
  <c r="M6"/>
  <c r="N6"/>
  <c r="P6"/>
  <c r="S6"/>
  <c r="E10"/>
  <c r="B7"/>
  <c r="D7"/>
  <c r="H7"/>
  <c r="I7"/>
  <c r="O7"/>
  <c r="P7"/>
  <c r="Q7"/>
  <c r="R7"/>
  <c r="D8"/>
  <c r="H8"/>
  <c r="I8"/>
  <c r="M8"/>
  <c r="N8"/>
  <c r="H9"/>
  <c r="I9"/>
  <c r="M9"/>
  <c r="N9"/>
  <c r="E15"/>
  <c r="B11"/>
  <c r="D11"/>
  <c r="H11"/>
  <c r="I11"/>
  <c r="O11"/>
  <c r="P11"/>
  <c r="Q11"/>
  <c r="R11"/>
  <c r="S11"/>
  <c r="T11"/>
  <c r="D12"/>
  <c r="H12"/>
  <c r="I12"/>
  <c r="M12"/>
  <c r="N12"/>
  <c r="D13"/>
  <c r="M13"/>
  <c r="N13"/>
  <c r="E17"/>
  <c r="B16"/>
  <c r="D16"/>
  <c r="O16"/>
  <c r="P16"/>
  <c r="Q16"/>
  <c r="R16"/>
  <c r="E19"/>
  <c r="B18"/>
  <c r="D18"/>
  <c r="O18"/>
  <c r="P18"/>
  <c r="Q18"/>
  <c r="R18"/>
  <c r="S18"/>
  <c r="T18"/>
  <c r="E23"/>
  <c r="B20"/>
  <c r="D20"/>
  <c r="H20"/>
  <c r="I20"/>
  <c r="M20"/>
  <c r="N20"/>
  <c r="O20"/>
  <c r="P20"/>
  <c r="Q20"/>
  <c r="R20"/>
  <c r="D21"/>
  <c r="H21"/>
  <c r="I21"/>
  <c r="M21"/>
  <c r="N21"/>
  <c r="D22"/>
  <c r="H22"/>
  <c r="I22"/>
  <c r="M22"/>
  <c r="N22"/>
  <c r="E25"/>
  <c r="B24"/>
  <c r="D24"/>
  <c r="O24"/>
  <c r="P24"/>
  <c r="Q24"/>
  <c r="R24"/>
  <c r="S24"/>
  <c r="T24"/>
  <c r="E28"/>
  <c r="B26"/>
  <c r="O26"/>
  <c r="P26"/>
  <c r="Q26"/>
  <c r="R26"/>
  <c r="E30"/>
  <c r="B29"/>
  <c r="D29"/>
  <c r="O29"/>
  <c r="P29"/>
  <c r="Q29"/>
  <c r="R29"/>
  <c r="E32"/>
  <c r="B31"/>
  <c r="D31"/>
  <c r="O31"/>
  <c r="P31"/>
  <c r="Q31"/>
  <c r="R31"/>
  <c r="G36"/>
  <c r="E39"/>
  <c r="B38"/>
  <c r="D40"/>
  <c r="P42"/>
  <c r="R42"/>
  <c r="S42"/>
  <c r="P43"/>
  <c r="R43"/>
  <c r="S43"/>
  <c r="P44"/>
  <c r="R44"/>
  <c r="S44"/>
  <c r="R46"/>
  <c r="S46"/>
  <c r="G52"/>
  <c r="O53"/>
  <c r="T53"/>
  <c r="U53"/>
  <c r="V53"/>
  <c r="E55"/>
  <c r="B54"/>
  <c r="D54"/>
  <c r="H54"/>
  <c r="N54"/>
  <c r="O54"/>
  <c r="P54"/>
  <c r="S54"/>
  <c r="T54"/>
  <c r="U54"/>
  <c r="V54"/>
  <c r="B59"/>
  <c r="F6" i="76"/>
  <c r="L6"/>
  <c r="F7"/>
  <c r="L7"/>
  <c r="F8"/>
  <c r="L8"/>
  <c r="F9"/>
  <c r="L9"/>
  <c r="F10"/>
  <c r="L10"/>
  <c r="F11"/>
  <c r="L11"/>
  <c r="F12"/>
  <c r="G12"/>
  <c r="J12"/>
  <c r="K12"/>
  <c r="L12"/>
  <c r="F13"/>
  <c r="L13"/>
  <c r="F14"/>
  <c r="L14"/>
  <c r="F15"/>
  <c r="L15"/>
  <c r="F16"/>
  <c r="L16"/>
  <c r="L17"/>
  <c r="X59" i="73"/>
  <c r="Y61"/>
  <c r="F65"/>
  <c r="T66"/>
  <c r="B67"/>
  <c r="H67"/>
  <c r="L67"/>
  <c r="H68"/>
  <c r="H69"/>
  <c r="N67"/>
  <c r="S67"/>
  <c r="N68"/>
  <c r="N69"/>
  <c r="B72"/>
  <c r="H72"/>
  <c r="S72"/>
  <c r="H73"/>
  <c r="B75"/>
  <c r="H75"/>
  <c r="S75"/>
  <c r="B77"/>
  <c r="S77"/>
  <c r="B79"/>
  <c r="H79"/>
  <c r="N79"/>
  <c r="S79"/>
  <c r="T79"/>
  <c r="H80"/>
  <c r="H81"/>
  <c r="N81"/>
  <c r="B83"/>
  <c r="S83"/>
  <c r="B85"/>
  <c r="H85"/>
  <c r="S85"/>
  <c r="H86"/>
  <c r="B88"/>
  <c r="S88"/>
  <c r="B90"/>
  <c r="S90"/>
  <c r="B92"/>
  <c r="S92"/>
  <c r="B94"/>
  <c r="S94"/>
  <c r="B96"/>
  <c r="S96"/>
  <c r="C104"/>
  <c r="L104"/>
  <c r="D105"/>
  <c r="F105"/>
  <c r="G105"/>
  <c r="H105"/>
  <c r="J105"/>
  <c r="K105"/>
  <c r="L105"/>
  <c r="M105"/>
  <c r="N105"/>
  <c r="O105"/>
  <c r="P105"/>
  <c r="Y7" i="75"/>
  <c r="AC7"/>
  <c r="F7"/>
  <c r="L7"/>
  <c r="AC8"/>
  <c r="F8"/>
  <c r="L8"/>
  <c r="F9"/>
  <c r="L9"/>
  <c r="F10"/>
  <c r="L10"/>
  <c r="F11"/>
  <c r="L11"/>
  <c r="F12"/>
  <c r="L12"/>
  <c r="F13"/>
  <c r="L13"/>
  <c r="F14"/>
  <c r="G14"/>
  <c r="J14"/>
  <c r="K14"/>
  <c r="L14"/>
  <c r="Y8"/>
  <c r="Y9"/>
  <c r="Y10"/>
  <c r="Y11"/>
  <c r="Y12"/>
  <c r="Y13"/>
  <c r="Y14"/>
  <c r="Y15"/>
  <c r="AC15"/>
  <c r="F15"/>
  <c r="L15"/>
  <c r="AC16"/>
  <c r="F16"/>
  <c r="L16"/>
  <c r="F17"/>
  <c r="L17"/>
  <c r="F18"/>
  <c r="L18"/>
  <c r="L19"/>
  <c r="K106" i="73"/>
  <c r="K107"/>
  <c r="J108"/>
  <c r="K108"/>
  <c r="J109"/>
  <c r="K109"/>
  <c r="K110"/>
  <c r="K111"/>
  <c r="C115"/>
  <c r="G117"/>
  <c r="H117"/>
  <c r="F118"/>
  <c r="G118"/>
  <c r="H118"/>
  <c r="D119"/>
  <c r="E119"/>
  <c r="G119"/>
  <c r="H119"/>
  <c r="I119"/>
  <c r="D120"/>
  <c r="E120"/>
  <c r="G120"/>
  <c r="H120"/>
  <c r="I120"/>
  <c r="F121"/>
  <c r="G121"/>
  <c r="H121"/>
  <c r="F122"/>
  <c r="G122"/>
  <c r="H122"/>
  <c r="D124"/>
  <c r="E124"/>
  <c r="D125"/>
  <c r="E125"/>
  <c r="D127"/>
  <c r="E127"/>
  <c r="D128"/>
  <c r="E128"/>
  <c r="K5" i="74"/>
  <c r="L5"/>
  <c r="M5"/>
  <c r="K6"/>
  <c r="L6"/>
  <c r="M6"/>
  <c r="C7"/>
  <c r="D7"/>
  <c r="K7"/>
  <c r="L7"/>
  <c r="M7"/>
  <c r="C8"/>
  <c r="D8"/>
  <c r="L8"/>
  <c r="M8"/>
  <c r="C9"/>
  <c r="D9"/>
  <c r="K9"/>
  <c r="L9"/>
  <c r="M9"/>
  <c r="C10"/>
  <c r="D10"/>
  <c r="K10"/>
  <c r="L10"/>
  <c r="M10"/>
  <c r="C11"/>
  <c r="D11"/>
  <c r="K11"/>
  <c r="L11"/>
  <c r="M11"/>
  <c r="C12"/>
  <c r="D12"/>
  <c r="K12"/>
  <c r="L12"/>
  <c r="M12"/>
  <c r="K13"/>
  <c r="L13"/>
  <c r="M13"/>
  <c r="D14"/>
  <c r="K14"/>
  <c r="L14"/>
  <c r="M14"/>
  <c r="D15"/>
  <c r="K15"/>
  <c r="L15"/>
  <c r="M15"/>
  <c r="D16"/>
  <c r="K16"/>
  <c r="L16"/>
  <c r="M16"/>
  <c r="D17"/>
  <c r="K17"/>
  <c r="L17"/>
  <c r="M17"/>
  <c r="D18"/>
  <c r="K18"/>
  <c r="L18"/>
  <c r="M18"/>
  <c r="D19"/>
  <c r="K19"/>
  <c r="L19"/>
  <c r="M19"/>
  <c r="K20"/>
  <c r="L20"/>
  <c r="M20"/>
  <c r="D21"/>
  <c r="K21"/>
  <c r="L21"/>
  <c r="M21"/>
  <c r="D22"/>
  <c r="K22"/>
  <c r="L22"/>
  <c r="M22"/>
  <c r="D23"/>
  <c r="K23"/>
  <c r="L23"/>
  <c r="M23"/>
  <c r="D24"/>
  <c r="K24"/>
  <c r="L24"/>
  <c r="M24"/>
  <c r="L25"/>
  <c r="M25"/>
  <c r="K26"/>
  <c r="L26"/>
  <c r="M26"/>
  <c r="D27"/>
  <c r="K27"/>
  <c r="L27"/>
  <c r="M27"/>
  <c r="D28"/>
  <c r="K28"/>
  <c r="L28"/>
  <c r="M28"/>
  <c r="D29"/>
  <c r="K29"/>
  <c r="L29"/>
  <c r="M29"/>
  <c r="D30"/>
  <c r="K30"/>
  <c r="L30"/>
  <c r="M30"/>
  <c r="D31"/>
  <c r="K31"/>
  <c r="L31"/>
  <c r="M31"/>
  <c r="D32"/>
  <c r="K32"/>
  <c r="L32"/>
  <c r="M32"/>
  <c r="K33"/>
  <c r="L33"/>
  <c r="M33"/>
  <c r="D34"/>
  <c r="K34"/>
  <c r="L34"/>
  <c r="M34"/>
  <c r="D35"/>
  <c r="K35"/>
  <c r="L35"/>
  <c r="M35"/>
  <c r="D36"/>
  <c r="K36"/>
  <c r="L36"/>
  <c r="M36"/>
  <c r="B37"/>
  <c r="D37"/>
  <c r="C41"/>
  <c r="C42"/>
  <c r="C44"/>
  <c r="C45"/>
  <c r="D4" i="75"/>
  <c r="E5"/>
  <c r="F5"/>
  <c r="G5"/>
  <c r="H5"/>
  <c r="K5"/>
  <c r="N5"/>
  <c r="Q5"/>
  <c r="R5"/>
  <c r="S5"/>
  <c r="T5"/>
  <c r="V5"/>
  <c r="D7"/>
  <c r="AB7"/>
  <c r="E7"/>
  <c r="H7"/>
  <c r="J7"/>
  <c r="K7"/>
  <c r="P7"/>
  <c r="Q7"/>
  <c r="S7"/>
  <c r="AB8"/>
  <c r="E8"/>
  <c r="E9"/>
  <c r="E10"/>
  <c r="E11"/>
  <c r="E12"/>
  <c r="E13"/>
  <c r="E14"/>
  <c r="AB15"/>
  <c r="E15"/>
  <c r="AB16"/>
  <c r="E16"/>
  <c r="E17"/>
  <c r="E18"/>
  <c r="E19"/>
  <c r="W7"/>
  <c r="D8"/>
  <c r="H8"/>
  <c r="J8"/>
  <c r="K8"/>
  <c r="P8"/>
  <c r="Q8"/>
  <c r="S8"/>
  <c r="W8"/>
  <c r="D9"/>
  <c r="H9"/>
  <c r="J9"/>
  <c r="K9"/>
  <c r="P9"/>
  <c r="Q9"/>
  <c r="S9"/>
  <c r="W9"/>
  <c r="D10"/>
  <c r="H10"/>
  <c r="J10"/>
  <c r="K10"/>
  <c r="P10"/>
  <c r="Q10"/>
  <c r="S10"/>
  <c r="W10"/>
  <c r="D11"/>
  <c r="H11"/>
  <c r="J11"/>
  <c r="K11"/>
  <c r="P11"/>
  <c r="Q11"/>
  <c r="S11"/>
  <c r="W11"/>
  <c r="D12"/>
  <c r="H12"/>
  <c r="J12"/>
  <c r="K12"/>
  <c r="P12"/>
  <c r="Q12"/>
  <c r="S12"/>
  <c r="W12"/>
  <c r="D13"/>
  <c r="H13"/>
  <c r="J13"/>
  <c r="K13"/>
  <c r="P13"/>
  <c r="Q13"/>
  <c r="S13"/>
  <c r="W13"/>
  <c r="D14"/>
  <c r="H14"/>
  <c r="P14"/>
  <c r="Q14"/>
  <c r="S14"/>
  <c r="W14"/>
  <c r="H15"/>
  <c r="J15"/>
  <c r="K15"/>
  <c r="P15"/>
  <c r="Q15"/>
  <c r="S15"/>
  <c r="W15"/>
  <c r="H16"/>
  <c r="J16"/>
  <c r="K16"/>
  <c r="P16"/>
  <c r="Q16"/>
  <c r="S16"/>
  <c r="W16"/>
  <c r="Y16"/>
  <c r="D17"/>
  <c r="H17"/>
  <c r="J17"/>
  <c r="K17"/>
  <c r="P17"/>
  <c r="Q17"/>
  <c r="R17"/>
  <c r="S17"/>
  <c r="W17"/>
  <c r="Y17"/>
  <c r="D18"/>
  <c r="H18"/>
  <c r="J18"/>
  <c r="K18"/>
  <c r="P18"/>
  <c r="Q18"/>
  <c r="S18"/>
  <c r="W18"/>
  <c r="Y18"/>
  <c r="F19"/>
  <c r="P19"/>
  <c r="W19"/>
  <c r="D20"/>
  <c r="Y20"/>
  <c r="AB20"/>
  <c r="E20"/>
  <c r="AC20"/>
  <c r="F20"/>
  <c r="H20"/>
  <c r="J20"/>
  <c r="K20"/>
  <c r="L20"/>
  <c r="P20"/>
  <c r="Q20"/>
  <c r="V20"/>
  <c r="AB21"/>
  <c r="E21"/>
  <c r="E22"/>
  <c r="E23"/>
  <c r="E24"/>
  <c r="E25"/>
  <c r="E26"/>
  <c r="E27"/>
  <c r="Y21"/>
  <c r="Y22"/>
  <c r="Y23"/>
  <c r="Y24"/>
  <c r="Y25"/>
  <c r="Y26"/>
  <c r="Y27"/>
  <c r="Y28"/>
  <c r="AB28"/>
  <c r="E28"/>
  <c r="AB29"/>
  <c r="E29"/>
  <c r="E30"/>
  <c r="E31"/>
  <c r="E32"/>
  <c r="W20"/>
  <c r="D21"/>
  <c r="F21"/>
  <c r="H21"/>
  <c r="J21"/>
  <c r="K21"/>
  <c r="L21"/>
  <c r="P21"/>
  <c r="Q21"/>
  <c r="V21"/>
  <c r="W21"/>
  <c r="AC21"/>
  <c r="D22"/>
  <c r="F22"/>
  <c r="H22"/>
  <c r="J22"/>
  <c r="K22"/>
  <c r="L22"/>
  <c r="P22"/>
  <c r="Q22"/>
  <c r="V22"/>
  <c r="W22"/>
  <c r="D23"/>
  <c r="F23"/>
  <c r="H23"/>
  <c r="J23"/>
  <c r="K23"/>
  <c r="L23"/>
  <c r="P23"/>
  <c r="Q23"/>
  <c r="V23"/>
  <c r="W23"/>
  <c r="D24"/>
  <c r="F24"/>
  <c r="H24"/>
  <c r="J24"/>
  <c r="K24"/>
  <c r="L24"/>
  <c r="P24"/>
  <c r="Q24"/>
  <c r="V24"/>
  <c r="W24"/>
  <c r="D25"/>
  <c r="F25"/>
  <c r="H25"/>
  <c r="J25"/>
  <c r="K25"/>
  <c r="L25"/>
  <c r="P25"/>
  <c r="Q25"/>
  <c r="V25"/>
  <c r="W25"/>
  <c r="D26"/>
  <c r="F26"/>
  <c r="H26"/>
  <c r="J26"/>
  <c r="K26"/>
  <c r="L26"/>
  <c r="P26"/>
  <c r="Q26"/>
  <c r="V26"/>
  <c r="W26"/>
  <c r="D27"/>
  <c r="F27"/>
  <c r="G27"/>
  <c r="H27"/>
  <c r="J27"/>
  <c r="K27"/>
  <c r="L27"/>
  <c r="P27"/>
  <c r="Q27"/>
  <c r="V27"/>
  <c r="W27"/>
  <c r="AC28"/>
  <c r="F28"/>
  <c r="H28"/>
  <c r="J28"/>
  <c r="K28"/>
  <c r="L28"/>
  <c r="P28"/>
  <c r="Q28"/>
  <c r="V28"/>
  <c r="W28"/>
  <c r="AC29"/>
  <c r="F29"/>
  <c r="H29"/>
  <c r="J29"/>
  <c r="K29"/>
  <c r="L29"/>
  <c r="P29"/>
  <c r="Q29"/>
  <c r="V29"/>
  <c r="W29"/>
  <c r="Y29"/>
  <c r="D30"/>
  <c r="F30"/>
  <c r="H30"/>
  <c r="J30"/>
  <c r="K30"/>
  <c r="L30"/>
  <c r="P30"/>
  <c r="Q30"/>
  <c r="V30"/>
  <c r="W30"/>
  <c r="Y30"/>
  <c r="D31"/>
  <c r="F31"/>
  <c r="H31"/>
  <c r="J31"/>
  <c r="K31"/>
  <c r="L31"/>
  <c r="P31"/>
  <c r="Q31"/>
  <c r="V31"/>
  <c r="W31"/>
  <c r="Y31"/>
  <c r="F32"/>
  <c r="H32"/>
  <c r="K32"/>
  <c r="L32"/>
  <c r="P32"/>
  <c r="W32"/>
  <c r="C41"/>
  <c r="C42"/>
  <c r="E42"/>
  <c r="G42"/>
  <c r="F42"/>
  <c r="H42"/>
  <c r="D4" i="76"/>
  <c r="E5"/>
  <c r="F5"/>
  <c r="G5"/>
  <c r="H5"/>
  <c r="K5"/>
  <c r="Q5"/>
  <c r="R5"/>
  <c r="S5"/>
  <c r="T5"/>
  <c r="V5"/>
  <c r="D6"/>
  <c r="E6"/>
  <c r="H6"/>
  <c r="J6"/>
  <c r="K6"/>
  <c r="P6"/>
  <c r="Q6"/>
  <c r="S6"/>
  <c r="V6"/>
  <c r="E7"/>
  <c r="E8"/>
  <c r="E9"/>
  <c r="E10"/>
  <c r="E11"/>
  <c r="E12"/>
  <c r="E13"/>
  <c r="E14"/>
  <c r="E15"/>
  <c r="E16"/>
  <c r="E17"/>
  <c r="W6"/>
  <c r="D7"/>
  <c r="H7"/>
  <c r="J7"/>
  <c r="K7"/>
  <c r="P7"/>
  <c r="Q7"/>
  <c r="S7"/>
  <c r="V7"/>
  <c r="W7"/>
  <c r="H8"/>
  <c r="J8"/>
  <c r="K8"/>
  <c r="P8"/>
  <c r="Q8"/>
  <c r="S8"/>
  <c r="V8"/>
  <c r="W8"/>
  <c r="H9"/>
  <c r="J9"/>
  <c r="K9"/>
  <c r="P9"/>
  <c r="Q9"/>
  <c r="S9"/>
  <c r="V9"/>
  <c r="W9"/>
  <c r="D10"/>
  <c r="H10"/>
  <c r="J10"/>
  <c r="K10"/>
  <c r="P10"/>
  <c r="Q10"/>
  <c r="S10"/>
  <c r="V10"/>
  <c r="W10"/>
  <c r="D11"/>
  <c r="H11"/>
  <c r="J11"/>
  <c r="K11"/>
  <c r="P11"/>
  <c r="Q11"/>
  <c r="S11"/>
  <c r="V11"/>
  <c r="W11"/>
  <c r="D12"/>
  <c r="H12"/>
  <c r="P12"/>
  <c r="Q12"/>
  <c r="S12"/>
  <c r="V12"/>
  <c r="W12"/>
  <c r="H13"/>
  <c r="J13"/>
  <c r="K13"/>
  <c r="P13"/>
  <c r="Q13"/>
  <c r="S13"/>
  <c r="V13"/>
  <c r="W13"/>
  <c r="D14"/>
  <c r="H14"/>
  <c r="J14"/>
  <c r="K14"/>
  <c r="P14"/>
  <c r="Q14"/>
  <c r="R14"/>
  <c r="S14"/>
  <c r="V14"/>
  <c r="W14"/>
  <c r="D15"/>
  <c r="H15"/>
  <c r="J15"/>
  <c r="K15"/>
  <c r="P15"/>
  <c r="Q15"/>
  <c r="S15"/>
  <c r="V15"/>
  <c r="W15"/>
  <c r="D16"/>
  <c r="H16"/>
  <c r="J16"/>
  <c r="K16"/>
  <c r="P16"/>
  <c r="Q16"/>
  <c r="S16"/>
  <c r="V16"/>
  <c r="W16"/>
  <c r="F17"/>
  <c r="K17"/>
  <c r="P17"/>
  <c r="W17"/>
  <c r="D21"/>
  <c r="G22"/>
  <c r="C27"/>
  <c r="D4" i="77"/>
  <c r="E5"/>
  <c r="F5"/>
  <c r="G5"/>
  <c r="H5"/>
  <c r="P5"/>
  <c r="Q5"/>
  <c r="R5"/>
  <c r="S5"/>
  <c r="D7"/>
  <c r="E7"/>
  <c r="F7"/>
  <c r="H7"/>
  <c r="J7"/>
  <c r="K7"/>
  <c r="O7"/>
  <c r="P7"/>
  <c r="R7"/>
  <c r="E8"/>
  <c r="E9"/>
  <c r="E10"/>
  <c r="X7"/>
  <c r="X8"/>
  <c r="X9"/>
  <c r="X10"/>
  <c r="X11"/>
  <c r="Y11" a="1"/>
  <c r="Y11"/>
  <c r="Y12"/>
  <c r="E11"/>
  <c r="E12"/>
  <c r="Y13"/>
  <c r="E13"/>
  <c r="E14"/>
  <c r="V7"/>
  <c r="D8"/>
  <c r="F8"/>
  <c r="H8"/>
  <c r="J8"/>
  <c r="K8"/>
  <c r="O8"/>
  <c r="P8"/>
  <c r="R8"/>
  <c r="V8"/>
  <c r="D9"/>
  <c r="F9"/>
  <c r="H9"/>
  <c r="J9"/>
  <c r="K9"/>
  <c r="O9"/>
  <c r="P9"/>
  <c r="R9"/>
  <c r="V9"/>
  <c r="F10"/>
  <c r="H10"/>
  <c r="J10"/>
  <c r="K10"/>
  <c r="O10"/>
  <c r="P10"/>
  <c r="R10"/>
  <c r="V10"/>
  <c r="Z11" a="1"/>
  <c r="Z11"/>
  <c r="Z12"/>
  <c r="F11"/>
  <c r="H11"/>
  <c r="J11"/>
  <c r="K11"/>
  <c r="O11"/>
  <c r="P11"/>
  <c r="R11"/>
  <c r="V11"/>
  <c r="F12"/>
  <c r="H12"/>
  <c r="J12"/>
  <c r="K12"/>
  <c r="O12"/>
  <c r="P12"/>
  <c r="R12"/>
  <c r="V12"/>
  <c r="X12"/>
  <c r="Z13"/>
  <c r="F13"/>
  <c r="H13"/>
  <c r="J13"/>
  <c r="K13"/>
  <c r="O13"/>
  <c r="P13"/>
  <c r="R13"/>
  <c r="V13"/>
  <c r="X13"/>
  <c r="F14"/>
  <c r="H14"/>
  <c r="K14"/>
  <c r="O14"/>
  <c r="V14"/>
  <c r="D15"/>
  <c r="E15"/>
  <c r="F15"/>
  <c r="H15"/>
  <c r="J15"/>
  <c r="K15"/>
  <c r="O15"/>
  <c r="P15"/>
  <c r="R15"/>
  <c r="E16"/>
  <c r="E17"/>
  <c r="E18"/>
  <c r="X15"/>
  <c r="X16"/>
  <c r="X17"/>
  <c r="X18"/>
  <c r="X19"/>
  <c r="Y19" a="1"/>
  <c r="Y19"/>
  <c r="Y20"/>
  <c r="E19"/>
  <c r="E20"/>
  <c r="Y21"/>
  <c r="E21"/>
  <c r="E22"/>
  <c r="V15"/>
  <c r="D16"/>
  <c r="F16"/>
  <c r="H16"/>
  <c r="J16"/>
  <c r="K16"/>
  <c r="O16"/>
  <c r="P16"/>
  <c r="R16"/>
  <c r="V16"/>
  <c r="D17"/>
  <c r="F17"/>
  <c r="H17"/>
  <c r="J17"/>
  <c r="K17"/>
  <c r="O17"/>
  <c r="P17"/>
  <c r="R17"/>
  <c r="V17"/>
  <c r="F18"/>
  <c r="H18"/>
  <c r="J18"/>
  <c r="K18"/>
  <c r="O18"/>
  <c r="P18"/>
  <c r="R18"/>
  <c r="V18"/>
  <c r="D19"/>
  <c r="Z19" a="1"/>
  <c r="Z19"/>
  <c r="Z20"/>
  <c r="F19"/>
  <c r="H19"/>
  <c r="J19"/>
  <c r="K19"/>
  <c r="O19"/>
  <c r="P19"/>
  <c r="R19"/>
  <c r="V19"/>
  <c r="D20"/>
  <c r="F20"/>
  <c r="H20"/>
  <c r="J20"/>
  <c r="K20"/>
  <c r="O20"/>
  <c r="P20"/>
  <c r="R20"/>
  <c r="V20"/>
  <c r="X20"/>
  <c r="D21"/>
  <c r="Z21"/>
  <c r="F21"/>
  <c r="H21"/>
  <c r="J21"/>
  <c r="K21"/>
  <c r="O21"/>
  <c r="P21"/>
  <c r="R21"/>
  <c r="V21"/>
  <c r="X21"/>
  <c r="F22"/>
  <c r="H22"/>
  <c r="K22"/>
  <c r="O22"/>
  <c r="V22"/>
  <c r="C30"/>
  <c r="E30"/>
  <c r="F30"/>
  <c r="C31"/>
  <c r="E31"/>
  <c r="F31"/>
  <c r="D4" i="78"/>
  <c r="E5"/>
  <c r="F5"/>
  <c r="G5"/>
  <c r="H5"/>
  <c r="P5"/>
  <c r="Q5"/>
  <c r="R5"/>
  <c r="S5"/>
  <c r="D6"/>
  <c r="E6"/>
  <c r="F6"/>
  <c r="H6"/>
  <c r="J6"/>
  <c r="K6"/>
  <c r="O6"/>
  <c r="P6"/>
  <c r="E7"/>
  <c r="E8"/>
  <c r="E9"/>
  <c r="E11"/>
  <c r="V6"/>
  <c r="D7"/>
  <c r="F7"/>
  <c r="H7"/>
  <c r="J7"/>
  <c r="K7"/>
  <c r="O7"/>
  <c r="P7"/>
  <c r="V7"/>
  <c r="D8"/>
  <c r="F8"/>
  <c r="H8"/>
  <c r="J8"/>
  <c r="K8"/>
  <c r="O8"/>
  <c r="P8"/>
  <c r="V8"/>
  <c r="F9"/>
  <c r="H9"/>
  <c r="J9"/>
  <c r="K9"/>
  <c r="O9"/>
  <c r="P9"/>
  <c r="V9"/>
  <c r="D10"/>
  <c r="E10"/>
  <c r="F10"/>
  <c r="H10"/>
  <c r="J10"/>
  <c r="K10"/>
  <c r="O10"/>
  <c r="P10"/>
  <c r="V10"/>
  <c r="F11"/>
  <c r="H11"/>
  <c r="K11"/>
  <c r="O11"/>
  <c r="V11"/>
  <c r="E19"/>
  <c r="F19"/>
  <c r="Z2" i="79"/>
  <c r="D4"/>
  <c r="E5"/>
  <c r="F5"/>
  <c r="G5"/>
  <c r="H5"/>
  <c r="P5"/>
  <c r="Q5"/>
  <c r="R5"/>
  <c r="S5"/>
  <c r="D6"/>
  <c r="E6"/>
  <c r="F6"/>
  <c r="H6"/>
  <c r="J6"/>
  <c r="K6"/>
  <c r="O6"/>
  <c r="P6"/>
  <c r="Q6"/>
  <c r="R6"/>
  <c r="Z7" a="1"/>
  <c r="Z7"/>
  <c r="Z8"/>
  <c r="Z9"/>
  <c r="Z10"/>
  <c r="E7"/>
  <c r="E8"/>
  <c r="E9"/>
  <c r="E10"/>
  <c r="Z11"/>
  <c r="E11"/>
  <c r="E12"/>
  <c r="V6"/>
  <c r="AA7" a="1"/>
  <c r="AA7"/>
  <c r="AA8"/>
  <c r="AA9"/>
  <c r="AA10"/>
  <c r="F7"/>
  <c r="H7"/>
  <c r="J7"/>
  <c r="K7"/>
  <c r="O7"/>
  <c r="P7"/>
  <c r="Q7"/>
  <c r="R7"/>
  <c r="V7"/>
  <c r="F8"/>
  <c r="H8"/>
  <c r="J8"/>
  <c r="K8"/>
  <c r="O8"/>
  <c r="P8"/>
  <c r="Q8"/>
  <c r="R8"/>
  <c r="V8"/>
  <c r="F9"/>
  <c r="H9"/>
  <c r="J9"/>
  <c r="K9"/>
  <c r="O9"/>
  <c r="P9"/>
  <c r="Q9"/>
  <c r="R9"/>
  <c r="V9"/>
  <c r="F10"/>
  <c r="H10"/>
  <c r="J10"/>
  <c r="K10"/>
  <c r="O10"/>
  <c r="P10"/>
  <c r="Q10"/>
  <c r="R10"/>
  <c r="V10"/>
  <c r="AA11"/>
  <c r="F11"/>
  <c r="H11"/>
  <c r="J11"/>
  <c r="K11"/>
  <c r="O11"/>
  <c r="P11"/>
  <c r="Q11"/>
  <c r="R11"/>
  <c r="V11"/>
  <c r="F12"/>
  <c r="H12"/>
  <c r="K12"/>
  <c r="O12"/>
  <c r="V12"/>
  <c r="E20"/>
  <c r="F20"/>
  <c r="D4" i="80"/>
  <c r="E5"/>
  <c r="F5"/>
  <c r="G5"/>
  <c r="H5"/>
  <c r="P5"/>
  <c r="Q5"/>
  <c r="R5"/>
  <c r="S5"/>
  <c r="E7"/>
  <c r="F7"/>
  <c r="H7"/>
  <c r="J7"/>
  <c r="K7"/>
  <c r="O7"/>
  <c r="P7"/>
  <c r="Q7"/>
  <c r="R7"/>
  <c r="E8"/>
  <c r="V7"/>
  <c r="F8"/>
  <c r="H8"/>
  <c r="K8"/>
  <c r="O8"/>
  <c r="V8"/>
  <c r="E9"/>
  <c r="F9"/>
  <c r="H9"/>
  <c r="J9"/>
  <c r="K9"/>
  <c r="O9"/>
  <c r="P9"/>
  <c r="Q9"/>
  <c r="R9"/>
  <c r="E10"/>
  <c r="V9"/>
  <c r="F10"/>
  <c r="H10"/>
  <c r="K10"/>
  <c r="O10"/>
  <c r="V10"/>
  <c r="E11"/>
  <c r="F11"/>
  <c r="H11"/>
  <c r="J11"/>
  <c r="K11"/>
  <c r="O11"/>
  <c r="P11"/>
  <c r="Q11"/>
  <c r="R11"/>
  <c r="E12"/>
  <c r="E13"/>
  <c r="E14"/>
  <c r="V11"/>
  <c r="D12"/>
  <c r="F12"/>
  <c r="H12"/>
  <c r="J12"/>
  <c r="K12"/>
  <c r="O12"/>
  <c r="P12"/>
  <c r="Q12"/>
  <c r="R12"/>
  <c r="V12"/>
  <c r="D13"/>
  <c r="F13"/>
  <c r="H13"/>
  <c r="J13"/>
  <c r="K13"/>
  <c r="O13"/>
  <c r="P13"/>
  <c r="Q13"/>
  <c r="R13"/>
  <c r="V13"/>
  <c r="F14"/>
  <c r="H14"/>
  <c r="K14"/>
  <c r="O14"/>
  <c r="V14"/>
  <c r="D20"/>
  <c r="H21"/>
  <c r="J21"/>
  <c r="B22"/>
  <c r="C22"/>
  <c r="E22"/>
  <c r="F22"/>
  <c r="G22"/>
  <c r="H22"/>
  <c r="I22"/>
  <c r="J22"/>
  <c r="B23"/>
  <c r="C23"/>
  <c r="E23"/>
  <c r="F23"/>
  <c r="G23"/>
  <c r="H23"/>
  <c r="I23"/>
  <c r="J23"/>
  <c r="B24"/>
  <c r="C24"/>
  <c r="E24"/>
  <c r="F24"/>
  <c r="G24"/>
  <c r="H24"/>
  <c r="I24"/>
  <c r="J24"/>
  <c r="B25"/>
  <c r="C25"/>
  <c r="E25"/>
  <c r="F25"/>
  <c r="G25"/>
  <c r="H25"/>
  <c r="I25"/>
  <c r="J25"/>
  <c r="E26"/>
  <c r="F26"/>
  <c r="G26"/>
  <c r="H26"/>
  <c r="I26"/>
  <c r="J26"/>
  <c r="E27"/>
  <c r="F27"/>
  <c r="G27"/>
  <c r="H27"/>
  <c r="I27"/>
  <c r="J27"/>
  <c r="E28"/>
  <c r="F28"/>
  <c r="G28"/>
  <c r="H28"/>
  <c r="I28"/>
  <c r="J28"/>
  <c r="H272" i="81"/>
  <c r="H273"/>
  <c r="H274"/>
  <c r="H275"/>
  <c r="H276"/>
  <c r="H277"/>
  <c r="H278"/>
  <c r="H279"/>
  <c r="H280"/>
  <c r="C1" i="82"/>
  <c r="C4"/>
  <c r="C2"/>
  <c r="D4"/>
  <c r="D2"/>
  <c r="E4"/>
  <c r="E2"/>
  <c r="F4"/>
  <c r="F2"/>
  <c r="G4"/>
  <c r="G2"/>
  <c r="K4"/>
  <c r="K2"/>
  <c r="Q4"/>
  <c r="Q2"/>
  <c r="C5"/>
  <c r="C3"/>
  <c r="D5"/>
  <c r="D3"/>
  <c r="E5"/>
  <c r="E3"/>
  <c r="F5"/>
  <c r="F3"/>
  <c r="G5"/>
  <c r="G3"/>
  <c r="K5"/>
  <c r="K3"/>
  <c r="M5"/>
  <c r="M3"/>
  <c r="N5"/>
  <c r="N3"/>
  <c r="O5"/>
  <c r="O3"/>
  <c r="Q5"/>
  <c r="Q3"/>
  <c r="L4"/>
  <c r="M4"/>
  <c r="N4"/>
  <c r="O4"/>
  <c r="L5"/>
  <c r="F6"/>
  <c r="G6"/>
  <c r="N6"/>
  <c r="O6"/>
  <c r="Q6"/>
  <c r="U6"/>
  <c r="F7"/>
  <c r="G7"/>
  <c r="N7"/>
  <c r="O7"/>
  <c r="Q7"/>
  <c r="U7"/>
  <c r="F8"/>
  <c r="G8"/>
  <c r="N8"/>
  <c r="O8"/>
  <c r="Q8"/>
  <c r="U8"/>
  <c r="F9"/>
  <c r="G9"/>
  <c r="N9"/>
  <c r="O9"/>
  <c r="Q9"/>
  <c r="U9"/>
  <c r="F10"/>
  <c r="G10"/>
  <c r="N10"/>
  <c r="O10"/>
  <c r="Q10"/>
  <c r="U10"/>
  <c r="F11"/>
  <c r="G11"/>
  <c r="N11"/>
  <c r="O11"/>
  <c r="Q11"/>
  <c r="U11"/>
  <c r="F12"/>
  <c r="G12"/>
  <c r="N12"/>
  <c r="O12"/>
  <c r="Q12"/>
  <c r="U12"/>
  <c r="F13"/>
  <c r="G13"/>
  <c r="N13"/>
  <c r="O13"/>
  <c r="Q13"/>
  <c r="U13"/>
  <c r="F14"/>
  <c r="G14"/>
  <c r="N14"/>
  <c r="O14"/>
  <c r="Q14"/>
  <c r="U14"/>
  <c r="F15"/>
  <c r="G15"/>
  <c r="N15"/>
  <c r="O15"/>
  <c r="Q15"/>
  <c r="U15"/>
  <c r="F16"/>
  <c r="G16"/>
  <c r="N16"/>
  <c r="O16"/>
  <c r="Q16"/>
  <c r="U16"/>
  <c r="F17"/>
  <c r="G17"/>
  <c r="L17"/>
  <c r="N17"/>
  <c r="O17"/>
  <c r="Q17"/>
  <c r="U17"/>
  <c r="E24"/>
  <c r="G25"/>
  <c r="H25"/>
  <c r="I25"/>
  <c r="J25"/>
  <c r="K25"/>
  <c r="G26"/>
  <c r="H26"/>
  <c r="I26"/>
  <c r="J26"/>
  <c r="K26"/>
  <c r="L26"/>
  <c r="M26"/>
  <c r="N26"/>
  <c r="O26"/>
  <c r="I28"/>
  <c r="L28"/>
  <c r="N28"/>
  <c r="I31"/>
  <c r="L31"/>
  <c r="I35"/>
  <c r="L35"/>
  <c r="N35"/>
  <c r="I36"/>
  <c r="L36"/>
  <c r="N36"/>
  <c r="Q38"/>
  <c r="I43"/>
  <c r="L43"/>
  <c r="N43"/>
  <c r="O45"/>
  <c r="T45"/>
  <c r="I45"/>
  <c r="J45"/>
  <c r="K45"/>
  <c r="L45"/>
  <c r="M45"/>
  <c r="N45"/>
  <c r="O46"/>
  <c r="G46"/>
  <c r="F46"/>
  <c r="I46"/>
  <c r="L46"/>
  <c r="N46"/>
  <c r="O48"/>
  <c r="G48"/>
  <c r="F48"/>
  <c r="I48"/>
  <c r="L48"/>
  <c r="N48"/>
  <c r="O49"/>
  <c r="T49"/>
  <c r="I49"/>
  <c r="J49"/>
  <c r="K49"/>
  <c r="L49"/>
  <c r="M49"/>
  <c r="N49"/>
  <c r="O50"/>
  <c r="T50"/>
  <c r="I50"/>
  <c r="J50"/>
  <c r="K50"/>
  <c r="L50"/>
  <c r="M50"/>
  <c r="N50"/>
  <c r="O51"/>
  <c r="T51"/>
  <c r="I51"/>
  <c r="J51"/>
  <c r="K51"/>
  <c r="L51"/>
  <c r="M51"/>
  <c r="N51"/>
  <c r="I53"/>
  <c r="L53"/>
  <c r="N53"/>
  <c r="I54"/>
  <c r="L54"/>
  <c r="N54"/>
  <c r="Q57"/>
  <c r="B59"/>
  <c r="O59"/>
  <c r="T59"/>
  <c r="I59"/>
  <c r="J59"/>
  <c r="K59"/>
  <c r="L59"/>
  <c r="M59"/>
  <c r="N59"/>
  <c r="Q59"/>
  <c r="I62"/>
  <c r="L62"/>
  <c r="N62"/>
  <c r="O65"/>
  <c r="T65"/>
  <c r="I65"/>
  <c r="J65"/>
  <c r="K65"/>
  <c r="L65"/>
  <c r="M65"/>
  <c r="N65"/>
  <c r="O66"/>
  <c r="G66"/>
  <c r="F66"/>
  <c r="I66"/>
  <c r="L66"/>
  <c r="N66"/>
  <c r="O68"/>
  <c r="T68"/>
  <c r="I68"/>
  <c r="J68"/>
  <c r="K68"/>
  <c r="L68"/>
  <c r="M68"/>
  <c r="N68"/>
  <c r="O69"/>
  <c r="T69"/>
  <c r="I69"/>
  <c r="J69"/>
  <c r="K69"/>
  <c r="L69"/>
  <c r="M69"/>
  <c r="N69"/>
  <c r="B71"/>
  <c r="O71"/>
  <c r="G71"/>
  <c r="F71"/>
  <c r="I71"/>
  <c r="L71"/>
  <c r="N71"/>
  <c r="O73"/>
  <c r="G73"/>
  <c r="F73"/>
  <c r="I73"/>
  <c r="L73"/>
  <c r="N73"/>
  <c r="O74"/>
  <c r="T74"/>
  <c r="I74"/>
  <c r="J74"/>
  <c r="K74"/>
  <c r="L74"/>
  <c r="M74"/>
  <c r="N74"/>
  <c r="O75"/>
  <c r="T75"/>
  <c r="I75"/>
  <c r="J75"/>
  <c r="K75"/>
  <c r="L75"/>
  <c r="M75"/>
  <c r="N75"/>
  <c r="O76"/>
  <c r="T76"/>
  <c r="I76"/>
  <c r="J76"/>
  <c r="K76"/>
  <c r="L76"/>
  <c r="M76"/>
  <c r="N76"/>
  <c r="O77"/>
  <c r="G77"/>
  <c r="F77"/>
  <c r="I77"/>
  <c r="L77"/>
  <c r="N77"/>
  <c r="L79"/>
  <c r="L80"/>
  <c r="L81"/>
  <c r="G118" i="32"/>
  <c r="G122"/>
  <c r="G121"/>
  <c r="D9" i="6"/>
  <c r="D23"/>
  <c r="L22" i="56"/>
  <c r="M22"/>
  <c r="N22"/>
  <c r="O22"/>
  <c r="L18"/>
  <c r="M18"/>
  <c r="N18"/>
  <c r="O18"/>
  <c r="L14"/>
  <c r="M14"/>
  <c r="N14"/>
  <c r="O14"/>
  <c r="C1" i="53"/>
  <c r="Q4"/>
  <c r="Q5"/>
  <c r="O5"/>
  <c r="O3"/>
  <c r="N5"/>
  <c r="N3"/>
  <c r="M5"/>
  <c r="M3"/>
  <c r="L5"/>
  <c r="K5"/>
  <c r="O4"/>
  <c r="N4"/>
  <c r="M4"/>
  <c r="L4"/>
  <c r="K4"/>
  <c r="G5"/>
  <c r="F5"/>
  <c r="E5"/>
  <c r="D5"/>
  <c r="C5"/>
  <c r="G4"/>
  <c r="F4"/>
  <c r="E4"/>
  <c r="D4"/>
  <c r="C4"/>
  <c r="D16" i="6"/>
  <c r="G190" i="1"/>
  <c r="Q190"/>
  <c r="F16" i="6"/>
  <c r="U16"/>
  <c r="D17"/>
  <c r="G191" i="1"/>
  <c r="Q191"/>
  <c r="F17" i="6"/>
  <c r="U17"/>
  <c r="D18"/>
  <c r="G193" i="1"/>
  <c r="Q193"/>
  <c r="F18" i="6"/>
  <c r="U18"/>
  <c r="D19"/>
  <c r="G194" i="1"/>
  <c r="Q194"/>
  <c r="F19" i="6"/>
  <c r="U19"/>
  <c r="D20"/>
  <c r="G195" i="1"/>
  <c r="Q195"/>
  <c r="F20" i="6"/>
  <c r="U20"/>
  <c r="D21"/>
  <c r="G196" i="1"/>
  <c r="Q196"/>
  <c r="F21" i="6"/>
  <c r="U21"/>
  <c r="D22"/>
  <c r="G197" i="1"/>
  <c r="Q197"/>
  <c r="F22" i="6"/>
  <c r="Q1" i="1"/>
  <c r="C1" i="52"/>
  <c r="N131"/>
  <c r="J22" i="6"/>
  <c r="U22"/>
  <c r="G198" i="1"/>
  <c r="Q198"/>
  <c r="F23" i="6"/>
  <c r="U23"/>
  <c r="D24"/>
  <c r="G199" i="1"/>
  <c r="Q199"/>
  <c r="F24" i="6"/>
  <c r="U24"/>
  <c r="D25"/>
  <c r="G200" i="1"/>
  <c r="Q200"/>
  <c r="F25" i="6"/>
  <c r="U25"/>
  <c r="D26"/>
  <c r="G201" i="1"/>
  <c r="Q201"/>
  <c r="F26" i="6"/>
  <c r="U26"/>
  <c r="U27"/>
  <c r="AD23"/>
  <c r="H12" i="56"/>
  <c r="D4" i="42"/>
  <c r="D4" i="17"/>
  <c r="D4" i="9"/>
  <c r="D4" i="34"/>
  <c r="D4" i="38"/>
  <c r="D4" i="13"/>
  <c r="F49" i="4"/>
  <c r="F65" i="32"/>
  <c r="G52"/>
  <c r="F5" i="4"/>
  <c r="F66" i="7"/>
  <c r="G54"/>
  <c r="E41" i="4"/>
  <c r="D40"/>
  <c r="B40"/>
  <c r="D34" i="9"/>
  <c r="Q2" i="55"/>
  <c r="O4" i="52"/>
  <c r="M76"/>
  <c r="M75"/>
  <c r="M74"/>
  <c r="M73"/>
  <c r="M72"/>
  <c r="M71"/>
  <c r="M70"/>
  <c r="M69"/>
  <c r="M68"/>
  <c r="M67"/>
  <c r="M66"/>
  <c r="M65"/>
  <c r="M64"/>
  <c r="M63"/>
  <c r="M62"/>
  <c r="M61"/>
  <c r="M60"/>
  <c r="M59"/>
  <c r="M58"/>
  <c r="M57"/>
  <c r="M56"/>
  <c r="M55"/>
  <c r="M54"/>
  <c r="M53"/>
  <c r="M52"/>
  <c r="M51"/>
  <c r="M50"/>
  <c r="M49"/>
  <c r="M48"/>
  <c r="M47"/>
  <c r="M46"/>
  <c r="M45"/>
  <c r="M44"/>
  <c r="M43"/>
  <c r="M42"/>
  <c r="M41"/>
  <c r="M40"/>
  <c r="M39"/>
  <c r="M38"/>
  <c r="M37"/>
  <c r="M36"/>
  <c r="M35"/>
  <c r="M34"/>
  <c r="M33"/>
  <c r="M32"/>
  <c r="M31"/>
  <c r="M30"/>
  <c r="M29"/>
  <c r="M28"/>
  <c r="M27"/>
  <c r="M26"/>
  <c r="M25"/>
  <c r="M24"/>
  <c r="M23"/>
  <c r="M22"/>
  <c r="M21"/>
  <c r="M20"/>
  <c r="M19"/>
  <c r="M18"/>
  <c r="M17"/>
  <c r="M16"/>
  <c r="M15"/>
  <c r="M14"/>
  <c r="M13"/>
  <c r="M12"/>
  <c r="M11"/>
  <c r="M10"/>
  <c r="M9"/>
  <c r="M8"/>
  <c r="M7"/>
  <c r="M6"/>
  <c r="M5"/>
  <c r="M4"/>
  <c r="C36" i="55"/>
  <c r="O7" i="52"/>
  <c r="D36" i="55"/>
  <c r="O19" i="52"/>
  <c r="F36" i="55"/>
  <c r="O21" i="52"/>
  <c r="G36" i="55"/>
  <c r="O30" i="52"/>
  <c r="J36" i="55"/>
  <c r="B36"/>
  <c r="G9"/>
  <c r="B81"/>
  <c r="O38" i="52"/>
  <c r="C52" i="55"/>
  <c r="D52"/>
  <c r="E52"/>
  <c r="B52"/>
  <c r="Y7" i="9"/>
  <c r="O79" i="52"/>
  <c r="AD7" i="9"/>
  <c r="F7"/>
  <c r="L7"/>
  <c r="AD8"/>
  <c r="F8"/>
  <c r="L8"/>
  <c r="O8" i="52"/>
  <c r="D37" i="55"/>
  <c r="O22" i="52"/>
  <c r="G37" i="55"/>
  <c r="O31" i="52"/>
  <c r="J37" i="55"/>
  <c r="B37"/>
  <c r="G10"/>
  <c r="B82"/>
  <c r="O39" i="52"/>
  <c r="C53" i="55"/>
  <c r="D53"/>
  <c r="E53"/>
  <c r="B53"/>
  <c r="F9" i="9"/>
  <c r="L9"/>
  <c r="O9" i="52"/>
  <c r="D38" i="55"/>
  <c r="J38"/>
  <c r="B38"/>
  <c r="G11"/>
  <c r="B83"/>
  <c r="O40" i="52"/>
  <c r="C54" i="55"/>
  <c r="D54"/>
  <c r="E54"/>
  <c r="B54"/>
  <c r="F10" i="9"/>
  <c r="L10"/>
  <c r="O10" i="52"/>
  <c r="D39" i="55"/>
  <c r="O23" i="52"/>
  <c r="G39" i="55"/>
  <c r="O32" i="52"/>
  <c r="J39" i="55"/>
  <c r="O36" i="52"/>
  <c r="L39" i="55"/>
  <c r="B39"/>
  <c r="G12"/>
  <c r="B84"/>
  <c r="O41" i="52"/>
  <c r="C55" i="55"/>
  <c r="D55"/>
  <c r="E55"/>
  <c r="B55"/>
  <c r="F11" i="9"/>
  <c r="L11"/>
  <c r="O11" i="52"/>
  <c r="D40" i="55"/>
  <c r="G40"/>
  <c r="J40"/>
  <c r="B40"/>
  <c r="G13"/>
  <c r="B85"/>
  <c r="O42" i="52"/>
  <c r="C56" i="55"/>
  <c r="D56"/>
  <c r="E56"/>
  <c r="B56"/>
  <c r="F12" i="9"/>
  <c r="L12"/>
  <c r="O12" i="52"/>
  <c r="D41" i="55"/>
  <c r="O24" i="52"/>
  <c r="G41" i="55"/>
  <c r="O33" i="52"/>
  <c r="J41" i="55"/>
  <c r="B41"/>
  <c r="G14"/>
  <c r="B86"/>
  <c r="O43" i="52"/>
  <c r="C57" i="55"/>
  <c r="D57"/>
  <c r="E57"/>
  <c r="B57"/>
  <c r="F13" i="9"/>
  <c r="L13"/>
  <c r="O13" i="52"/>
  <c r="D42" i="55"/>
  <c r="O25" i="52"/>
  <c r="G42" i="55"/>
  <c r="O34" i="52"/>
  <c r="J42" i="55"/>
  <c r="B42"/>
  <c r="G15"/>
  <c r="B87"/>
  <c r="O44" i="52"/>
  <c r="C58" i="55"/>
  <c r="D58"/>
  <c r="E58"/>
  <c r="B58"/>
  <c r="Y8" i="9"/>
  <c r="Y9"/>
  <c r="Y10"/>
  <c r="Y11"/>
  <c r="Y12"/>
  <c r="Y13"/>
  <c r="Y14"/>
  <c r="O80" i="52"/>
  <c r="AD14" i="9"/>
  <c r="F14"/>
  <c r="L14"/>
  <c r="Y15"/>
  <c r="O81" i="52"/>
  <c r="AD15" i="9"/>
  <c r="F15"/>
  <c r="L15"/>
  <c r="AD16"/>
  <c r="F16"/>
  <c r="G16"/>
  <c r="J16"/>
  <c r="K16"/>
  <c r="L16"/>
  <c r="O5" i="52"/>
  <c r="C43" i="55"/>
  <c r="O14" i="52"/>
  <c r="D43" i="55"/>
  <c r="O18" i="52"/>
  <c r="E43" i="55"/>
  <c r="O20" i="52"/>
  <c r="F43" i="55"/>
  <c r="O26" i="52"/>
  <c r="G43" i="55"/>
  <c r="O28" i="52"/>
  <c r="H43" i="55"/>
  <c r="O29" i="52"/>
  <c r="I43" i="55"/>
  <c r="O35" i="52"/>
  <c r="K43" i="55"/>
  <c r="O37" i="52"/>
  <c r="L43" i="55"/>
  <c r="B43"/>
  <c r="G16"/>
  <c r="B88"/>
  <c r="O45" i="52"/>
  <c r="C59" i="55"/>
  <c r="D59"/>
  <c r="E59"/>
  <c r="B59"/>
  <c r="Y16" i="9"/>
  <c r="Y17"/>
  <c r="O82" i="52"/>
  <c r="AD17" i="9"/>
  <c r="F17"/>
  <c r="L17"/>
  <c r="AD18"/>
  <c r="F18"/>
  <c r="L18"/>
  <c r="O15" i="52"/>
  <c r="D44" i="55"/>
  <c r="J44"/>
  <c r="B44"/>
  <c r="G17"/>
  <c r="B89"/>
  <c r="O46" i="52"/>
  <c r="C60" i="55"/>
  <c r="D60"/>
  <c r="E60"/>
  <c r="B60"/>
  <c r="F19" i="9"/>
  <c r="L19"/>
  <c r="O6" i="52"/>
  <c r="C45" i="55"/>
  <c r="O16" i="52"/>
  <c r="D45" i="55"/>
  <c r="J45"/>
  <c r="B45"/>
  <c r="G18"/>
  <c r="B90"/>
  <c r="O47" i="52"/>
  <c r="C61" i="55"/>
  <c r="D61"/>
  <c r="E61"/>
  <c r="B61"/>
  <c r="F20" i="9"/>
  <c r="L20"/>
  <c r="L21"/>
  <c r="D20"/>
  <c r="Q2" i="1"/>
  <c r="N4" i="52"/>
  <c r="C36" i="1"/>
  <c r="N7" i="52"/>
  <c r="D36" i="1"/>
  <c r="N19" i="52"/>
  <c r="F36" i="1"/>
  <c r="N21" i="52"/>
  <c r="G36" i="1"/>
  <c r="N30" i="52"/>
  <c r="J36" i="1"/>
  <c r="B36"/>
  <c r="G9"/>
  <c r="B81"/>
  <c r="N38" i="52"/>
  <c r="C52" i="1"/>
  <c r="D52"/>
  <c r="E52"/>
  <c r="B52"/>
  <c r="N79" i="52"/>
  <c r="AC7" i="9"/>
  <c r="E7"/>
  <c r="P7"/>
  <c r="AC8"/>
  <c r="E8"/>
  <c r="P8"/>
  <c r="N8" i="52"/>
  <c r="D37" i="1"/>
  <c r="N22" i="52"/>
  <c r="G37" i="1"/>
  <c r="N31" i="52"/>
  <c r="J37" i="1"/>
  <c r="B37"/>
  <c r="G10"/>
  <c r="B82"/>
  <c r="N39" i="52"/>
  <c r="C53" i="1"/>
  <c r="D53"/>
  <c r="E53"/>
  <c r="B53"/>
  <c r="E9" i="9"/>
  <c r="P9"/>
  <c r="N9" i="52"/>
  <c r="D38" i="1"/>
  <c r="J38"/>
  <c r="B38"/>
  <c r="G11"/>
  <c r="B83"/>
  <c r="N40" i="52"/>
  <c r="C54" i="1"/>
  <c r="D54"/>
  <c r="E54"/>
  <c r="B54"/>
  <c r="E10" i="9"/>
  <c r="P10"/>
  <c r="N10" i="52"/>
  <c r="D39" i="1"/>
  <c r="N23" i="52"/>
  <c r="G39" i="1"/>
  <c r="N32" i="52"/>
  <c r="J39" i="1"/>
  <c r="N36" i="52"/>
  <c r="L39" i="1"/>
  <c r="B39"/>
  <c r="G12"/>
  <c r="B84"/>
  <c r="N41" i="52"/>
  <c r="C55" i="1"/>
  <c r="D55"/>
  <c r="E55"/>
  <c r="B55"/>
  <c r="E11" i="9"/>
  <c r="P11"/>
  <c r="N11" i="52"/>
  <c r="D40" i="1"/>
  <c r="G40"/>
  <c r="J40"/>
  <c r="B40"/>
  <c r="G13"/>
  <c r="B85"/>
  <c r="N42" i="52"/>
  <c r="C56" i="1"/>
  <c r="D56"/>
  <c r="E56"/>
  <c r="B56"/>
  <c r="E12" i="9"/>
  <c r="P12"/>
  <c r="N12" i="52"/>
  <c r="D41" i="1"/>
  <c r="N24" i="52"/>
  <c r="G41" i="1"/>
  <c r="N33" i="52"/>
  <c r="J41" i="1"/>
  <c r="B41"/>
  <c r="G14"/>
  <c r="B86"/>
  <c r="N43" i="52"/>
  <c r="C57" i="1"/>
  <c r="D57"/>
  <c r="E57"/>
  <c r="B57"/>
  <c r="E13" i="9"/>
  <c r="P13"/>
  <c r="N13" i="52"/>
  <c r="D42" i="1"/>
  <c r="N25" i="52"/>
  <c r="G42" i="1"/>
  <c r="N34" i="52"/>
  <c r="J42" i="1"/>
  <c r="B42"/>
  <c r="G15"/>
  <c r="B87"/>
  <c r="N44" i="52"/>
  <c r="C58" i="1"/>
  <c r="D58"/>
  <c r="E58"/>
  <c r="B58"/>
  <c r="N80" i="52"/>
  <c r="AC14" i="9"/>
  <c r="E14"/>
  <c r="P14"/>
  <c r="N81" i="52"/>
  <c r="AC15" i="9"/>
  <c r="E15"/>
  <c r="P15"/>
  <c r="AC16"/>
  <c r="E16"/>
  <c r="P16"/>
  <c r="N5" i="52"/>
  <c r="C43" i="1"/>
  <c r="N14" i="52"/>
  <c r="D43" i="1"/>
  <c r="N18" i="52"/>
  <c r="E43" i="1"/>
  <c r="N20" i="52"/>
  <c r="F43" i="1"/>
  <c r="N26" i="52"/>
  <c r="G43" i="1"/>
  <c r="N28" i="52"/>
  <c r="H43" i="1"/>
  <c r="N29" i="52"/>
  <c r="I43" i="1"/>
  <c r="N35" i="52"/>
  <c r="K43" i="1"/>
  <c r="N37" i="52"/>
  <c r="L43" i="1"/>
  <c r="B43"/>
  <c r="G16"/>
  <c r="B88"/>
  <c r="N45" i="52"/>
  <c r="C59" i="1"/>
  <c r="D59"/>
  <c r="E59"/>
  <c r="B59"/>
  <c r="N82" i="52"/>
  <c r="AC17" i="9"/>
  <c r="E17"/>
  <c r="P17"/>
  <c r="AC18"/>
  <c r="E18"/>
  <c r="P18"/>
  <c r="N15" i="52"/>
  <c r="D44" i="1"/>
  <c r="J44"/>
  <c r="B44"/>
  <c r="G17"/>
  <c r="B89"/>
  <c r="N46" i="52"/>
  <c r="C60" i="1"/>
  <c r="D60"/>
  <c r="E60"/>
  <c r="B60"/>
  <c r="E19" i="9"/>
  <c r="P19"/>
  <c r="N6" i="52"/>
  <c r="C45" i="1"/>
  <c r="N16" i="52"/>
  <c r="D45" i="1"/>
  <c r="J45"/>
  <c r="B45"/>
  <c r="G18"/>
  <c r="B90"/>
  <c r="N47" i="52"/>
  <c r="C61" i="1"/>
  <c r="D61"/>
  <c r="E61"/>
  <c r="B61"/>
  <c r="E20" i="9"/>
  <c r="J20"/>
  <c r="P20"/>
  <c r="P21"/>
  <c r="Y22"/>
  <c r="O83" i="52"/>
  <c r="AD22" i="9"/>
  <c r="F22"/>
  <c r="L22"/>
  <c r="AD23"/>
  <c r="F23"/>
  <c r="L23"/>
  <c r="F24"/>
  <c r="L24"/>
  <c r="F25"/>
  <c r="L25"/>
  <c r="F26"/>
  <c r="L26"/>
  <c r="F27"/>
  <c r="L27"/>
  <c r="F28"/>
  <c r="L28"/>
  <c r="Y23"/>
  <c r="Y24"/>
  <c r="Y25"/>
  <c r="Y26"/>
  <c r="Y27"/>
  <c r="Y28"/>
  <c r="Y29"/>
  <c r="O84" i="52"/>
  <c r="AD29" i="9"/>
  <c r="F29"/>
  <c r="L29"/>
  <c r="AD30"/>
  <c r="F30"/>
  <c r="L30"/>
  <c r="Y30"/>
  <c r="Y31"/>
  <c r="O85" i="52"/>
  <c r="AD31" i="9"/>
  <c r="F31"/>
  <c r="L31"/>
  <c r="AD32"/>
  <c r="F32"/>
  <c r="L32"/>
  <c r="F33"/>
  <c r="L33"/>
  <c r="F34"/>
  <c r="L34"/>
  <c r="L35"/>
  <c r="K20"/>
  <c r="W20"/>
  <c r="K35"/>
  <c r="O132" i="52"/>
  <c r="Q20" i="9"/>
  <c r="S20"/>
  <c r="R20"/>
  <c r="H20"/>
  <c r="B75" i="32"/>
  <c r="B78" i="7"/>
  <c r="G190" i="55"/>
  <c r="G191"/>
  <c r="G192"/>
  <c r="G193"/>
  <c r="G194"/>
  <c r="G195"/>
  <c r="G196"/>
  <c r="G197"/>
  <c r="G198"/>
  <c r="G199"/>
  <c r="G200"/>
  <c r="G201"/>
  <c r="G202"/>
  <c r="B30" i="4"/>
  <c r="B73" i="7"/>
  <c r="S73"/>
  <c r="K6" i="6"/>
  <c r="K7"/>
  <c r="K9"/>
  <c r="K10"/>
  <c r="K11"/>
  <c r="K12"/>
  <c r="M16"/>
  <c r="K16"/>
  <c r="M17"/>
  <c r="K17"/>
  <c r="M18"/>
  <c r="K18"/>
  <c r="M19"/>
  <c r="K19"/>
  <c r="M20"/>
  <c r="K20"/>
  <c r="M21"/>
  <c r="K21"/>
  <c r="M22"/>
  <c r="K22"/>
  <c r="K23"/>
  <c r="M24"/>
  <c r="K24"/>
  <c r="M25"/>
  <c r="K25"/>
  <c r="M26"/>
  <c r="K26"/>
  <c r="D6"/>
  <c r="G14"/>
  <c r="O191" i="55"/>
  <c r="G6" i="6"/>
  <c r="D7"/>
  <c r="O192" i="55"/>
  <c r="G7" i="6"/>
  <c r="G8"/>
  <c r="P198" i="55"/>
  <c r="G9" i="6"/>
  <c r="D10"/>
  <c r="P190" i="55"/>
  <c r="G10" i="6"/>
  <c r="D11"/>
  <c r="P194" i="55"/>
  <c r="G11" i="6"/>
  <c r="D12"/>
  <c r="P196" i="55"/>
  <c r="G12" i="6"/>
  <c r="G13"/>
  <c r="Q190" i="55"/>
  <c r="G16" i="6"/>
  <c r="Q191" i="55"/>
  <c r="G17" i="6"/>
  <c r="Q193" i="55"/>
  <c r="G18" i="6"/>
  <c r="Q194" i="55"/>
  <c r="G19" i="6"/>
  <c r="Q195" i="55"/>
  <c r="G20" i="6"/>
  <c r="Q196" i="55"/>
  <c r="G21" i="6"/>
  <c r="Q197" i="55"/>
  <c r="G22" i="6"/>
  <c r="Q198" i="55"/>
  <c r="G23" i="6"/>
  <c r="Q199" i="55"/>
  <c r="G24" i="6"/>
  <c r="Q200" i="55"/>
  <c r="G25" i="6"/>
  <c r="Q201" i="55"/>
  <c r="G26" i="6"/>
  <c r="K27"/>
  <c r="F37"/>
  <c r="F14"/>
  <c r="O191" i="1"/>
  <c r="F6" i="6"/>
  <c r="G192" i="1"/>
  <c r="O192"/>
  <c r="F7" i="6"/>
  <c r="F8"/>
  <c r="P198" i="1"/>
  <c r="F9" i="6"/>
  <c r="P190" i="1"/>
  <c r="F10" i="6"/>
  <c r="P194" i="1"/>
  <c r="F11" i="6"/>
  <c r="P196" i="1"/>
  <c r="F12" i="6"/>
  <c r="F13"/>
  <c r="J27"/>
  <c r="E37"/>
  <c r="H37"/>
  <c r="G37"/>
  <c r="O1" i="52"/>
  <c r="J82" i="55"/>
  <c r="F19" i="27"/>
  <c r="K19"/>
  <c r="J84" i="55"/>
  <c r="F20" i="27"/>
  <c r="K20"/>
  <c r="J87" i="55"/>
  <c r="F21" i="27"/>
  <c r="K21"/>
  <c r="J86" i="55"/>
  <c r="F22" i="27"/>
  <c r="K22"/>
  <c r="J81" i="55"/>
  <c r="F23" i="27"/>
  <c r="K23"/>
  <c r="K24"/>
  <c r="F43"/>
  <c r="H43"/>
  <c r="K88" i="55"/>
  <c r="F17" i="27"/>
  <c r="K17"/>
  <c r="K18"/>
  <c r="F42"/>
  <c r="H42"/>
  <c r="K88" i="1"/>
  <c r="E17" i="27"/>
  <c r="H18"/>
  <c r="E42"/>
  <c r="G42"/>
  <c r="I88" i="55"/>
  <c r="F15" i="27"/>
  <c r="K15"/>
  <c r="K16"/>
  <c r="F41"/>
  <c r="H41"/>
  <c r="I88" i="1"/>
  <c r="E15" i="27"/>
  <c r="H16"/>
  <c r="E41"/>
  <c r="G41"/>
  <c r="F81" i="55"/>
  <c r="F12" i="27"/>
  <c r="K12"/>
  <c r="F88" i="55"/>
  <c r="F13" i="27"/>
  <c r="K13"/>
  <c r="K14"/>
  <c r="F40"/>
  <c r="H40"/>
  <c r="H88" i="55"/>
  <c r="F10" i="27"/>
  <c r="F39"/>
  <c r="H39"/>
  <c r="H88" i="1"/>
  <c r="E10" i="27"/>
  <c r="H11"/>
  <c r="E39"/>
  <c r="G39"/>
  <c r="O73" i="52"/>
  <c r="H134" i="55"/>
  <c r="G106"/>
  <c r="H179"/>
  <c r="F9" i="45"/>
  <c r="F27"/>
  <c r="H27"/>
  <c r="N73" i="52"/>
  <c r="H134" i="1"/>
  <c r="G106"/>
  <c r="H179"/>
  <c r="E9" i="45"/>
  <c r="H10"/>
  <c r="E27"/>
  <c r="G27"/>
  <c r="O72" i="52"/>
  <c r="G134" i="55"/>
  <c r="G179"/>
  <c r="F7" i="45"/>
  <c r="F26"/>
  <c r="H26"/>
  <c r="N72" i="52"/>
  <c r="G134" i="1"/>
  <c r="G179"/>
  <c r="E7" i="45"/>
  <c r="H8"/>
  <c r="E26"/>
  <c r="G26"/>
  <c r="J27"/>
  <c r="I27"/>
  <c r="J26"/>
  <c r="I26"/>
  <c r="J21"/>
  <c r="H21"/>
  <c r="J9"/>
  <c r="J7"/>
  <c r="C25"/>
  <c r="C24"/>
  <c r="C31" i="38"/>
  <c r="C23" i="45"/>
  <c r="C30" i="38"/>
  <c r="C22" i="45"/>
  <c r="B25"/>
  <c r="B24"/>
  <c r="B23"/>
  <c r="B22"/>
  <c r="C28" i="28"/>
  <c r="C37" i="27"/>
  <c r="B37"/>
  <c r="C27" i="28"/>
  <c r="C36" i="27"/>
  <c r="B36"/>
  <c r="C31" i="21"/>
  <c r="C35" i="27"/>
  <c r="B35"/>
  <c r="C30" i="21"/>
  <c r="C34" i="27"/>
  <c r="B34"/>
  <c r="C27" i="13"/>
  <c r="C33" i="27"/>
  <c r="B33"/>
  <c r="C26" i="13"/>
  <c r="C32" i="27"/>
  <c r="B32"/>
  <c r="H31"/>
  <c r="J17"/>
  <c r="I42"/>
  <c r="J15"/>
  <c r="I41"/>
  <c r="J10"/>
  <c r="I39"/>
  <c r="J42"/>
  <c r="J41"/>
  <c r="J39"/>
  <c r="L68" i="7"/>
  <c r="I9"/>
  <c r="N9"/>
  <c r="G99" i="55"/>
  <c r="I9" i="32"/>
  <c r="N9"/>
  <c r="E55"/>
  <c r="B54"/>
  <c r="E39"/>
  <c r="B38"/>
  <c r="E32"/>
  <c r="B31"/>
  <c r="E30"/>
  <c r="B29"/>
  <c r="E28"/>
  <c r="B26"/>
  <c r="E25"/>
  <c r="B24"/>
  <c r="E23"/>
  <c r="B20"/>
  <c r="E19"/>
  <c r="B18"/>
  <c r="E17"/>
  <c r="B16"/>
  <c r="E15"/>
  <c r="B11"/>
  <c r="E10"/>
  <c r="B7"/>
  <c r="B96"/>
  <c r="B94"/>
  <c r="B92"/>
  <c r="B90"/>
  <c r="B88"/>
  <c r="B85"/>
  <c r="B83"/>
  <c r="B79"/>
  <c r="B77"/>
  <c r="B72"/>
  <c r="B67"/>
  <c r="B59"/>
  <c r="E40" i="7"/>
  <c r="B39"/>
  <c r="E33"/>
  <c r="B32"/>
  <c r="E31"/>
  <c r="B30"/>
  <c r="E27"/>
  <c r="B26"/>
  <c r="E25"/>
  <c r="B24"/>
  <c r="E23"/>
  <c r="B20"/>
  <c r="E19"/>
  <c r="B18"/>
  <c r="E17"/>
  <c r="B16"/>
  <c r="E15"/>
  <c r="B11"/>
  <c r="E10"/>
  <c r="B7"/>
  <c r="B96"/>
  <c r="B94"/>
  <c r="B92"/>
  <c r="B90"/>
  <c r="B88"/>
  <c r="B86"/>
  <c r="B84"/>
  <c r="B82"/>
  <c r="B80"/>
  <c r="B75"/>
  <c r="B68"/>
  <c r="B61"/>
  <c r="B59"/>
  <c r="B56"/>
  <c r="B28"/>
  <c r="E39" i="4"/>
  <c r="B38"/>
  <c r="E37"/>
  <c r="B36"/>
  <c r="E54"/>
  <c r="B53"/>
  <c r="E52"/>
  <c r="B51"/>
  <c r="E45"/>
  <c r="B44"/>
  <c r="E43"/>
  <c r="B42"/>
  <c r="E35"/>
  <c r="B32"/>
  <c r="E29"/>
  <c r="B28"/>
  <c r="E27"/>
  <c r="B24"/>
  <c r="E23"/>
  <c r="B22"/>
  <c r="E21"/>
  <c r="B20"/>
  <c r="E19"/>
  <c r="B18"/>
  <c r="E17"/>
  <c r="B14"/>
  <c r="E13"/>
  <c r="B12"/>
  <c r="E11"/>
  <c r="B7"/>
  <c r="O54" i="52"/>
  <c r="D127" i="55"/>
  <c r="D172"/>
  <c r="F6" i="42"/>
  <c r="J6"/>
  <c r="K6"/>
  <c r="L6"/>
  <c r="O55" i="52"/>
  <c r="D128" i="55"/>
  <c r="G100"/>
  <c r="D173"/>
  <c r="F7" i="42"/>
  <c r="J7"/>
  <c r="K7"/>
  <c r="L7"/>
  <c r="O57" i="52"/>
  <c r="D130" i="55"/>
  <c r="G102"/>
  <c r="D175"/>
  <c r="F8" i="42"/>
  <c r="J8"/>
  <c r="K8"/>
  <c r="L8"/>
  <c r="O56" i="52"/>
  <c r="D129" i="55"/>
  <c r="G101"/>
  <c r="D174"/>
  <c r="F9" i="42"/>
  <c r="J9"/>
  <c r="K9"/>
  <c r="L9"/>
  <c r="O58" i="52"/>
  <c r="D131" i="55"/>
  <c r="G103"/>
  <c r="D176"/>
  <c r="F10" i="42"/>
  <c r="J10"/>
  <c r="K10"/>
  <c r="L10"/>
  <c r="O59" i="52"/>
  <c r="D132" i="55"/>
  <c r="G104"/>
  <c r="D177"/>
  <c r="F11" i="42"/>
  <c r="J11"/>
  <c r="K11"/>
  <c r="L11"/>
  <c r="O60" i="52"/>
  <c r="D133" i="55"/>
  <c r="G105"/>
  <c r="D178"/>
  <c r="F12" i="42"/>
  <c r="G12"/>
  <c r="J12"/>
  <c r="K12"/>
  <c r="L12"/>
  <c r="O61" i="52"/>
  <c r="D134" i="55"/>
  <c r="D179"/>
  <c r="F13" i="42"/>
  <c r="J13"/>
  <c r="K13"/>
  <c r="L13"/>
  <c r="O62" i="52"/>
  <c r="D135" i="55"/>
  <c r="G107"/>
  <c r="D180"/>
  <c r="F14" i="42"/>
  <c r="J14"/>
  <c r="K14"/>
  <c r="L14"/>
  <c r="O63" i="52"/>
  <c r="D136" i="55"/>
  <c r="G108"/>
  <c r="D181"/>
  <c r="F15" i="42"/>
  <c r="J15"/>
  <c r="K15"/>
  <c r="L15"/>
  <c r="O64" i="52"/>
  <c r="D137" i="55"/>
  <c r="G109"/>
  <c r="D182"/>
  <c r="F16" i="42"/>
  <c r="J16"/>
  <c r="K16"/>
  <c r="L16"/>
  <c r="L17"/>
  <c r="X59" i="32"/>
  <c r="Y61"/>
  <c r="D110" i="56"/>
  <c r="D107"/>
  <c r="D104"/>
  <c r="D101"/>
  <c r="D98"/>
  <c r="D95"/>
  <c r="D92"/>
  <c r="D89"/>
  <c r="D86"/>
  <c r="D81" i="55"/>
  <c r="K60"/>
  <c r="K52"/>
  <c r="J52"/>
  <c r="P81"/>
  <c r="Q81"/>
  <c r="F19" i="17"/>
  <c r="J19"/>
  <c r="K19"/>
  <c r="L19"/>
  <c r="D83" i="55"/>
  <c r="K54"/>
  <c r="J54"/>
  <c r="P83"/>
  <c r="Q83"/>
  <c r="F20" i="17"/>
  <c r="J20"/>
  <c r="K20"/>
  <c r="L20"/>
  <c r="D82" i="55"/>
  <c r="K53"/>
  <c r="J53"/>
  <c r="P82"/>
  <c r="Q82"/>
  <c r="F21" i="17"/>
  <c r="J21"/>
  <c r="K21"/>
  <c r="L21"/>
  <c r="D85" i="55"/>
  <c r="K56"/>
  <c r="J56"/>
  <c r="P85"/>
  <c r="Q85"/>
  <c r="F22" i="17"/>
  <c r="J22"/>
  <c r="K22"/>
  <c r="L22"/>
  <c r="D86" i="55"/>
  <c r="K57"/>
  <c r="J57"/>
  <c r="P86"/>
  <c r="Q86"/>
  <c r="F23" i="17"/>
  <c r="J23"/>
  <c r="K23"/>
  <c r="L23"/>
  <c r="D87" i="55"/>
  <c r="K58"/>
  <c r="J58"/>
  <c r="P87"/>
  <c r="Q87"/>
  <c r="Z24" i="17"/>
  <c r="F24"/>
  <c r="G24"/>
  <c r="J24"/>
  <c r="K24"/>
  <c r="L24"/>
  <c r="Z25"/>
  <c r="F25"/>
  <c r="G25"/>
  <c r="J25"/>
  <c r="K25"/>
  <c r="L25"/>
  <c r="D88" i="55"/>
  <c r="K59"/>
  <c r="J59"/>
  <c r="P88"/>
  <c r="Q88"/>
  <c r="F26" i="17"/>
  <c r="J26"/>
  <c r="K26"/>
  <c r="L26"/>
  <c r="D89" i="55"/>
  <c r="J60"/>
  <c r="P89"/>
  <c r="Q89"/>
  <c r="F27" i="17"/>
  <c r="J27"/>
  <c r="K27"/>
  <c r="L27"/>
  <c r="D90" i="55"/>
  <c r="K61"/>
  <c r="J61"/>
  <c r="P90"/>
  <c r="Q90"/>
  <c r="F28" i="17"/>
  <c r="J28"/>
  <c r="K28"/>
  <c r="L28"/>
  <c r="O17" i="52"/>
  <c r="D46" i="55"/>
  <c r="G19"/>
  <c r="D91"/>
  <c r="O48" i="52"/>
  <c r="C62" i="55"/>
  <c r="O27" i="52"/>
  <c r="G46" i="55"/>
  <c r="J46"/>
  <c r="B46"/>
  <c r="K62"/>
  <c r="J62"/>
  <c r="P91"/>
  <c r="Q91"/>
  <c r="F29" i="17"/>
  <c r="J29"/>
  <c r="K29"/>
  <c r="L29"/>
  <c r="L30"/>
  <c r="Y62" i="7"/>
  <c r="F7" i="17"/>
  <c r="J7"/>
  <c r="K7"/>
  <c r="L7"/>
  <c r="F8"/>
  <c r="J8"/>
  <c r="K8"/>
  <c r="L8"/>
  <c r="F9"/>
  <c r="J9"/>
  <c r="K9"/>
  <c r="L9"/>
  <c r="F10"/>
  <c r="J10"/>
  <c r="K10"/>
  <c r="L10"/>
  <c r="F11"/>
  <c r="J11"/>
  <c r="K11"/>
  <c r="L11"/>
  <c r="Z12"/>
  <c r="F12"/>
  <c r="G12"/>
  <c r="J12"/>
  <c r="K12"/>
  <c r="L12"/>
  <c r="Z13"/>
  <c r="F13"/>
  <c r="G13"/>
  <c r="J13"/>
  <c r="K13"/>
  <c r="L13"/>
  <c r="Z14"/>
  <c r="F14"/>
  <c r="J14"/>
  <c r="K14"/>
  <c r="L14"/>
  <c r="Z15"/>
  <c r="F15"/>
  <c r="G15"/>
  <c r="J15"/>
  <c r="K15"/>
  <c r="L15"/>
  <c r="F16"/>
  <c r="J16"/>
  <c r="K16"/>
  <c r="L16"/>
  <c r="F17"/>
  <c r="J17"/>
  <c r="K17"/>
  <c r="L17"/>
  <c r="L18"/>
  <c r="Y60" i="7"/>
  <c r="Y22" i="56"/>
  <c r="O25"/>
  <c r="N25"/>
  <c r="M25"/>
  <c r="L25"/>
  <c r="Y18"/>
  <c r="O21"/>
  <c r="N21"/>
  <c r="M21"/>
  <c r="L21"/>
  <c r="Y14"/>
  <c r="O17"/>
  <c r="N17"/>
  <c r="M17"/>
  <c r="L17"/>
  <c r="P110"/>
  <c r="P101"/>
  <c r="P70"/>
  <c r="P74"/>
  <c r="P78"/>
  <c r="P82"/>
  <c r="P50"/>
  <c r="P54"/>
  <c r="P58"/>
  <c r="P62"/>
  <c r="P30"/>
  <c r="P34"/>
  <c r="P38"/>
  <c r="P42"/>
  <c r="P14" a="1"/>
  <c r="P14"/>
  <c r="Q14"/>
  <c r="P15"/>
  <c r="Q15"/>
  <c r="P16"/>
  <c r="Q16"/>
  <c r="P17"/>
  <c r="Q17"/>
  <c r="P18"/>
  <c r="Q18"/>
  <c r="P19"/>
  <c r="Q19"/>
  <c r="P20"/>
  <c r="Q20"/>
  <c r="P21"/>
  <c r="Q21"/>
  <c r="P22"/>
  <c r="Q22"/>
  <c r="P23"/>
  <c r="Q23"/>
  <c r="P24"/>
  <c r="Q24"/>
  <c r="P25"/>
  <c r="Q25"/>
  <c r="D112"/>
  <c r="D111"/>
  <c r="D109"/>
  <c r="D108"/>
  <c r="D106"/>
  <c r="D105"/>
  <c r="D103"/>
  <c r="D102"/>
  <c r="D100"/>
  <c r="D99"/>
  <c r="D97"/>
  <c r="D96"/>
  <c r="D94"/>
  <c r="D93"/>
  <c r="D91"/>
  <c r="D90"/>
  <c r="D88"/>
  <c r="D87"/>
  <c r="K112"/>
  <c r="M110"/>
  <c r="M111"/>
  <c r="K111"/>
  <c r="S110"/>
  <c r="K110"/>
  <c r="C110"/>
  <c r="K109"/>
  <c r="M107"/>
  <c r="M108"/>
  <c r="K108"/>
  <c r="S107"/>
  <c r="K107"/>
  <c r="C107"/>
  <c r="K106"/>
  <c r="M104"/>
  <c r="M105"/>
  <c r="K105"/>
  <c r="S104"/>
  <c r="K104"/>
  <c r="C104"/>
  <c r="K103"/>
  <c r="M101"/>
  <c r="M102"/>
  <c r="K102"/>
  <c r="S101"/>
  <c r="K101"/>
  <c r="C101"/>
  <c r="K100"/>
  <c r="M98"/>
  <c r="M99"/>
  <c r="K99"/>
  <c r="S98"/>
  <c r="K98"/>
  <c r="C98"/>
  <c r="K97"/>
  <c r="M95"/>
  <c r="M96"/>
  <c r="K96"/>
  <c r="S95"/>
  <c r="K95"/>
  <c r="C95"/>
  <c r="K94"/>
  <c r="K91"/>
  <c r="K88"/>
  <c r="M92"/>
  <c r="M93"/>
  <c r="K93"/>
  <c r="S92"/>
  <c r="K92"/>
  <c r="C92"/>
  <c r="M89"/>
  <c r="M90"/>
  <c r="K90"/>
  <c r="S89"/>
  <c r="K89"/>
  <c r="C89"/>
  <c r="M86"/>
  <c r="M87"/>
  <c r="K87"/>
  <c r="K86"/>
  <c r="C86"/>
  <c r="S86"/>
  <c r="O45"/>
  <c r="N45"/>
  <c r="M45"/>
  <c r="L45"/>
  <c r="K45"/>
  <c r="K42"/>
  <c r="O44"/>
  <c r="N44"/>
  <c r="M44"/>
  <c r="L44"/>
  <c r="K44"/>
  <c r="K43"/>
  <c r="S42"/>
  <c r="C42"/>
  <c r="O65"/>
  <c r="N65"/>
  <c r="M65"/>
  <c r="L65"/>
  <c r="K65"/>
  <c r="K62"/>
  <c r="O64"/>
  <c r="N64"/>
  <c r="M64"/>
  <c r="L64"/>
  <c r="K64"/>
  <c r="K63"/>
  <c r="S62"/>
  <c r="C62"/>
  <c r="O85"/>
  <c r="N85"/>
  <c r="M85"/>
  <c r="L85"/>
  <c r="K85"/>
  <c r="K82"/>
  <c r="O84"/>
  <c r="N84"/>
  <c r="M84"/>
  <c r="L84"/>
  <c r="K84"/>
  <c r="K83"/>
  <c r="S82"/>
  <c r="C82"/>
  <c r="J19" i="27"/>
  <c r="J20"/>
  <c r="J21"/>
  <c r="J22"/>
  <c r="J23"/>
  <c r="J43"/>
  <c r="J12"/>
  <c r="J13"/>
  <c r="J40"/>
  <c r="J31"/>
  <c r="G30" i="9"/>
  <c r="G29"/>
  <c r="F17" i="42"/>
  <c r="F5"/>
  <c r="C27"/>
  <c r="L81" i="53"/>
  <c r="L80"/>
  <c r="L79"/>
  <c r="F122" i="32"/>
  <c r="H122"/>
  <c r="F121"/>
  <c r="H121"/>
  <c r="C44" i="17"/>
  <c r="C43"/>
  <c r="C44" i="9"/>
  <c r="C43"/>
  <c r="C78" i="56"/>
  <c r="C74"/>
  <c r="C70"/>
  <c r="C66"/>
  <c r="C58"/>
  <c r="C54"/>
  <c r="C50"/>
  <c r="C46"/>
  <c r="C38"/>
  <c r="C34"/>
  <c r="C30"/>
  <c r="C26"/>
  <c r="O81"/>
  <c r="N81"/>
  <c r="M81"/>
  <c r="L81"/>
  <c r="K81"/>
  <c r="K78"/>
  <c r="O80"/>
  <c r="N80"/>
  <c r="M80"/>
  <c r="L80"/>
  <c r="K80"/>
  <c r="K79"/>
  <c r="S78"/>
  <c r="O77"/>
  <c r="N77"/>
  <c r="M77"/>
  <c r="L77"/>
  <c r="K77"/>
  <c r="K74"/>
  <c r="O76"/>
  <c r="N76"/>
  <c r="M76"/>
  <c r="L76"/>
  <c r="K76"/>
  <c r="K75"/>
  <c r="S74"/>
  <c r="O73"/>
  <c r="N73"/>
  <c r="M73"/>
  <c r="L73"/>
  <c r="K73"/>
  <c r="K70"/>
  <c r="O72"/>
  <c r="N72"/>
  <c r="M72"/>
  <c r="L72"/>
  <c r="K72"/>
  <c r="K71"/>
  <c r="S70"/>
  <c r="O61"/>
  <c r="N61"/>
  <c r="M61"/>
  <c r="L61"/>
  <c r="K61"/>
  <c r="K58"/>
  <c r="O60"/>
  <c r="N60"/>
  <c r="M60"/>
  <c r="L60"/>
  <c r="K60"/>
  <c r="K59"/>
  <c r="S58"/>
  <c r="O57"/>
  <c r="N57"/>
  <c r="M57"/>
  <c r="L57"/>
  <c r="K57"/>
  <c r="K54"/>
  <c r="O56"/>
  <c r="N56"/>
  <c r="M56"/>
  <c r="L56"/>
  <c r="K56"/>
  <c r="K55"/>
  <c r="S54"/>
  <c r="O53"/>
  <c r="N53"/>
  <c r="M53"/>
  <c r="L53"/>
  <c r="K53"/>
  <c r="K50"/>
  <c r="O52"/>
  <c r="N52"/>
  <c r="M52"/>
  <c r="L52"/>
  <c r="K52"/>
  <c r="K51"/>
  <c r="S50"/>
  <c r="O41"/>
  <c r="N41"/>
  <c r="M41"/>
  <c r="L41"/>
  <c r="K41"/>
  <c r="K38"/>
  <c r="O40"/>
  <c r="N40"/>
  <c r="M40"/>
  <c r="L40"/>
  <c r="K40"/>
  <c r="K39"/>
  <c r="S38"/>
  <c r="O37"/>
  <c r="N37"/>
  <c r="M37"/>
  <c r="L37"/>
  <c r="K37"/>
  <c r="K34"/>
  <c r="O36"/>
  <c r="N36"/>
  <c r="M36"/>
  <c r="L36"/>
  <c r="K36"/>
  <c r="K35"/>
  <c r="S34"/>
  <c r="O33"/>
  <c r="N33"/>
  <c r="M33"/>
  <c r="L33"/>
  <c r="K33"/>
  <c r="K30"/>
  <c r="O32"/>
  <c r="N32"/>
  <c r="M32"/>
  <c r="L32"/>
  <c r="K32"/>
  <c r="K31"/>
  <c r="S30"/>
  <c r="K66"/>
  <c r="O68"/>
  <c r="N68"/>
  <c r="M68"/>
  <c r="L68"/>
  <c r="K68"/>
  <c r="K67"/>
  <c r="K46"/>
  <c r="K47"/>
  <c r="O48"/>
  <c r="N48"/>
  <c r="M48"/>
  <c r="L48"/>
  <c r="K48"/>
  <c r="K26"/>
  <c r="O28"/>
  <c r="N28"/>
  <c r="M28"/>
  <c r="L28"/>
  <c r="K28"/>
  <c r="K27"/>
  <c r="O29"/>
  <c r="N29"/>
  <c r="M29"/>
  <c r="L29"/>
  <c r="K29"/>
  <c r="O49"/>
  <c r="N49"/>
  <c r="M49"/>
  <c r="L49"/>
  <c r="K49"/>
  <c r="O69"/>
  <c r="N69"/>
  <c r="M69"/>
  <c r="L69"/>
  <c r="K69"/>
  <c r="S66"/>
  <c r="S46"/>
  <c r="S26"/>
  <c r="F27" i="6"/>
  <c r="W5"/>
  <c r="V23"/>
  <c r="Y14" i="17"/>
  <c r="D88" i="1"/>
  <c r="K60"/>
  <c r="K59"/>
  <c r="J59"/>
  <c r="P88"/>
  <c r="E14" i="17"/>
  <c r="Y15"/>
  <c r="E15"/>
  <c r="D87" i="1"/>
  <c r="K58"/>
  <c r="J58"/>
  <c r="P87"/>
  <c r="Q87"/>
  <c r="N84" i="52"/>
  <c r="AC29" i="9"/>
  <c r="Y24" i="17"/>
  <c r="Y25"/>
  <c r="E25"/>
  <c r="W25"/>
  <c r="V25"/>
  <c r="Q25"/>
  <c r="S25"/>
  <c r="P25"/>
  <c r="H25"/>
  <c r="AC30" i="9"/>
  <c r="E24" i="17"/>
  <c r="W13"/>
  <c r="V13"/>
  <c r="Q13"/>
  <c r="S13"/>
  <c r="Y12"/>
  <c r="Y13"/>
  <c r="E13"/>
  <c r="P13"/>
  <c r="H13"/>
  <c r="E12"/>
  <c r="N34" i="4"/>
  <c r="E29" i="9"/>
  <c r="Z38"/>
  <c r="O28" i="7"/>
  <c r="O26"/>
  <c r="AA38" i="9"/>
  <c r="P28" i="7"/>
  <c r="P26"/>
  <c r="G99" i="1"/>
  <c r="H9" i="32"/>
  <c r="G105" i="1"/>
  <c r="Q28" i="7"/>
  <c r="R28"/>
  <c r="P20"/>
  <c r="Q20"/>
  <c r="E30" i="9"/>
  <c r="H15"/>
  <c r="H29"/>
  <c r="N83" i="52"/>
  <c r="J22" i="9"/>
  <c r="K22"/>
  <c r="J23"/>
  <c r="K23"/>
  <c r="J24"/>
  <c r="K24"/>
  <c r="J25"/>
  <c r="K25"/>
  <c r="J26"/>
  <c r="K26"/>
  <c r="J27"/>
  <c r="K27"/>
  <c r="J28"/>
  <c r="K28"/>
  <c r="C71" i="55"/>
  <c r="D71"/>
  <c r="E71"/>
  <c r="B71"/>
  <c r="J29" i="9"/>
  <c r="K29"/>
  <c r="J30"/>
  <c r="K30"/>
  <c r="J31"/>
  <c r="K31"/>
  <c r="J32"/>
  <c r="K32"/>
  <c r="J33"/>
  <c r="K33"/>
  <c r="J34"/>
  <c r="K34"/>
  <c r="W29"/>
  <c r="C71" i="1"/>
  <c r="D71"/>
  <c r="E71"/>
  <c r="B71"/>
  <c r="P29" i="9"/>
  <c r="Q29"/>
  <c r="R29"/>
  <c r="S29"/>
  <c r="D28"/>
  <c r="H28"/>
  <c r="H76" i="7"/>
  <c r="H70"/>
  <c r="H86"/>
  <c r="H78"/>
  <c r="H75"/>
  <c r="H69"/>
  <c r="H68"/>
  <c r="H9"/>
  <c r="D53" i="4"/>
  <c r="D30" i="27"/>
  <c r="D4"/>
  <c r="Y7"/>
  <c r="Y8"/>
  <c r="O98" i="52"/>
  <c r="AA7" i="27"/>
  <c r="AA8"/>
  <c r="E88" i="55"/>
  <c r="F8" i="27"/>
  <c r="F7"/>
  <c r="F5"/>
  <c r="J81" i="1"/>
  <c r="E23" i="27"/>
  <c r="D23"/>
  <c r="J86" i="1"/>
  <c r="E22" i="27"/>
  <c r="D22"/>
  <c r="J87" i="1"/>
  <c r="E21" i="27"/>
  <c r="D21"/>
  <c r="J84" i="1"/>
  <c r="E20" i="27"/>
  <c r="D20"/>
  <c r="J82" i="1"/>
  <c r="E19" i="27"/>
  <c r="D19"/>
  <c r="F88" i="1"/>
  <c r="E13" i="27"/>
  <c r="F81" i="1"/>
  <c r="E12" i="27"/>
  <c r="D12"/>
  <c r="N98" i="52"/>
  <c r="Z7" i="27"/>
  <c r="Z8"/>
  <c r="E88" i="1"/>
  <c r="E8" i="27"/>
  <c r="E7"/>
  <c r="H5"/>
  <c r="G5"/>
  <c r="E5"/>
  <c r="E24"/>
  <c r="W19"/>
  <c r="W20"/>
  <c r="W21"/>
  <c r="W22"/>
  <c r="W23"/>
  <c r="W24"/>
  <c r="O19"/>
  <c r="O20"/>
  <c r="O21"/>
  <c r="O22"/>
  <c r="O23"/>
  <c r="O24"/>
  <c r="F24"/>
  <c r="P23"/>
  <c r="H23"/>
  <c r="P22"/>
  <c r="H22"/>
  <c r="P21"/>
  <c r="S21"/>
  <c r="H21"/>
  <c r="P20"/>
  <c r="H20"/>
  <c r="P19"/>
  <c r="H19"/>
  <c r="O17"/>
  <c r="O18"/>
  <c r="F18"/>
  <c r="E18"/>
  <c r="P17"/>
  <c r="Q17"/>
  <c r="H17"/>
  <c r="E16"/>
  <c r="W15"/>
  <c r="W16"/>
  <c r="O15"/>
  <c r="O16"/>
  <c r="F16"/>
  <c r="P15"/>
  <c r="Q15"/>
  <c r="H15"/>
  <c r="E14"/>
  <c r="W12"/>
  <c r="W13"/>
  <c r="W14"/>
  <c r="O12"/>
  <c r="O13"/>
  <c r="O14"/>
  <c r="F14"/>
  <c r="P13"/>
  <c r="Q13"/>
  <c r="H13"/>
  <c r="P12"/>
  <c r="Q12"/>
  <c r="H12"/>
  <c r="E11"/>
  <c r="W10"/>
  <c r="W11"/>
  <c r="O10"/>
  <c r="O11"/>
  <c r="K10"/>
  <c r="K11"/>
  <c r="F11"/>
  <c r="P10"/>
  <c r="Q10"/>
  <c r="H10"/>
  <c r="E9"/>
  <c r="W7"/>
  <c r="W8"/>
  <c r="W9"/>
  <c r="J7"/>
  <c r="O7"/>
  <c r="J8"/>
  <c r="O8"/>
  <c r="O9"/>
  <c r="K7"/>
  <c r="K8"/>
  <c r="K9"/>
  <c r="F9"/>
  <c r="P8"/>
  <c r="Q8"/>
  <c r="H8"/>
  <c r="P7"/>
  <c r="Q7"/>
  <c r="H7"/>
  <c r="S5"/>
  <c r="R5"/>
  <c r="Q5"/>
  <c r="P5"/>
  <c r="C115" i="32"/>
  <c r="G117"/>
  <c r="H117"/>
  <c r="F118"/>
  <c r="H118"/>
  <c r="G119"/>
  <c r="H119"/>
  <c r="G120"/>
  <c r="H120"/>
  <c r="D35" i="6"/>
  <c r="E4"/>
  <c r="C104" i="32"/>
  <c r="E24" i="53"/>
  <c r="D20" i="45"/>
  <c r="D4"/>
  <c r="D4" i="44"/>
  <c r="D4" i="43"/>
  <c r="D21" i="42"/>
  <c r="G36" i="32"/>
  <c r="F5"/>
  <c r="D4" i="28"/>
  <c r="D4" i="21"/>
  <c r="D36" i="17"/>
  <c r="G37" i="7"/>
  <c r="F5"/>
  <c r="H21" i="52"/>
  <c r="G21"/>
  <c r="Q32" i="9"/>
  <c r="R32"/>
  <c r="Q31"/>
  <c r="R31"/>
  <c r="Q30"/>
  <c r="R30"/>
  <c r="Q28"/>
  <c r="R28"/>
  <c r="Q27"/>
  <c r="R27"/>
  <c r="Q26"/>
  <c r="R26"/>
  <c r="Q25"/>
  <c r="R25"/>
  <c r="Q24"/>
  <c r="R24"/>
  <c r="Q23"/>
  <c r="R23"/>
  <c r="Q22"/>
  <c r="R22"/>
  <c r="Q34"/>
  <c r="R34"/>
  <c r="S34"/>
  <c r="S32"/>
  <c r="S31"/>
  <c r="S30"/>
  <c r="S28"/>
  <c r="S27"/>
  <c r="S26"/>
  <c r="S25"/>
  <c r="S24"/>
  <c r="S23"/>
  <c r="S22"/>
  <c r="Q33"/>
  <c r="S33"/>
  <c r="R33"/>
  <c r="J19"/>
  <c r="K19"/>
  <c r="Q19"/>
  <c r="R19"/>
  <c r="S19"/>
  <c r="J18"/>
  <c r="K18"/>
  <c r="Q18"/>
  <c r="R18"/>
  <c r="S18"/>
  <c r="J17"/>
  <c r="K17"/>
  <c r="Q17"/>
  <c r="R17"/>
  <c r="S17"/>
  <c r="J15"/>
  <c r="K15"/>
  <c r="Q15"/>
  <c r="R15"/>
  <c r="S15"/>
  <c r="J14"/>
  <c r="K14"/>
  <c r="Q14"/>
  <c r="R14"/>
  <c r="S14"/>
  <c r="J13"/>
  <c r="K13"/>
  <c r="Q13"/>
  <c r="R13"/>
  <c r="S13"/>
  <c r="J12"/>
  <c r="K12"/>
  <c r="Q12"/>
  <c r="R12"/>
  <c r="S12"/>
  <c r="J11"/>
  <c r="K11"/>
  <c r="Q11"/>
  <c r="R11"/>
  <c r="S11"/>
  <c r="J10"/>
  <c r="K10"/>
  <c r="Q10"/>
  <c r="R10"/>
  <c r="S10"/>
  <c r="Q16"/>
  <c r="R16"/>
  <c r="S16"/>
  <c r="J9"/>
  <c r="K9"/>
  <c r="Q9"/>
  <c r="R9"/>
  <c r="S9"/>
  <c r="J8"/>
  <c r="K8"/>
  <c r="Q8"/>
  <c r="R8"/>
  <c r="S8"/>
  <c r="J7"/>
  <c r="K7"/>
  <c r="Q7"/>
  <c r="R7"/>
  <c r="S7"/>
  <c r="Z2" i="43"/>
  <c r="O65" i="52"/>
  <c r="E130" i="55"/>
  <c r="E175"/>
  <c r="F6" i="43"/>
  <c r="J6"/>
  <c r="P6"/>
  <c r="R6"/>
  <c r="Q6"/>
  <c r="R5"/>
  <c r="Q5"/>
  <c r="Y14" i="28"/>
  <c r="L84" i="55"/>
  <c r="I69"/>
  <c r="F13" i="28"/>
  <c r="J13"/>
  <c r="P13"/>
  <c r="R13"/>
  <c r="Y8"/>
  <c r="H69" i="55"/>
  <c r="F7" i="28"/>
  <c r="J7"/>
  <c r="P7"/>
  <c r="R7"/>
  <c r="Q7"/>
  <c r="O115" i="52"/>
  <c r="D145" i="55"/>
  <c r="O49" i="52"/>
  <c r="C127" i="55"/>
  <c r="O67" i="52"/>
  <c r="F127" i="55"/>
  <c r="O74" i="52"/>
  <c r="I127" i="55"/>
  <c r="B127"/>
  <c r="B172"/>
  <c r="N115" i="52"/>
  <c r="D146" i="55"/>
  <c r="O50" i="52"/>
  <c r="C128" i="55"/>
  <c r="F128"/>
  <c r="O75" i="52"/>
  <c r="I128" i="55"/>
  <c r="B128"/>
  <c r="B173"/>
  <c r="D147"/>
  <c r="B129"/>
  <c r="B174"/>
  <c r="D148"/>
  <c r="O68" i="52"/>
  <c r="F130" i="55"/>
  <c r="B130"/>
  <c r="B175"/>
  <c r="D149"/>
  <c r="F131"/>
  <c r="B131"/>
  <c r="B176"/>
  <c r="D150"/>
  <c r="O69" i="52"/>
  <c r="F132" i="55"/>
  <c r="B132"/>
  <c r="B177"/>
  <c r="D151"/>
  <c r="F133"/>
  <c r="B133"/>
  <c r="B178"/>
  <c r="O116" i="52"/>
  <c r="D152" i="55"/>
  <c r="O51" i="52"/>
  <c r="C134" i="55"/>
  <c r="O66" i="52"/>
  <c r="E134" i="55"/>
  <c r="O70" i="52"/>
  <c r="F134" i="55"/>
  <c r="O76" i="52"/>
  <c r="I134" i="55"/>
  <c r="B134"/>
  <c r="B179"/>
  <c r="D153"/>
  <c r="O52" i="52"/>
  <c r="C135" i="55"/>
  <c r="B135"/>
  <c r="B180"/>
  <c r="D154"/>
  <c r="O53" i="52"/>
  <c r="C136" i="55"/>
  <c r="B136"/>
  <c r="B181"/>
  <c r="E145"/>
  <c r="E146"/>
  <c r="E147"/>
  <c r="E148"/>
  <c r="E149"/>
  <c r="E150"/>
  <c r="E151"/>
  <c r="E153"/>
  <c r="E154"/>
  <c r="Q13" i="28"/>
  <c r="R5"/>
  <c r="Q5"/>
  <c r="Q2" i="53"/>
  <c r="Q3"/>
  <c r="I179" i="55"/>
  <c r="F11" i="45"/>
  <c r="J11"/>
  <c r="K11"/>
  <c r="I173" i="55"/>
  <c r="F12" i="45"/>
  <c r="J12"/>
  <c r="K12"/>
  <c r="I172" i="55"/>
  <c r="F13" i="45"/>
  <c r="J13"/>
  <c r="K13"/>
  <c r="E145" i="1"/>
  <c r="N49" i="52"/>
  <c r="C127" i="1"/>
  <c r="N54" i="52"/>
  <c r="D127" i="1"/>
  <c r="N67" i="52"/>
  <c r="F127" i="1"/>
  <c r="N74" i="52"/>
  <c r="I127" i="1"/>
  <c r="B127"/>
  <c r="B172"/>
  <c r="E146"/>
  <c r="N50" i="52"/>
  <c r="C128" i="1"/>
  <c r="N55" i="52"/>
  <c r="D128" i="1"/>
  <c r="F128"/>
  <c r="N75" i="52"/>
  <c r="I128" i="1"/>
  <c r="B128"/>
  <c r="G100"/>
  <c r="B173"/>
  <c r="E147"/>
  <c r="N56" i="52"/>
  <c r="D129" i="1"/>
  <c r="B129"/>
  <c r="G101"/>
  <c r="B174"/>
  <c r="E148"/>
  <c r="N57" i="52"/>
  <c r="D130" i="1"/>
  <c r="N65" i="52"/>
  <c r="E130" i="1"/>
  <c r="N68" i="52"/>
  <c r="F130" i="1"/>
  <c r="B130"/>
  <c r="G102"/>
  <c r="B175"/>
  <c r="E149"/>
  <c r="N58" i="52"/>
  <c r="D131" i="1"/>
  <c r="F131"/>
  <c r="B131"/>
  <c r="G103"/>
  <c r="B176"/>
  <c r="E150"/>
  <c r="N59" i="52"/>
  <c r="D132" i="1"/>
  <c r="N69" i="52"/>
  <c r="F132" i="1"/>
  <c r="B132"/>
  <c r="G104"/>
  <c r="B177"/>
  <c r="E151"/>
  <c r="N60" i="52"/>
  <c r="D133" i="1"/>
  <c r="F133"/>
  <c r="B133"/>
  <c r="B178"/>
  <c r="N116" i="52"/>
  <c r="N51"/>
  <c r="C134" i="1"/>
  <c r="N61" i="52"/>
  <c r="D134" i="1"/>
  <c r="N66" i="52"/>
  <c r="E134" i="1"/>
  <c r="N70" i="52"/>
  <c r="F134" i="1"/>
  <c r="N76" i="52"/>
  <c r="I134" i="1"/>
  <c r="B134"/>
  <c r="B179"/>
  <c r="E153"/>
  <c r="N52" i="52"/>
  <c r="C135" i="1"/>
  <c r="N62" i="52"/>
  <c r="D135" i="1"/>
  <c r="B135"/>
  <c r="G107"/>
  <c r="B180"/>
  <c r="E154"/>
  <c r="N53" i="52"/>
  <c r="C136" i="1"/>
  <c r="N63" i="52"/>
  <c r="D136" i="1"/>
  <c r="B136"/>
  <c r="G108"/>
  <c r="B181"/>
  <c r="D145"/>
  <c r="D146"/>
  <c r="D147"/>
  <c r="D148"/>
  <c r="D149"/>
  <c r="D150"/>
  <c r="D151"/>
  <c r="D152"/>
  <c r="D153"/>
  <c r="D154"/>
  <c r="K2" i="53"/>
  <c r="K3"/>
  <c r="C154" i="55"/>
  <c r="B154"/>
  <c r="F18" i="34"/>
  <c r="J18"/>
  <c r="K18"/>
  <c r="L18"/>
  <c r="C153" i="55"/>
  <c r="B153"/>
  <c r="F17" i="34"/>
  <c r="J17"/>
  <c r="K17"/>
  <c r="L17"/>
  <c r="Y7"/>
  <c r="Y8"/>
  <c r="Y9"/>
  <c r="Y10"/>
  <c r="Y11"/>
  <c r="Y12"/>
  <c r="Y13"/>
  <c r="Y14"/>
  <c r="Y15"/>
  <c r="O112" i="52"/>
  <c r="AC15" i="34"/>
  <c r="C152" i="55"/>
  <c r="E152"/>
  <c r="B152"/>
  <c r="F15" i="34"/>
  <c r="J15"/>
  <c r="K15"/>
  <c r="L15"/>
  <c r="AC16"/>
  <c r="F16"/>
  <c r="J16"/>
  <c r="K16"/>
  <c r="L16"/>
  <c r="C151" i="55"/>
  <c r="B151"/>
  <c r="F14" i="34"/>
  <c r="G14"/>
  <c r="J14"/>
  <c r="K14"/>
  <c r="L14"/>
  <c r="C150" i="55"/>
  <c r="B150"/>
  <c r="F13" i="34"/>
  <c r="J13"/>
  <c r="K13"/>
  <c r="L13"/>
  <c r="C149" i="55"/>
  <c r="B149"/>
  <c r="F12" i="34"/>
  <c r="J12"/>
  <c r="K12"/>
  <c r="L12"/>
  <c r="C148" i="55"/>
  <c r="B148"/>
  <c r="F11" i="34"/>
  <c r="J11"/>
  <c r="K11"/>
  <c r="L11"/>
  <c r="C147" i="55"/>
  <c r="B147"/>
  <c r="F10" i="34"/>
  <c r="J10"/>
  <c r="K10"/>
  <c r="L10"/>
  <c r="C146" i="55"/>
  <c r="B146"/>
  <c r="F9" i="34"/>
  <c r="J9"/>
  <c r="K9"/>
  <c r="L9"/>
  <c r="O111" i="52"/>
  <c r="AC7" i="34"/>
  <c r="C145" i="55"/>
  <c r="B145"/>
  <c r="F7" i="34"/>
  <c r="J7"/>
  <c r="K7"/>
  <c r="L7"/>
  <c r="AC8"/>
  <c r="F8"/>
  <c r="J8"/>
  <c r="K8"/>
  <c r="L8"/>
  <c r="X15" i="38"/>
  <c r="X16"/>
  <c r="X17"/>
  <c r="X18"/>
  <c r="X19"/>
  <c r="X20"/>
  <c r="X21"/>
  <c r="X7"/>
  <c r="X8"/>
  <c r="X9"/>
  <c r="X10"/>
  <c r="X11"/>
  <c r="X12"/>
  <c r="X13"/>
  <c r="I179" i="1"/>
  <c r="E11" i="45"/>
  <c r="H11"/>
  <c r="O11"/>
  <c r="P11"/>
  <c r="Q11"/>
  <c r="R11"/>
  <c r="I173" i="1"/>
  <c r="E12" i="45"/>
  <c r="I172" i="1"/>
  <c r="E13" i="45"/>
  <c r="E14"/>
  <c r="V11"/>
  <c r="D12"/>
  <c r="H12"/>
  <c r="O12"/>
  <c r="P12"/>
  <c r="Q12"/>
  <c r="R12"/>
  <c r="V12"/>
  <c r="D13"/>
  <c r="H13"/>
  <c r="O13"/>
  <c r="P13"/>
  <c r="Q13"/>
  <c r="R13"/>
  <c r="V13"/>
  <c r="F14"/>
  <c r="K14"/>
  <c r="O14"/>
  <c r="V14"/>
  <c r="H9"/>
  <c r="K9"/>
  <c r="O9"/>
  <c r="P9"/>
  <c r="Q9"/>
  <c r="R9"/>
  <c r="E10"/>
  <c r="V9"/>
  <c r="F10"/>
  <c r="K10"/>
  <c r="O10"/>
  <c r="V10"/>
  <c r="Y13" i="13"/>
  <c r="Y14"/>
  <c r="Y15"/>
  <c r="Y16"/>
  <c r="Y17"/>
  <c r="Y7"/>
  <c r="Y8"/>
  <c r="Y9"/>
  <c r="Y10"/>
  <c r="Y11"/>
  <c r="Y20" i="34"/>
  <c r="Y21"/>
  <c r="Y22"/>
  <c r="Y23"/>
  <c r="Y24"/>
  <c r="Y25"/>
  <c r="Y26"/>
  <c r="Y27"/>
  <c r="Y28"/>
  <c r="O114" i="52"/>
  <c r="AC28" i="34"/>
  <c r="N114" i="52"/>
  <c r="AB28" i="34"/>
  <c r="N112" i="52"/>
  <c r="AB15" i="34"/>
  <c r="Y29"/>
  <c r="Y30"/>
  <c r="Y31"/>
  <c r="Y16"/>
  <c r="Y17"/>
  <c r="Y18"/>
  <c r="N117" i="52"/>
  <c r="N118"/>
  <c r="O117"/>
  <c r="O118"/>
  <c r="C172" i="1"/>
  <c r="C158"/>
  <c r="E15" i="38"/>
  <c r="C173" i="1"/>
  <c r="C159"/>
  <c r="E16" i="38"/>
  <c r="C181" i="1"/>
  <c r="C167"/>
  <c r="E17" i="38"/>
  <c r="P104" i="1"/>
  <c r="C180"/>
  <c r="C166"/>
  <c r="E18" i="38"/>
  <c r="D15"/>
  <c r="C172" i="55"/>
  <c r="C158"/>
  <c r="F15" i="38"/>
  <c r="H15"/>
  <c r="J15"/>
  <c r="K15"/>
  <c r="O15"/>
  <c r="P15"/>
  <c r="R15"/>
  <c r="D16"/>
  <c r="C173" i="55"/>
  <c r="C159"/>
  <c r="F16" i="38"/>
  <c r="H16"/>
  <c r="J16"/>
  <c r="K16"/>
  <c r="O16"/>
  <c r="P16"/>
  <c r="R16"/>
  <c r="D17"/>
  <c r="C181" i="55"/>
  <c r="C167"/>
  <c r="F17" i="38"/>
  <c r="H17"/>
  <c r="J17"/>
  <c r="K17"/>
  <c r="O17"/>
  <c r="P17"/>
  <c r="R17"/>
  <c r="P100" i="55"/>
  <c r="P104"/>
  <c r="C180"/>
  <c r="C166"/>
  <c r="F18" i="38"/>
  <c r="H18"/>
  <c r="J18"/>
  <c r="K18"/>
  <c r="O18"/>
  <c r="P18"/>
  <c r="R18"/>
  <c r="D19"/>
  <c r="H19"/>
  <c r="J19"/>
  <c r="D20"/>
  <c r="H20"/>
  <c r="J20"/>
  <c r="D21"/>
  <c r="H21"/>
  <c r="J21"/>
  <c r="O113" i="52"/>
  <c r="AC20" i="34"/>
  <c r="N113" i="52"/>
  <c r="AB20" i="34"/>
  <c r="D20"/>
  <c r="C145" i="1"/>
  <c r="E20" i="34"/>
  <c r="F20"/>
  <c r="H20"/>
  <c r="J20"/>
  <c r="K20"/>
  <c r="L20"/>
  <c r="P20"/>
  <c r="Q20"/>
  <c r="V20"/>
  <c r="AB21"/>
  <c r="E21"/>
  <c r="C146" i="1"/>
  <c r="E22" i="34"/>
  <c r="C147" i="1"/>
  <c r="E23" i="34"/>
  <c r="C148" i="1"/>
  <c r="E24" i="34"/>
  <c r="C149" i="1"/>
  <c r="E25" i="34"/>
  <c r="C150" i="1"/>
  <c r="E26" i="34"/>
  <c r="C151" i="1"/>
  <c r="E27" i="34"/>
  <c r="C152" i="1"/>
  <c r="E28" i="34"/>
  <c r="AB29"/>
  <c r="E29"/>
  <c r="C153" i="1"/>
  <c r="E30" i="34"/>
  <c r="C154" i="1"/>
  <c r="E31" i="34"/>
  <c r="E32"/>
  <c r="W20"/>
  <c r="D21"/>
  <c r="F21"/>
  <c r="H21"/>
  <c r="J21"/>
  <c r="K21"/>
  <c r="L21"/>
  <c r="P21"/>
  <c r="Q21"/>
  <c r="V21"/>
  <c r="W21"/>
  <c r="AC21"/>
  <c r="D22"/>
  <c r="F22"/>
  <c r="H22"/>
  <c r="J22"/>
  <c r="K22"/>
  <c r="L22"/>
  <c r="P22"/>
  <c r="Q22"/>
  <c r="V22"/>
  <c r="W22"/>
  <c r="D23"/>
  <c r="F23"/>
  <c r="H23"/>
  <c r="J23"/>
  <c r="K23"/>
  <c r="L23"/>
  <c r="P23"/>
  <c r="Q23"/>
  <c r="V23"/>
  <c r="W23"/>
  <c r="D24"/>
  <c r="F24"/>
  <c r="H24"/>
  <c r="J24"/>
  <c r="K24"/>
  <c r="L24"/>
  <c r="P24"/>
  <c r="Q24"/>
  <c r="V24"/>
  <c r="W24"/>
  <c r="D25"/>
  <c r="F25"/>
  <c r="H25"/>
  <c r="J25"/>
  <c r="K25"/>
  <c r="L25"/>
  <c r="P25"/>
  <c r="Q25"/>
  <c r="V25"/>
  <c r="W25"/>
  <c r="D26"/>
  <c r="F26"/>
  <c r="H26"/>
  <c r="J26"/>
  <c r="K26"/>
  <c r="L26"/>
  <c r="P26"/>
  <c r="Q26"/>
  <c r="V26"/>
  <c r="W26"/>
  <c r="D27"/>
  <c r="F27"/>
  <c r="G27"/>
  <c r="H27"/>
  <c r="J27"/>
  <c r="K27"/>
  <c r="L27"/>
  <c r="P27"/>
  <c r="Q27"/>
  <c r="V27"/>
  <c r="W27"/>
  <c r="F28"/>
  <c r="H28"/>
  <c r="J28"/>
  <c r="K28"/>
  <c r="L28"/>
  <c r="P28"/>
  <c r="Q28"/>
  <c r="V28"/>
  <c r="W28"/>
  <c r="AC29"/>
  <c r="F29"/>
  <c r="H29"/>
  <c r="J29"/>
  <c r="K29"/>
  <c r="L29"/>
  <c r="P29"/>
  <c r="Q29"/>
  <c r="V29"/>
  <c r="W29"/>
  <c r="D30"/>
  <c r="F30"/>
  <c r="H30"/>
  <c r="J30"/>
  <c r="K30"/>
  <c r="L30"/>
  <c r="P30"/>
  <c r="Q30"/>
  <c r="V30"/>
  <c r="W30"/>
  <c r="D31"/>
  <c r="F31"/>
  <c r="H31"/>
  <c r="J31"/>
  <c r="K31"/>
  <c r="L31"/>
  <c r="P31"/>
  <c r="Q31"/>
  <c r="V31"/>
  <c r="W31"/>
  <c r="F32"/>
  <c r="K32"/>
  <c r="L32"/>
  <c r="P32"/>
  <c r="W32"/>
  <c r="C42"/>
  <c r="G42"/>
  <c r="F42"/>
  <c r="N111" i="52"/>
  <c r="AB7" i="34"/>
  <c r="G2" i="53"/>
  <c r="G3"/>
  <c r="G91" i="55"/>
  <c r="I62"/>
  <c r="H62"/>
  <c r="F13" i="21"/>
  <c r="J13"/>
  <c r="K13"/>
  <c r="G88" i="55"/>
  <c r="I59"/>
  <c r="H59"/>
  <c r="F11" i="21"/>
  <c r="J11"/>
  <c r="K11"/>
  <c r="G87" i="55"/>
  <c r="I58"/>
  <c r="H58"/>
  <c r="F12" i="21"/>
  <c r="J12"/>
  <c r="K12"/>
  <c r="G86" i="55"/>
  <c r="I57"/>
  <c r="H57"/>
  <c r="F10" i="21"/>
  <c r="J10"/>
  <c r="K10"/>
  <c r="G85" i="55"/>
  <c r="I56"/>
  <c r="H56"/>
  <c r="G84"/>
  <c r="I55"/>
  <c r="H55"/>
  <c r="F8" i="21"/>
  <c r="J8"/>
  <c r="K8"/>
  <c r="G82" i="55"/>
  <c r="I53"/>
  <c r="H53"/>
  <c r="F9" i="21"/>
  <c r="J9"/>
  <c r="K9"/>
  <c r="G81" i="55"/>
  <c r="I52"/>
  <c r="H52"/>
  <c r="F7" i="21"/>
  <c r="J7"/>
  <c r="K7"/>
  <c r="F2" i="53"/>
  <c r="F3"/>
  <c r="K7" i="28"/>
  <c r="Y17"/>
  <c r="Y16"/>
  <c r="Y15"/>
  <c r="Y13"/>
  <c r="Y11"/>
  <c r="Y10"/>
  <c r="Y9"/>
  <c r="L84" i="1"/>
  <c r="I69"/>
  <c r="E13" i="28"/>
  <c r="D13"/>
  <c r="H13"/>
  <c r="K13"/>
  <c r="O13"/>
  <c r="H14"/>
  <c r="J14"/>
  <c r="H15"/>
  <c r="J15"/>
  <c r="H16"/>
  <c r="J16"/>
  <c r="H17"/>
  <c r="J17"/>
  <c r="D15" i="21"/>
  <c r="G81" i="1"/>
  <c r="I52"/>
  <c r="E15" i="21"/>
  <c r="F15"/>
  <c r="H15"/>
  <c r="J15"/>
  <c r="K15"/>
  <c r="O15"/>
  <c r="P15"/>
  <c r="G84" i="1"/>
  <c r="I55"/>
  <c r="E16" i="21"/>
  <c r="G82" i="1"/>
  <c r="I53"/>
  <c r="E17" i="21"/>
  <c r="G85" i="1"/>
  <c r="I56"/>
  <c r="G86"/>
  <c r="I57"/>
  <c r="E18" i="21"/>
  <c r="G88" i="1"/>
  <c r="I59"/>
  <c r="E19" i="21"/>
  <c r="G87" i="1"/>
  <c r="I58"/>
  <c r="E20" i="21"/>
  <c r="N27" i="52"/>
  <c r="G46" i="1"/>
  <c r="G19"/>
  <c r="G91"/>
  <c r="I62"/>
  <c r="E21" i="21"/>
  <c r="E22"/>
  <c r="W15"/>
  <c r="D16"/>
  <c r="F16"/>
  <c r="H16"/>
  <c r="J16"/>
  <c r="K16"/>
  <c r="O16"/>
  <c r="P16"/>
  <c r="W16"/>
  <c r="D17"/>
  <c r="F17"/>
  <c r="H17"/>
  <c r="J17"/>
  <c r="K17"/>
  <c r="O17"/>
  <c r="P17"/>
  <c r="W17"/>
  <c r="D18"/>
  <c r="F18"/>
  <c r="H18"/>
  <c r="J18"/>
  <c r="K18"/>
  <c r="O18"/>
  <c r="P18"/>
  <c r="W18"/>
  <c r="F19"/>
  <c r="H19"/>
  <c r="J19"/>
  <c r="K19"/>
  <c r="O19"/>
  <c r="P19"/>
  <c r="W19"/>
  <c r="D20"/>
  <c r="F20"/>
  <c r="H20"/>
  <c r="J20"/>
  <c r="K20"/>
  <c r="O20"/>
  <c r="P20"/>
  <c r="W20"/>
  <c r="D21"/>
  <c r="F21"/>
  <c r="H21"/>
  <c r="J21"/>
  <c r="K21"/>
  <c r="O21"/>
  <c r="P21"/>
  <c r="W21"/>
  <c r="F22"/>
  <c r="K22"/>
  <c r="O22"/>
  <c r="W22"/>
  <c r="C81" i="1"/>
  <c r="C66"/>
  <c r="E13" i="13"/>
  <c r="C90" i="1"/>
  <c r="C75"/>
  <c r="E14" i="13"/>
  <c r="C88" i="1"/>
  <c r="C73"/>
  <c r="D13" i="13"/>
  <c r="C81" i="55"/>
  <c r="C66"/>
  <c r="F13" i="13"/>
  <c r="H13"/>
  <c r="J13"/>
  <c r="K13"/>
  <c r="O13"/>
  <c r="P13"/>
  <c r="C90" i="55"/>
  <c r="C75"/>
  <c r="F14" i="13"/>
  <c r="H14"/>
  <c r="J14"/>
  <c r="K14"/>
  <c r="O14"/>
  <c r="P14"/>
  <c r="C88" i="55"/>
  <c r="C73"/>
  <c r="H15" i="13"/>
  <c r="J15"/>
  <c r="H16"/>
  <c r="J16"/>
  <c r="H17"/>
  <c r="J17"/>
  <c r="E2" i="53"/>
  <c r="E3"/>
  <c r="D84" i="55"/>
  <c r="K55"/>
  <c r="J55"/>
  <c r="P84"/>
  <c r="C2" i="53"/>
  <c r="D2"/>
  <c r="C3"/>
  <c r="D3"/>
  <c r="D19" i="17"/>
  <c r="D81" i="1"/>
  <c r="K52"/>
  <c r="J52"/>
  <c r="P81"/>
  <c r="Q81"/>
  <c r="E19" i="17"/>
  <c r="H19"/>
  <c r="P19"/>
  <c r="Q19"/>
  <c r="S19"/>
  <c r="V19"/>
  <c r="Q84" i="55"/>
  <c r="W19" i="17"/>
  <c r="D20"/>
  <c r="D83" i="1"/>
  <c r="K54"/>
  <c r="J54"/>
  <c r="P83"/>
  <c r="Q83"/>
  <c r="E20" i="17"/>
  <c r="H20"/>
  <c r="P20"/>
  <c r="Q20"/>
  <c r="S20"/>
  <c r="V20"/>
  <c r="W20"/>
  <c r="D21"/>
  <c r="D82" i="1"/>
  <c r="K53"/>
  <c r="J53"/>
  <c r="P82"/>
  <c r="Q82"/>
  <c r="E21" i="17"/>
  <c r="H21"/>
  <c r="P21"/>
  <c r="Q21"/>
  <c r="S21"/>
  <c r="V21"/>
  <c r="W21"/>
  <c r="D84" i="1"/>
  <c r="K55"/>
  <c r="J55"/>
  <c r="P84"/>
  <c r="Q84"/>
  <c r="D22" i="17"/>
  <c r="D85" i="1"/>
  <c r="K56"/>
  <c r="J56"/>
  <c r="P85"/>
  <c r="Q85"/>
  <c r="E22" i="17"/>
  <c r="H22"/>
  <c r="P22"/>
  <c r="Q22"/>
  <c r="S22"/>
  <c r="V22"/>
  <c r="W22"/>
  <c r="D23"/>
  <c r="D86" i="1"/>
  <c r="K57"/>
  <c r="J57"/>
  <c r="P86"/>
  <c r="Q86"/>
  <c r="E23" i="17"/>
  <c r="H23"/>
  <c r="P23"/>
  <c r="Q23"/>
  <c r="S23"/>
  <c r="V23"/>
  <c r="W23"/>
  <c r="D24"/>
  <c r="H24"/>
  <c r="P24"/>
  <c r="Q24"/>
  <c r="S24"/>
  <c r="V24"/>
  <c r="W24"/>
  <c r="Q88" i="1"/>
  <c r="E26" i="17"/>
  <c r="H26"/>
  <c r="P26"/>
  <c r="Q26"/>
  <c r="S26"/>
  <c r="V26"/>
  <c r="W26"/>
  <c r="D27"/>
  <c r="D89" i="1"/>
  <c r="J60"/>
  <c r="P89"/>
  <c r="Q89"/>
  <c r="E27" i="17"/>
  <c r="H27"/>
  <c r="P27"/>
  <c r="Q27"/>
  <c r="S27"/>
  <c r="V27"/>
  <c r="W27"/>
  <c r="D28"/>
  <c r="D90" i="1"/>
  <c r="K61"/>
  <c r="J61"/>
  <c r="P90"/>
  <c r="Q90"/>
  <c r="E28" i="17"/>
  <c r="H28"/>
  <c r="P28"/>
  <c r="Q28"/>
  <c r="S28"/>
  <c r="V28"/>
  <c r="W28"/>
  <c r="D29"/>
  <c r="N17" i="52"/>
  <c r="D46" i="1"/>
  <c r="D91"/>
  <c r="N48" i="52"/>
  <c r="C62" i="1"/>
  <c r="J46"/>
  <c r="B46"/>
  <c r="K62"/>
  <c r="J62"/>
  <c r="P91"/>
  <c r="Q91"/>
  <c r="E29" i="17"/>
  <c r="H29"/>
  <c r="P29"/>
  <c r="Q29"/>
  <c r="S29"/>
  <c r="V29"/>
  <c r="W29"/>
  <c r="E30"/>
  <c r="F30"/>
  <c r="P30"/>
  <c r="W30"/>
  <c r="N85" i="52"/>
  <c r="AC31" i="9"/>
  <c r="AC22"/>
  <c r="Y32"/>
  <c r="Y33"/>
  <c r="Y34"/>
  <c r="Y18"/>
  <c r="Y19"/>
  <c r="E22"/>
  <c r="AC23"/>
  <c r="E23"/>
  <c r="E24"/>
  <c r="E25"/>
  <c r="E26"/>
  <c r="E27"/>
  <c r="E28"/>
  <c r="E31"/>
  <c r="AC32"/>
  <c r="E32"/>
  <c r="E33"/>
  <c r="E34"/>
  <c r="E35"/>
  <c r="D22"/>
  <c r="H22"/>
  <c r="P22"/>
  <c r="W22"/>
  <c r="D23"/>
  <c r="H23"/>
  <c r="P23"/>
  <c r="W23"/>
  <c r="D24"/>
  <c r="H24"/>
  <c r="P24"/>
  <c r="W24"/>
  <c r="D25"/>
  <c r="H25"/>
  <c r="P25"/>
  <c r="W25"/>
  <c r="D26"/>
  <c r="H26"/>
  <c r="P26"/>
  <c r="W26"/>
  <c r="D27"/>
  <c r="H27"/>
  <c r="P27"/>
  <c r="W27"/>
  <c r="P28"/>
  <c r="W28"/>
  <c r="D30"/>
  <c r="H30"/>
  <c r="P30"/>
  <c r="W30"/>
  <c r="H31"/>
  <c r="P31"/>
  <c r="W31"/>
  <c r="H32"/>
  <c r="P32"/>
  <c r="W32"/>
  <c r="D33"/>
  <c r="H33"/>
  <c r="P33"/>
  <c r="T33"/>
  <c r="W33"/>
  <c r="H34"/>
  <c r="P34"/>
  <c r="W34"/>
  <c r="F35"/>
  <c r="P35"/>
  <c r="W35"/>
  <c r="G132" i="52"/>
  <c r="N132"/>
  <c r="O104" i="1"/>
  <c r="F21" i="9"/>
  <c r="F5"/>
  <c r="F14" i="21"/>
  <c r="F18" i="17"/>
  <c r="F5"/>
  <c r="O88" i="52"/>
  <c r="O89"/>
  <c r="O90"/>
  <c r="O86"/>
  <c r="O87"/>
  <c r="E66" i="55"/>
  <c r="E75"/>
  <c r="E73"/>
  <c r="D66"/>
  <c r="D75"/>
  <c r="D73"/>
  <c r="B66"/>
  <c r="F7" i="13"/>
  <c r="B75" i="55"/>
  <c r="F8" i="13"/>
  <c r="B73" i="55"/>
  <c r="F8" i="45"/>
  <c r="F5"/>
  <c r="F19" i="34"/>
  <c r="F172" i="55"/>
  <c r="F6" i="44"/>
  <c r="F175" i="55"/>
  <c r="F7" i="44"/>
  <c r="F173" i="55"/>
  <c r="F177"/>
  <c r="F8" i="44"/>
  <c r="F176" i="55"/>
  <c r="F178"/>
  <c r="F179"/>
  <c r="F9" i="44"/>
  <c r="O71" i="52"/>
  <c r="F137" i="55"/>
  <c r="F182"/>
  <c r="F10" i="44"/>
  <c r="F11"/>
  <c r="F5"/>
  <c r="E158" i="55"/>
  <c r="E159"/>
  <c r="E167"/>
  <c r="E166"/>
  <c r="D158"/>
  <c r="D159"/>
  <c r="D167"/>
  <c r="D166"/>
  <c r="B158"/>
  <c r="F7" i="38"/>
  <c r="B159" i="55"/>
  <c r="F8" i="38"/>
  <c r="B167" i="55"/>
  <c r="F9" i="38"/>
  <c r="B166" i="55"/>
  <c r="F10" i="38"/>
  <c r="D14" i="9"/>
  <c r="H14"/>
  <c r="W15"/>
  <c r="O104" i="55"/>
  <c r="N5" i="34"/>
  <c r="N5" i="9"/>
  <c r="I5" i="6"/>
  <c r="N201" i="1"/>
  <c r="N200"/>
  <c r="N199"/>
  <c r="N198"/>
  <c r="N197"/>
  <c r="N196"/>
  <c r="N195"/>
  <c r="N194"/>
  <c r="N193"/>
  <c r="N192"/>
  <c r="N191"/>
  <c r="N190"/>
  <c r="I11" i="32"/>
  <c r="H11"/>
  <c r="I21"/>
  <c r="I20"/>
  <c r="M20"/>
  <c r="I22"/>
  <c r="I12"/>
  <c r="I8"/>
  <c r="I7"/>
  <c r="H7"/>
  <c r="I26" i="7"/>
  <c r="I21"/>
  <c r="M21"/>
  <c r="I7"/>
  <c r="I11"/>
  <c r="I20"/>
  <c r="M20"/>
  <c r="H21"/>
  <c r="H26"/>
  <c r="H11"/>
  <c r="H7"/>
  <c r="K111" i="32"/>
  <c r="K110"/>
  <c r="K109"/>
  <c r="K108"/>
  <c r="K107"/>
  <c r="L19" i="34"/>
  <c r="K106" i="32"/>
  <c r="L104"/>
  <c r="K112"/>
  <c r="E106" a="1"/>
  <c r="F105"/>
  <c r="G105"/>
  <c r="H105"/>
  <c r="P105"/>
  <c r="O105"/>
  <c r="N105"/>
  <c r="M105"/>
  <c r="D105"/>
  <c r="L105"/>
  <c r="K105"/>
  <c r="J105"/>
  <c r="V5" i="42"/>
  <c r="V5" i="34"/>
  <c r="V5" i="17"/>
  <c r="V5" i="9"/>
  <c r="AC5" i="6"/>
  <c r="J25" i="53"/>
  <c r="H132" i="52"/>
  <c r="Q32" i="4"/>
  <c r="R32"/>
  <c r="R6"/>
  <c r="S6" i="32"/>
  <c r="S6" i="7"/>
  <c r="Q6" i="4"/>
  <c r="P1" i="6"/>
  <c r="Q5"/>
  <c r="Q1"/>
  <c r="R1"/>
  <c r="O190" i="1" a="1"/>
  <c r="S5" i="28"/>
  <c r="S5" i="21"/>
  <c r="R5"/>
  <c r="Q5"/>
  <c r="S5" i="17"/>
  <c r="T5"/>
  <c r="R5"/>
  <c r="S5" i="13"/>
  <c r="R5"/>
  <c r="Q5"/>
  <c r="S5" i="9"/>
  <c r="T5"/>
  <c r="R5"/>
  <c r="T5" i="34"/>
  <c r="S5"/>
  <c r="R5"/>
  <c r="S5" i="38"/>
  <c r="R5"/>
  <c r="Q5"/>
  <c r="T5" i="42"/>
  <c r="S5"/>
  <c r="R5"/>
  <c r="S5" i="43"/>
  <c r="S5" i="44"/>
  <c r="R5"/>
  <c r="Q5"/>
  <c r="S5" i="45"/>
  <c r="R5"/>
  <c r="Q5"/>
  <c r="O190" i="55" a="1"/>
  <c r="Y7" i="28"/>
  <c r="W14" i="17"/>
  <c r="I25" i="53"/>
  <c r="N6" i="32"/>
  <c r="N6" i="7"/>
  <c r="L5" i="6"/>
  <c r="M9" i="32"/>
  <c r="M8"/>
  <c r="M12"/>
  <c r="M13"/>
  <c r="M21"/>
  <c r="M22"/>
  <c r="I22" i="7"/>
  <c r="M22"/>
  <c r="M6" i="32"/>
  <c r="N22"/>
  <c r="N21"/>
  <c r="N20"/>
  <c r="N13"/>
  <c r="N12"/>
  <c r="N8"/>
  <c r="D13" i="7"/>
  <c r="N21"/>
  <c r="I14"/>
  <c r="H14"/>
  <c r="I12"/>
  <c r="H12"/>
  <c r="N13"/>
  <c r="M13"/>
  <c r="M14"/>
  <c r="M12"/>
  <c r="M9"/>
  <c r="I8"/>
  <c r="M8"/>
  <c r="M6"/>
  <c r="N22"/>
  <c r="N20"/>
  <c r="N14"/>
  <c r="N12"/>
  <c r="N8"/>
  <c r="G14" i="4"/>
  <c r="G15"/>
  <c r="M34"/>
  <c r="H26"/>
  <c r="N26"/>
  <c r="H25"/>
  <c r="N25"/>
  <c r="H24"/>
  <c r="N24"/>
  <c r="G26"/>
  <c r="M26"/>
  <c r="G25"/>
  <c r="M25"/>
  <c r="G24"/>
  <c r="M24"/>
  <c r="H16"/>
  <c r="N16"/>
  <c r="H14"/>
  <c r="H15"/>
  <c r="N15"/>
  <c r="M15"/>
  <c r="M16"/>
  <c r="O15"/>
  <c r="P15"/>
  <c r="M14"/>
  <c r="N9"/>
  <c r="H8"/>
  <c r="N8"/>
  <c r="H7"/>
  <c r="N7"/>
  <c r="M9"/>
  <c r="G8"/>
  <c r="M8"/>
  <c r="G7"/>
  <c r="M7"/>
  <c r="H33"/>
  <c r="H32"/>
  <c r="N6"/>
  <c r="G33"/>
  <c r="G32"/>
  <c r="L31" i="53"/>
  <c r="I31"/>
  <c r="R20" i="7"/>
  <c r="N77" i="53"/>
  <c r="L77"/>
  <c r="I77"/>
  <c r="I26"/>
  <c r="H25"/>
  <c r="H26"/>
  <c r="J26"/>
  <c r="K25"/>
  <c r="K26"/>
  <c r="L26"/>
  <c r="M26"/>
  <c r="N26"/>
  <c r="N73"/>
  <c r="L73"/>
  <c r="I73"/>
  <c r="AC26" i="6"/>
  <c r="AC25"/>
  <c r="AC24"/>
  <c r="AC23"/>
  <c r="AC22"/>
  <c r="AC21"/>
  <c r="AC20"/>
  <c r="AC19"/>
  <c r="AC18"/>
  <c r="AC17"/>
  <c r="AC16"/>
  <c r="V16" i="42"/>
  <c r="V15"/>
  <c r="V14"/>
  <c r="V13"/>
  <c r="V12"/>
  <c r="V11"/>
  <c r="V10"/>
  <c r="V9"/>
  <c r="V8"/>
  <c r="V7"/>
  <c r="V6"/>
  <c r="H36" i="6"/>
  <c r="V17" i="17"/>
  <c r="V15"/>
  <c r="V16"/>
  <c r="V14"/>
  <c r="V12"/>
  <c r="V11"/>
  <c r="V10"/>
  <c r="V9"/>
  <c r="V8"/>
  <c r="V7"/>
  <c r="G37"/>
  <c r="D14" i="6"/>
  <c r="H14"/>
  <c r="S88" i="32"/>
  <c r="S85"/>
  <c r="S96" i="7"/>
  <c r="S94"/>
  <c r="S92"/>
  <c r="S90"/>
  <c r="S88"/>
  <c r="S86"/>
  <c r="S84"/>
  <c r="S82"/>
  <c r="S80"/>
  <c r="S78"/>
  <c r="S75"/>
  <c r="S68"/>
  <c r="S43" i="32"/>
  <c r="S44"/>
  <c r="S1" i="6"/>
  <c r="T1"/>
  <c r="N139" i="52"/>
  <c r="O139"/>
  <c r="O54" i="32"/>
  <c r="H54"/>
  <c r="T54"/>
  <c r="U54"/>
  <c r="V54"/>
  <c r="O56" i="7"/>
  <c r="H56"/>
  <c r="T56"/>
  <c r="N56"/>
  <c r="S56"/>
  <c r="N54" i="32"/>
  <c r="S54"/>
  <c r="U56" i="7"/>
  <c r="V56"/>
  <c r="V55"/>
  <c r="U55"/>
  <c r="T55"/>
  <c r="U53" i="32"/>
  <c r="V53"/>
  <c r="T53"/>
  <c r="Q26" i="7"/>
  <c r="S26"/>
  <c r="D37" i="4"/>
  <c r="R26" i="7"/>
  <c r="D33" i="4"/>
  <c r="S11" i="7"/>
  <c r="S11" i="32"/>
  <c r="D179" i="1"/>
  <c r="E13" i="42"/>
  <c r="P13"/>
  <c r="Q13"/>
  <c r="S13"/>
  <c r="D178" i="1"/>
  <c r="E12" i="42"/>
  <c r="P12"/>
  <c r="Q12"/>
  <c r="S12"/>
  <c r="D177" i="1"/>
  <c r="E11" i="42"/>
  <c r="P11"/>
  <c r="Q11"/>
  <c r="S11"/>
  <c r="D176" i="1"/>
  <c r="E10" i="42"/>
  <c r="P10"/>
  <c r="Q10"/>
  <c r="S10"/>
  <c r="D174" i="1"/>
  <c r="E9" i="42"/>
  <c r="P9"/>
  <c r="Q9"/>
  <c r="S9"/>
  <c r="D175" i="1"/>
  <c r="E8" i="42"/>
  <c r="P8"/>
  <c r="Q8"/>
  <c r="S8"/>
  <c r="D173" i="1"/>
  <c r="E7" i="42"/>
  <c r="P7"/>
  <c r="Q7"/>
  <c r="S7"/>
  <c r="D172" i="1"/>
  <c r="E6" i="42"/>
  <c r="P6"/>
  <c r="Q6"/>
  <c r="S6"/>
  <c r="AB16" i="34"/>
  <c r="E152" i="1"/>
  <c r="B152"/>
  <c r="E16" i="34"/>
  <c r="P16"/>
  <c r="Q16"/>
  <c r="S16"/>
  <c r="E15"/>
  <c r="P15"/>
  <c r="Q15"/>
  <c r="S15"/>
  <c r="B151" i="1"/>
  <c r="E14" i="34"/>
  <c r="P14"/>
  <c r="Q14"/>
  <c r="S14"/>
  <c r="B150" i="1"/>
  <c r="E13" i="34"/>
  <c r="P13"/>
  <c r="Q13"/>
  <c r="S13"/>
  <c r="B149" i="1"/>
  <c r="E12" i="34"/>
  <c r="P12"/>
  <c r="Q12"/>
  <c r="S12"/>
  <c r="B148" i="1"/>
  <c r="E11" i="34"/>
  <c r="P11"/>
  <c r="Q11"/>
  <c r="S11"/>
  <c r="B147" i="1"/>
  <c r="E10" i="34"/>
  <c r="P10"/>
  <c r="Q10"/>
  <c r="S10"/>
  <c r="B146" i="1"/>
  <c r="E9" i="34"/>
  <c r="P9"/>
  <c r="Q9"/>
  <c r="S9"/>
  <c r="AB8"/>
  <c r="B145" i="1"/>
  <c r="E8" i="34"/>
  <c r="P8"/>
  <c r="Q8"/>
  <c r="S8"/>
  <c r="E7"/>
  <c r="P7"/>
  <c r="Q7"/>
  <c r="S7"/>
  <c r="O11" i="32"/>
  <c r="P11"/>
  <c r="T11"/>
  <c r="O18" i="7"/>
  <c r="S18"/>
  <c r="T18"/>
  <c r="O11"/>
  <c r="P11"/>
  <c r="T11"/>
  <c r="N82"/>
  <c r="H20"/>
  <c r="H22"/>
  <c r="P20" i="32"/>
  <c r="T79"/>
  <c r="T82" i="7"/>
  <c r="N86"/>
  <c r="N70"/>
  <c r="N69"/>
  <c r="N68"/>
  <c r="T67"/>
  <c r="H81" i="32"/>
  <c r="N81"/>
  <c r="H79"/>
  <c r="N79"/>
  <c r="H20"/>
  <c r="S96"/>
  <c r="S94"/>
  <c r="S92"/>
  <c r="S90"/>
  <c r="H85"/>
  <c r="H86"/>
  <c r="S83"/>
  <c r="S79"/>
  <c r="S77"/>
  <c r="S75"/>
  <c r="S72"/>
  <c r="H67"/>
  <c r="H68"/>
  <c r="H69"/>
  <c r="N69"/>
  <c r="N68"/>
  <c r="S67"/>
  <c r="N67"/>
  <c r="T66"/>
  <c r="O24"/>
  <c r="P24"/>
  <c r="O18"/>
  <c r="P18"/>
  <c r="P16"/>
  <c r="O24" i="7"/>
  <c r="P24"/>
  <c r="P18"/>
  <c r="P16"/>
  <c r="P7"/>
  <c r="Q7"/>
  <c r="P32"/>
  <c r="Q32"/>
  <c r="P30"/>
  <c r="Q30"/>
  <c r="Q24"/>
  <c r="Q18"/>
  <c r="Q16"/>
  <c r="Q11"/>
  <c r="P6"/>
  <c r="P7" i="32"/>
  <c r="Q7"/>
  <c r="P31"/>
  <c r="P29"/>
  <c r="P26"/>
  <c r="Q31"/>
  <c r="Q29"/>
  <c r="Q26"/>
  <c r="Q24"/>
  <c r="Q20"/>
  <c r="Q18"/>
  <c r="Q16"/>
  <c r="Q11"/>
  <c r="O7"/>
  <c r="P6"/>
  <c r="Q17" i="17"/>
  <c r="S17"/>
  <c r="Q15"/>
  <c r="S15"/>
  <c r="Q16"/>
  <c r="S16"/>
  <c r="Q14"/>
  <c r="S14"/>
  <c r="Q12"/>
  <c r="S12"/>
  <c r="Q11"/>
  <c r="S11"/>
  <c r="Q10"/>
  <c r="S10"/>
  <c r="Q9"/>
  <c r="S9"/>
  <c r="Q8"/>
  <c r="S8"/>
  <c r="Q7"/>
  <c r="S7"/>
  <c r="O53" i="32"/>
  <c r="J83" i="1"/>
  <c r="J85"/>
  <c r="J90"/>
  <c r="J91"/>
  <c r="O55" i="7"/>
  <c r="O7" i="45"/>
  <c r="K7"/>
  <c r="N71" i="52"/>
  <c r="F137" i="1"/>
  <c r="G109"/>
  <c r="F182"/>
  <c r="E10" i="44"/>
  <c r="J10"/>
  <c r="O10"/>
  <c r="F179" i="1"/>
  <c r="E9" i="44"/>
  <c r="J9"/>
  <c r="O9"/>
  <c r="F178" i="1"/>
  <c r="F176"/>
  <c r="F177"/>
  <c r="E8" i="44"/>
  <c r="J8"/>
  <c r="O8"/>
  <c r="F173" i="1"/>
  <c r="F175"/>
  <c r="E7" i="44"/>
  <c r="J7"/>
  <c r="O7"/>
  <c r="F172" i="1"/>
  <c r="E6" i="44"/>
  <c r="J6"/>
  <c r="O6"/>
  <c r="K10"/>
  <c r="K9"/>
  <c r="K8"/>
  <c r="K7"/>
  <c r="K6"/>
  <c r="K6" i="43"/>
  <c r="E175" i="1"/>
  <c r="E6" i="43"/>
  <c r="O6"/>
  <c r="N64" i="52"/>
  <c r="D137" i="1"/>
  <c r="D182"/>
  <c r="E16" i="42"/>
  <c r="P16"/>
  <c r="D181" i="1"/>
  <c r="E15" i="42"/>
  <c r="P15"/>
  <c r="D180" i="1"/>
  <c r="E14" i="42"/>
  <c r="P14"/>
  <c r="D166" i="1"/>
  <c r="D167"/>
  <c r="D159"/>
  <c r="D158"/>
  <c r="E166"/>
  <c r="E167"/>
  <c r="E159"/>
  <c r="E158"/>
  <c r="B166"/>
  <c r="E10" i="38"/>
  <c r="J10"/>
  <c r="O10"/>
  <c r="B167" i="1"/>
  <c r="E9" i="38"/>
  <c r="J9"/>
  <c r="O9"/>
  <c r="B159" i="1"/>
  <c r="E8" i="38"/>
  <c r="J8"/>
  <c r="O8"/>
  <c r="B158" i="1"/>
  <c r="E7" i="38"/>
  <c r="J7"/>
  <c r="O7"/>
  <c r="K10"/>
  <c r="K9"/>
  <c r="K8"/>
  <c r="K7"/>
  <c r="B154" i="1"/>
  <c r="E18" i="34"/>
  <c r="P18"/>
  <c r="B153" i="1"/>
  <c r="E17" i="34"/>
  <c r="P17"/>
  <c r="O26" i="53"/>
  <c r="H69" i="1"/>
  <c r="E7" i="28"/>
  <c r="O7"/>
  <c r="J88" i="55"/>
  <c r="J91"/>
  <c r="J90"/>
  <c r="J85"/>
  <c r="J83"/>
  <c r="J88" i="1"/>
  <c r="H62"/>
  <c r="E13" i="21"/>
  <c r="O13"/>
  <c r="H58" i="1"/>
  <c r="E12" i="21"/>
  <c r="O12"/>
  <c r="H59" i="1"/>
  <c r="E11" i="21"/>
  <c r="O11"/>
  <c r="H57" i="1"/>
  <c r="E10" i="21"/>
  <c r="O10"/>
  <c r="H56" i="1"/>
  <c r="H53"/>
  <c r="E9" i="21"/>
  <c r="O9"/>
  <c r="H55" i="1"/>
  <c r="E8" i="21"/>
  <c r="O8"/>
  <c r="H52" i="1"/>
  <c r="E7" i="21"/>
  <c r="O7"/>
  <c r="D73" i="1"/>
  <c r="D75"/>
  <c r="D66"/>
  <c r="E73"/>
  <c r="E75"/>
  <c r="E66"/>
  <c r="J8" i="13"/>
  <c r="K8"/>
  <c r="J7"/>
  <c r="K7"/>
  <c r="B73" i="1"/>
  <c r="B75"/>
  <c r="E8" i="13"/>
  <c r="O8"/>
  <c r="B66" i="1"/>
  <c r="E7" i="13"/>
  <c r="O7"/>
  <c r="P7"/>
  <c r="D16" i="42"/>
  <c r="H16"/>
  <c r="D15"/>
  <c r="H15"/>
  <c r="D14"/>
  <c r="H14"/>
  <c r="H13"/>
  <c r="D12"/>
  <c r="H12"/>
  <c r="D11"/>
  <c r="H11"/>
  <c r="D10"/>
  <c r="H10"/>
  <c r="H9"/>
  <c r="H8"/>
  <c r="D7"/>
  <c r="H7"/>
  <c r="D6"/>
  <c r="H6"/>
  <c r="D18" i="34"/>
  <c r="H18"/>
  <c r="D17"/>
  <c r="H17"/>
  <c r="H16"/>
  <c r="H15"/>
  <c r="D14"/>
  <c r="H14"/>
  <c r="D13"/>
  <c r="H13"/>
  <c r="D12"/>
  <c r="H12"/>
  <c r="D11"/>
  <c r="H11"/>
  <c r="D10"/>
  <c r="H10"/>
  <c r="D9"/>
  <c r="H9"/>
  <c r="D8"/>
  <c r="H8"/>
  <c r="D7"/>
  <c r="H7"/>
  <c r="D13" i="21"/>
  <c r="H13"/>
  <c r="D12"/>
  <c r="H12"/>
  <c r="H11"/>
  <c r="D10"/>
  <c r="H10"/>
  <c r="D9"/>
  <c r="H9"/>
  <c r="D8"/>
  <c r="H8"/>
  <c r="D7"/>
  <c r="H7"/>
  <c r="D17" i="17"/>
  <c r="H17"/>
  <c r="H15"/>
  <c r="D16"/>
  <c r="H16"/>
  <c r="H14"/>
  <c r="D12"/>
  <c r="H12"/>
  <c r="D11"/>
  <c r="H11"/>
  <c r="D10"/>
  <c r="H10"/>
  <c r="D9"/>
  <c r="H9"/>
  <c r="D8"/>
  <c r="H8"/>
  <c r="D7"/>
  <c r="H7"/>
  <c r="D19" i="9"/>
  <c r="H19"/>
  <c r="H18"/>
  <c r="H17"/>
  <c r="D16"/>
  <c r="H16"/>
  <c r="D13"/>
  <c r="H13"/>
  <c r="D12"/>
  <c r="H12"/>
  <c r="D11"/>
  <c r="H11"/>
  <c r="D10"/>
  <c r="H10"/>
  <c r="D9"/>
  <c r="H9"/>
  <c r="D8"/>
  <c r="H8"/>
  <c r="D7"/>
  <c r="H7"/>
  <c r="G25" i="53"/>
  <c r="G26"/>
  <c r="E17" i="17"/>
  <c r="P17"/>
  <c r="P15"/>
  <c r="E16"/>
  <c r="P16"/>
  <c r="P14"/>
  <c r="P12"/>
  <c r="E11"/>
  <c r="P11"/>
  <c r="E10"/>
  <c r="P10"/>
  <c r="E9"/>
  <c r="P9"/>
  <c r="E8"/>
  <c r="P8"/>
  <c r="E7"/>
  <c r="P7"/>
  <c r="N86" i="52"/>
  <c r="N88"/>
  <c r="N89"/>
  <c r="N90"/>
  <c r="N87"/>
  <c r="G22" i="42"/>
  <c r="F36" i="6"/>
  <c r="Z5"/>
  <c r="B71" i="53"/>
  <c r="D10" i="44"/>
  <c r="H10"/>
  <c r="H9"/>
  <c r="D8"/>
  <c r="H8"/>
  <c r="D7"/>
  <c r="H7"/>
  <c r="D6"/>
  <c r="H6"/>
  <c r="N71" i="53"/>
  <c r="L71"/>
  <c r="I71"/>
  <c r="L66"/>
  <c r="I66"/>
  <c r="N62"/>
  <c r="L62"/>
  <c r="I62"/>
  <c r="Q59"/>
  <c r="Q57"/>
  <c r="N54"/>
  <c r="L54"/>
  <c r="I54"/>
  <c r="N53"/>
  <c r="L53"/>
  <c r="I53"/>
  <c r="I48"/>
  <c r="L46"/>
  <c r="I46"/>
  <c r="N43"/>
  <c r="L43"/>
  <c r="I43"/>
  <c r="Q38"/>
  <c r="N36"/>
  <c r="L36"/>
  <c r="I36"/>
  <c r="N35"/>
  <c r="L35"/>
  <c r="I35"/>
  <c r="N28"/>
  <c r="L28"/>
  <c r="I28"/>
  <c r="E165" i="55"/>
  <c r="D165"/>
  <c r="C165"/>
  <c r="E164"/>
  <c r="D164"/>
  <c r="C164"/>
  <c r="E163"/>
  <c r="D163"/>
  <c r="C163"/>
  <c r="E162"/>
  <c r="D162"/>
  <c r="C162"/>
  <c r="E161"/>
  <c r="D161"/>
  <c r="C161"/>
  <c r="E160"/>
  <c r="D160"/>
  <c r="C160"/>
  <c r="I76"/>
  <c r="E76"/>
  <c r="D76"/>
  <c r="C76"/>
  <c r="I75"/>
  <c r="I74"/>
  <c r="E74"/>
  <c r="D74"/>
  <c r="C74"/>
  <c r="I73"/>
  <c r="I72"/>
  <c r="E72"/>
  <c r="D72"/>
  <c r="C72"/>
  <c r="I71"/>
  <c r="I70"/>
  <c r="E70"/>
  <c r="D70"/>
  <c r="C70"/>
  <c r="E69"/>
  <c r="D69"/>
  <c r="C69"/>
  <c r="I68"/>
  <c r="E68"/>
  <c r="D68"/>
  <c r="C68"/>
  <c r="I67"/>
  <c r="E67"/>
  <c r="D67"/>
  <c r="C67"/>
  <c r="I66"/>
  <c r="E62"/>
  <c r="D62"/>
  <c r="I61"/>
  <c r="I60"/>
  <c r="I54"/>
  <c r="O138" i="52"/>
  <c r="O137"/>
  <c r="O136"/>
  <c r="O135"/>
  <c r="O134"/>
  <c r="O133"/>
  <c r="O131"/>
  <c r="O130"/>
  <c r="O129"/>
  <c r="O128"/>
  <c r="O127"/>
  <c r="O126"/>
  <c r="O125"/>
  <c r="O124"/>
  <c r="O123"/>
  <c r="O122"/>
  <c r="O121"/>
  <c r="O120"/>
  <c r="O119"/>
  <c r="O110"/>
  <c r="O109"/>
  <c r="O108"/>
  <c r="O107"/>
  <c r="O106"/>
  <c r="O105"/>
  <c r="O104"/>
  <c r="O103"/>
  <c r="O102"/>
  <c r="O101"/>
  <c r="O100"/>
  <c r="O99"/>
  <c r="O97"/>
  <c r="O96"/>
  <c r="O95"/>
  <c r="O94"/>
  <c r="O93"/>
  <c r="O92"/>
  <c r="O91"/>
  <c r="O3"/>
  <c r="O78"/>
  <c r="E179" i="55"/>
  <c r="P7" i="45"/>
  <c r="Q7"/>
  <c r="R7"/>
  <c r="P10" i="44"/>
  <c r="P9"/>
  <c r="P8"/>
  <c r="P7"/>
  <c r="P6"/>
  <c r="Q16" i="42"/>
  <c r="Q15"/>
  <c r="Q14"/>
  <c r="C179" i="55"/>
  <c r="B165"/>
  <c r="J13" i="38"/>
  <c r="J12"/>
  <c r="J11"/>
  <c r="P10"/>
  <c r="P9"/>
  <c r="P8"/>
  <c r="P7"/>
  <c r="P13" i="21"/>
  <c r="P12"/>
  <c r="P11"/>
  <c r="P10"/>
  <c r="P9"/>
  <c r="P8"/>
  <c r="P7"/>
  <c r="P5" i="45"/>
  <c r="E5"/>
  <c r="P5" i="44"/>
  <c r="E5"/>
  <c r="P5" i="43"/>
  <c r="F5"/>
  <c r="E5"/>
  <c r="Q5" i="42"/>
  <c r="K5"/>
  <c r="E5"/>
  <c r="P5" i="38"/>
  <c r="F5"/>
  <c r="E5"/>
  <c r="Q18" i="34"/>
  <c r="Q17"/>
  <c r="Q5"/>
  <c r="K5"/>
  <c r="C178" i="1"/>
  <c r="C177"/>
  <c r="C176"/>
  <c r="C175"/>
  <c r="C174"/>
  <c r="E178"/>
  <c r="E177"/>
  <c r="E174"/>
  <c r="E173"/>
  <c r="E172"/>
  <c r="F5" i="34"/>
  <c r="E5"/>
  <c r="R43" i="32"/>
  <c r="S42"/>
  <c r="P5" i="28"/>
  <c r="F5"/>
  <c r="E5"/>
  <c r="P5" i="21"/>
  <c r="F5"/>
  <c r="E5"/>
  <c r="Q5" i="17"/>
  <c r="K5"/>
  <c r="E5"/>
  <c r="P8" i="13"/>
  <c r="P5"/>
  <c r="B91" i="1"/>
  <c r="F5" i="13"/>
  <c r="E5"/>
  <c r="L88" i="55"/>
  <c r="W43" i="7"/>
  <c r="W44"/>
  <c r="W45"/>
  <c r="N135" i="52"/>
  <c r="U45" i="7"/>
  <c r="N134" i="52"/>
  <c r="U44" i="7"/>
  <c r="N133" i="52"/>
  <c r="U43" i="7"/>
  <c r="S38"/>
  <c r="Q38"/>
  <c r="Q5" i="9"/>
  <c r="B91" i="55"/>
  <c r="B92"/>
  <c r="B62"/>
  <c r="E5" i="9"/>
  <c r="K5"/>
  <c r="V5" i="6"/>
  <c r="K5"/>
  <c r="G5"/>
  <c r="F5"/>
  <c r="Q1" i="55"/>
  <c r="I9"/>
  <c r="I10"/>
  <c r="I11"/>
  <c r="I12"/>
  <c r="I13"/>
  <c r="I14"/>
  <c r="I15"/>
  <c r="I16"/>
  <c r="I17"/>
  <c r="I18"/>
  <c r="I19"/>
  <c r="D31"/>
  <c r="M36"/>
  <c r="M37"/>
  <c r="M38"/>
  <c r="M39"/>
  <c r="M40"/>
  <c r="M41"/>
  <c r="M42"/>
  <c r="M43"/>
  <c r="M44"/>
  <c r="M45"/>
  <c r="M46"/>
  <c r="B51"/>
  <c r="C51"/>
  <c r="D51"/>
  <c r="E51"/>
  <c r="H51"/>
  <c r="I51"/>
  <c r="J51"/>
  <c r="K51"/>
  <c r="F52"/>
  <c r="L52"/>
  <c r="F53"/>
  <c r="L53"/>
  <c r="F54"/>
  <c r="H54"/>
  <c r="L54"/>
  <c r="F55"/>
  <c r="L55"/>
  <c r="F56"/>
  <c r="L56"/>
  <c r="F57"/>
  <c r="L57"/>
  <c r="F58"/>
  <c r="L58"/>
  <c r="F59"/>
  <c r="L59"/>
  <c r="F60"/>
  <c r="H60"/>
  <c r="L60"/>
  <c r="F61"/>
  <c r="H61"/>
  <c r="L61"/>
  <c r="F62"/>
  <c r="L62"/>
  <c r="B65"/>
  <c r="C65"/>
  <c r="D65"/>
  <c r="E65"/>
  <c r="H65"/>
  <c r="I65"/>
  <c r="F66"/>
  <c r="H66"/>
  <c r="L66"/>
  <c r="B67"/>
  <c r="F67"/>
  <c r="H67"/>
  <c r="L67"/>
  <c r="B68"/>
  <c r="F68"/>
  <c r="H68"/>
  <c r="L68"/>
  <c r="B69"/>
  <c r="F69"/>
  <c r="L69"/>
  <c r="B70"/>
  <c r="F70"/>
  <c r="H70"/>
  <c r="L70"/>
  <c r="F71"/>
  <c r="H71"/>
  <c r="L71"/>
  <c r="B72"/>
  <c r="F72"/>
  <c r="H72"/>
  <c r="L72"/>
  <c r="F73"/>
  <c r="H73"/>
  <c r="L73"/>
  <c r="B74"/>
  <c r="F74"/>
  <c r="H74"/>
  <c r="L74"/>
  <c r="F75"/>
  <c r="H75"/>
  <c r="L75"/>
  <c r="B76"/>
  <c r="F76"/>
  <c r="H76"/>
  <c r="L76"/>
  <c r="E81"/>
  <c r="H81"/>
  <c r="I81"/>
  <c r="K81"/>
  <c r="L81"/>
  <c r="M81"/>
  <c r="C82"/>
  <c r="C83"/>
  <c r="C84"/>
  <c r="C85"/>
  <c r="C86"/>
  <c r="C87"/>
  <c r="C89"/>
  <c r="C91"/>
  <c r="C92"/>
  <c r="D92"/>
  <c r="E82"/>
  <c r="E83"/>
  <c r="E84"/>
  <c r="E85"/>
  <c r="E86"/>
  <c r="E87"/>
  <c r="E89"/>
  <c r="E90"/>
  <c r="E91"/>
  <c r="E92"/>
  <c r="F82"/>
  <c r="F83"/>
  <c r="F84"/>
  <c r="F85"/>
  <c r="F86"/>
  <c r="F87"/>
  <c r="F89"/>
  <c r="F90"/>
  <c r="F91"/>
  <c r="F92"/>
  <c r="G83"/>
  <c r="G89"/>
  <c r="G90"/>
  <c r="G92"/>
  <c r="H82"/>
  <c r="H83"/>
  <c r="H84"/>
  <c r="H85"/>
  <c r="H86"/>
  <c r="H87"/>
  <c r="H89"/>
  <c r="H90"/>
  <c r="H91"/>
  <c r="H92"/>
  <c r="I82"/>
  <c r="I83"/>
  <c r="I84"/>
  <c r="I85"/>
  <c r="I86"/>
  <c r="I87"/>
  <c r="I89"/>
  <c r="I90"/>
  <c r="I91"/>
  <c r="I92"/>
  <c r="J89"/>
  <c r="J92"/>
  <c r="K82"/>
  <c r="K83"/>
  <c r="K84"/>
  <c r="K85"/>
  <c r="K86"/>
  <c r="K87"/>
  <c r="K89"/>
  <c r="K90"/>
  <c r="K91"/>
  <c r="K92"/>
  <c r="L82"/>
  <c r="L83"/>
  <c r="L85"/>
  <c r="L86"/>
  <c r="L87"/>
  <c r="L89"/>
  <c r="L90"/>
  <c r="L91"/>
  <c r="L92"/>
  <c r="M92"/>
  <c r="N81"/>
  <c r="M82"/>
  <c r="N82"/>
  <c r="M83"/>
  <c r="N83"/>
  <c r="M84"/>
  <c r="N84"/>
  <c r="M85"/>
  <c r="N85"/>
  <c r="M86"/>
  <c r="N86"/>
  <c r="M87"/>
  <c r="N87"/>
  <c r="M88"/>
  <c r="N88"/>
  <c r="M89"/>
  <c r="N89"/>
  <c r="M90"/>
  <c r="N90"/>
  <c r="M91"/>
  <c r="N91"/>
  <c r="B93"/>
  <c r="C93"/>
  <c r="D93"/>
  <c r="E93"/>
  <c r="F93"/>
  <c r="G93"/>
  <c r="H93"/>
  <c r="I93"/>
  <c r="J93"/>
  <c r="K93"/>
  <c r="L93"/>
  <c r="M93"/>
  <c r="D121"/>
  <c r="J127"/>
  <c r="K127"/>
  <c r="J128"/>
  <c r="K128"/>
  <c r="J129"/>
  <c r="K129"/>
  <c r="J130"/>
  <c r="K130"/>
  <c r="J131"/>
  <c r="K131"/>
  <c r="J132"/>
  <c r="K132"/>
  <c r="J133"/>
  <c r="K133"/>
  <c r="J134"/>
  <c r="K134"/>
  <c r="J135"/>
  <c r="K135"/>
  <c r="J136"/>
  <c r="K136"/>
  <c r="B137"/>
  <c r="J137"/>
  <c r="K137"/>
  <c r="B144"/>
  <c r="C144"/>
  <c r="D144"/>
  <c r="E144"/>
  <c r="F145"/>
  <c r="F146"/>
  <c r="F147"/>
  <c r="F148"/>
  <c r="F149"/>
  <c r="F150"/>
  <c r="F151"/>
  <c r="F152"/>
  <c r="F153"/>
  <c r="F154"/>
  <c r="B157"/>
  <c r="C157"/>
  <c r="D157"/>
  <c r="E157"/>
  <c r="F158"/>
  <c r="F159"/>
  <c r="B160"/>
  <c r="F160"/>
  <c r="B161"/>
  <c r="F161"/>
  <c r="B162"/>
  <c r="F162"/>
  <c r="B163"/>
  <c r="F163"/>
  <c r="B164"/>
  <c r="F164"/>
  <c r="F165"/>
  <c r="F166"/>
  <c r="F167"/>
  <c r="E172"/>
  <c r="G172"/>
  <c r="H172"/>
  <c r="J172"/>
  <c r="B182"/>
  <c r="B183"/>
  <c r="C174"/>
  <c r="C175"/>
  <c r="C176"/>
  <c r="C177"/>
  <c r="C178"/>
  <c r="C182"/>
  <c r="C183"/>
  <c r="D183"/>
  <c r="E173"/>
  <c r="E174"/>
  <c r="E176"/>
  <c r="E177"/>
  <c r="E178"/>
  <c r="E180"/>
  <c r="E181"/>
  <c r="E182"/>
  <c r="E183"/>
  <c r="F174"/>
  <c r="F180"/>
  <c r="F181"/>
  <c r="F183"/>
  <c r="G173"/>
  <c r="G174"/>
  <c r="G175"/>
  <c r="G176"/>
  <c r="G177"/>
  <c r="G178"/>
  <c r="G180"/>
  <c r="G181"/>
  <c r="G182"/>
  <c r="G183"/>
  <c r="H173"/>
  <c r="H174"/>
  <c r="H175"/>
  <c r="H176"/>
  <c r="H177"/>
  <c r="H178"/>
  <c r="H180"/>
  <c r="H181"/>
  <c r="H182"/>
  <c r="H183"/>
  <c r="I174"/>
  <c r="I175"/>
  <c r="I176"/>
  <c r="I177"/>
  <c r="I178"/>
  <c r="I180"/>
  <c r="I181"/>
  <c r="I182"/>
  <c r="I183"/>
  <c r="J183"/>
  <c r="K172"/>
  <c r="J173"/>
  <c r="K173"/>
  <c r="J174"/>
  <c r="K174"/>
  <c r="J175"/>
  <c r="K175"/>
  <c r="A176"/>
  <c r="J176"/>
  <c r="K176"/>
  <c r="J177"/>
  <c r="K177"/>
  <c r="J178"/>
  <c r="K178"/>
  <c r="J179"/>
  <c r="K179"/>
  <c r="A180"/>
  <c r="J180"/>
  <c r="K180"/>
  <c r="J181"/>
  <c r="K181"/>
  <c r="J182"/>
  <c r="K182"/>
  <c r="K183"/>
  <c r="B184"/>
  <c r="C184"/>
  <c r="D184"/>
  <c r="E184"/>
  <c r="F184"/>
  <c r="G184"/>
  <c r="H184"/>
  <c r="I184"/>
  <c r="J184"/>
  <c r="N190"/>
  <c r="N191"/>
  <c r="N192"/>
  <c r="N193"/>
  <c r="N194"/>
  <c r="N195"/>
  <c r="N196"/>
  <c r="N197"/>
  <c r="N198"/>
  <c r="N199"/>
  <c r="N200"/>
  <c r="N201"/>
  <c r="L202"/>
  <c r="M202"/>
  <c r="N202"/>
  <c r="D212"/>
  <c r="T16" i="9"/>
  <c r="R9" i="38"/>
  <c r="R8"/>
  <c r="R7"/>
  <c r="R10"/>
  <c r="S16" i="42"/>
  <c r="S15"/>
  <c r="R14"/>
  <c r="S14"/>
  <c r="S18" i="34"/>
  <c r="R17"/>
  <c r="S17"/>
  <c r="W19" i="9"/>
  <c r="W18"/>
  <c r="W17"/>
  <c r="W16"/>
  <c r="W14"/>
  <c r="W13"/>
  <c r="W12"/>
  <c r="W11"/>
  <c r="W10"/>
  <c r="W9"/>
  <c r="W8"/>
  <c r="W7"/>
  <c r="W17" i="17"/>
  <c r="W15"/>
  <c r="W16"/>
  <c r="W12"/>
  <c r="W11"/>
  <c r="W10"/>
  <c r="W9"/>
  <c r="W8"/>
  <c r="W7"/>
  <c r="L67" i="32"/>
  <c r="T26" i="7"/>
  <c r="P54" i="32"/>
  <c r="P56" i="7"/>
  <c r="G5" i="9"/>
  <c r="G5" i="17"/>
  <c r="L62" i="1"/>
  <c r="I61"/>
  <c r="H61"/>
  <c r="L61"/>
  <c r="I60"/>
  <c r="H60"/>
  <c r="L60"/>
  <c r="L59"/>
  <c r="L58"/>
  <c r="L57"/>
  <c r="L56"/>
  <c r="L55"/>
  <c r="I54"/>
  <c r="H54"/>
  <c r="L54"/>
  <c r="L53"/>
  <c r="L52"/>
  <c r="I51"/>
  <c r="K51"/>
  <c r="H51"/>
  <c r="J51"/>
  <c r="V44" i="7"/>
  <c r="N138" i="52"/>
  <c r="P44" i="32"/>
  <c r="N137" i="52"/>
  <c r="P43" i="32"/>
  <c r="N136" i="52"/>
  <c r="P42" i="32"/>
  <c r="R44"/>
  <c r="E179" i="1"/>
  <c r="R42" i="32"/>
  <c r="V45" i="7"/>
  <c r="L88" i="1"/>
  <c r="V43" i="7"/>
  <c r="H7" i="45"/>
  <c r="J11" i="43"/>
  <c r="H11"/>
  <c r="J10"/>
  <c r="H10"/>
  <c r="J9"/>
  <c r="H9"/>
  <c r="J8"/>
  <c r="H8"/>
  <c r="J7"/>
  <c r="H7"/>
  <c r="D6"/>
  <c r="H6"/>
  <c r="G5" i="38"/>
  <c r="H13"/>
  <c r="H12"/>
  <c r="H11"/>
  <c r="H10"/>
  <c r="D9"/>
  <c r="H9"/>
  <c r="D8"/>
  <c r="H8"/>
  <c r="D7"/>
  <c r="H7"/>
  <c r="J11" i="28"/>
  <c r="H11"/>
  <c r="J10"/>
  <c r="H10"/>
  <c r="J9"/>
  <c r="H9"/>
  <c r="J8"/>
  <c r="H8"/>
  <c r="D7"/>
  <c r="H7"/>
  <c r="H11" i="13"/>
  <c r="H10"/>
  <c r="H9"/>
  <c r="H8"/>
  <c r="D7"/>
  <c r="H7"/>
  <c r="D40" i="32"/>
  <c r="D21" i="7"/>
  <c r="D41"/>
  <c r="C165" i="1"/>
  <c r="D165"/>
  <c r="E165"/>
  <c r="B165"/>
  <c r="C164"/>
  <c r="D164"/>
  <c r="E164"/>
  <c r="B164"/>
  <c r="C163"/>
  <c r="D163"/>
  <c r="E163"/>
  <c r="B163"/>
  <c r="C162"/>
  <c r="D162"/>
  <c r="E162"/>
  <c r="B162"/>
  <c r="C161"/>
  <c r="D161"/>
  <c r="E161"/>
  <c r="B161"/>
  <c r="C160"/>
  <c r="D160"/>
  <c r="E160"/>
  <c r="B160"/>
  <c r="C76"/>
  <c r="D76"/>
  <c r="E76"/>
  <c r="B76"/>
  <c r="C74"/>
  <c r="D74"/>
  <c r="E74"/>
  <c r="B74"/>
  <c r="C72"/>
  <c r="D72"/>
  <c r="E72"/>
  <c r="B72"/>
  <c r="C70"/>
  <c r="D70"/>
  <c r="E70"/>
  <c r="B70"/>
  <c r="C69"/>
  <c r="D69"/>
  <c r="E69"/>
  <c r="B69"/>
  <c r="C68"/>
  <c r="D68"/>
  <c r="E68"/>
  <c r="B68"/>
  <c r="C67"/>
  <c r="D67"/>
  <c r="E67"/>
  <c r="B67"/>
  <c r="I76"/>
  <c r="H76"/>
  <c r="I75"/>
  <c r="H75"/>
  <c r="I74"/>
  <c r="H74"/>
  <c r="I73"/>
  <c r="H73"/>
  <c r="I72"/>
  <c r="H72"/>
  <c r="I71"/>
  <c r="H71"/>
  <c r="I70"/>
  <c r="H70"/>
  <c r="I68"/>
  <c r="H68"/>
  <c r="I67"/>
  <c r="H67"/>
  <c r="I66"/>
  <c r="H66"/>
  <c r="D62"/>
  <c r="E62"/>
  <c r="B62"/>
  <c r="S24" i="32"/>
  <c r="T24"/>
  <c r="S18"/>
  <c r="T18"/>
  <c r="S24" i="7"/>
  <c r="T24"/>
  <c r="B26" i="6"/>
  <c r="B25"/>
  <c r="B24"/>
  <c r="B22"/>
  <c r="B21"/>
  <c r="B20"/>
  <c r="B19"/>
  <c r="B18"/>
  <c r="B17"/>
  <c r="B16"/>
  <c r="H5"/>
  <c r="H80" i="32"/>
  <c r="H75"/>
  <c r="H73"/>
  <c r="H72"/>
  <c r="H22"/>
  <c r="H21"/>
  <c r="H12"/>
  <c r="H8"/>
  <c r="H8" i="7"/>
  <c r="G5" i="28"/>
  <c r="G5" i="21"/>
  <c r="G5" i="13"/>
  <c r="G5" i="45"/>
  <c r="G5" i="43"/>
  <c r="G5" i="42"/>
  <c r="G5" i="34"/>
  <c r="G5" i="44"/>
  <c r="M20" i="4"/>
  <c r="C26" i="6"/>
  <c r="C25"/>
  <c r="C24"/>
  <c r="C23"/>
  <c r="C22"/>
  <c r="C21"/>
  <c r="C20"/>
  <c r="C19"/>
  <c r="C18"/>
  <c r="C17"/>
  <c r="C16"/>
  <c r="D212" i="1"/>
  <c r="G202"/>
  <c r="B137"/>
  <c r="N3" i="52"/>
  <c r="N78"/>
  <c r="N130"/>
  <c r="N129"/>
  <c r="N128"/>
  <c r="N127"/>
  <c r="N126"/>
  <c r="N125"/>
  <c r="N124"/>
  <c r="N123"/>
  <c r="N122"/>
  <c r="N121"/>
  <c r="N120"/>
  <c r="N119"/>
  <c r="N110"/>
  <c r="N109"/>
  <c r="N108"/>
  <c r="N107"/>
  <c r="N106"/>
  <c r="N105"/>
  <c r="N104"/>
  <c r="N103"/>
  <c r="N102"/>
  <c r="N101"/>
  <c r="N100"/>
  <c r="N99"/>
  <c r="N97"/>
  <c r="N96"/>
  <c r="N95"/>
  <c r="N94"/>
  <c r="N93"/>
  <c r="N92"/>
  <c r="N91"/>
  <c r="I19" i="1"/>
  <c r="I18"/>
  <c r="I16"/>
  <c r="I13"/>
  <c r="I11"/>
  <c r="I9"/>
  <c r="C179"/>
  <c r="D12" i="4"/>
  <c r="D44"/>
  <c r="D42"/>
  <c r="D28"/>
  <c r="D26"/>
  <c r="D25"/>
  <c r="D24"/>
  <c r="D22"/>
  <c r="D20"/>
  <c r="D18"/>
  <c r="D15"/>
  <c r="D14"/>
  <c r="D9"/>
  <c r="D8"/>
  <c r="D7"/>
  <c r="H5" i="38"/>
  <c r="H5" i="44"/>
  <c r="H5" i="34"/>
  <c r="C41"/>
  <c r="H5" i="42"/>
  <c r="H5" i="43"/>
  <c r="O31" i="32"/>
  <c r="R31"/>
  <c r="O29"/>
  <c r="R29"/>
  <c r="O26"/>
  <c r="R26"/>
  <c r="R24"/>
  <c r="O20"/>
  <c r="R20"/>
  <c r="R18"/>
  <c r="O16"/>
  <c r="R16"/>
  <c r="R11"/>
  <c r="R7"/>
  <c r="D54"/>
  <c r="D31"/>
  <c r="D29"/>
  <c r="D24"/>
  <c r="D22"/>
  <c r="D21"/>
  <c r="D20"/>
  <c r="D18"/>
  <c r="D16"/>
  <c r="D13"/>
  <c r="D12"/>
  <c r="D11"/>
  <c r="D8"/>
  <c r="D7"/>
  <c r="H5" i="45"/>
  <c r="L91" i="1"/>
  <c r="K91"/>
  <c r="I91"/>
  <c r="H91"/>
  <c r="L90"/>
  <c r="K90"/>
  <c r="I90"/>
  <c r="H90"/>
  <c r="L89"/>
  <c r="K89"/>
  <c r="J89"/>
  <c r="I89"/>
  <c r="H89"/>
  <c r="L87"/>
  <c r="K87"/>
  <c r="I87"/>
  <c r="H87"/>
  <c r="L86"/>
  <c r="K86"/>
  <c r="I86"/>
  <c r="H86"/>
  <c r="L85"/>
  <c r="K85"/>
  <c r="I85"/>
  <c r="H85"/>
  <c r="K84"/>
  <c r="I84"/>
  <c r="H84"/>
  <c r="L83"/>
  <c r="K83"/>
  <c r="I83"/>
  <c r="H83"/>
  <c r="L82"/>
  <c r="K82"/>
  <c r="I82"/>
  <c r="H82"/>
  <c r="L81"/>
  <c r="K81"/>
  <c r="K92"/>
  <c r="I81"/>
  <c r="I92"/>
  <c r="H81"/>
  <c r="I182"/>
  <c r="H182"/>
  <c r="G182"/>
  <c r="I181"/>
  <c r="H181"/>
  <c r="G181"/>
  <c r="I180"/>
  <c r="H180"/>
  <c r="G180"/>
  <c r="I178"/>
  <c r="H178"/>
  <c r="G178"/>
  <c r="I177"/>
  <c r="H177"/>
  <c r="G177"/>
  <c r="I176"/>
  <c r="H176"/>
  <c r="G176"/>
  <c r="I175"/>
  <c r="H175"/>
  <c r="G175"/>
  <c r="I174"/>
  <c r="H174"/>
  <c r="G174"/>
  <c r="H173"/>
  <c r="G173"/>
  <c r="H172"/>
  <c r="G172"/>
  <c r="G183"/>
  <c r="G90"/>
  <c r="G89"/>
  <c r="G83"/>
  <c r="G92"/>
  <c r="F167"/>
  <c r="F166"/>
  <c r="F165"/>
  <c r="F164"/>
  <c r="F163"/>
  <c r="F162"/>
  <c r="F161"/>
  <c r="F160"/>
  <c r="F159"/>
  <c r="F158"/>
  <c r="F154"/>
  <c r="F153"/>
  <c r="F152"/>
  <c r="F151"/>
  <c r="F150"/>
  <c r="F149"/>
  <c r="F148"/>
  <c r="F147"/>
  <c r="F146"/>
  <c r="F145"/>
  <c r="E157"/>
  <c r="D157"/>
  <c r="C157"/>
  <c r="B157"/>
  <c r="E144"/>
  <c r="D144"/>
  <c r="C144"/>
  <c r="B144"/>
  <c r="B182"/>
  <c r="B183"/>
  <c r="C182"/>
  <c r="E176"/>
  <c r="E180"/>
  <c r="E181"/>
  <c r="E182"/>
  <c r="F174"/>
  <c r="F180"/>
  <c r="F181"/>
  <c r="J137"/>
  <c r="K137"/>
  <c r="J136"/>
  <c r="K136"/>
  <c r="A180"/>
  <c r="J135"/>
  <c r="K135"/>
  <c r="J134"/>
  <c r="K134"/>
  <c r="J133"/>
  <c r="K133"/>
  <c r="J132"/>
  <c r="K132"/>
  <c r="A176"/>
  <c r="J131"/>
  <c r="K131"/>
  <c r="J130"/>
  <c r="K130"/>
  <c r="J129"/>
  <c r="K129"/>
  <c r="J128"/>
  <c r="K128"/>
  <c r="J127"/>
  <c r="K127"/>
  <c r="D121"/>
  <c r="L76"/>
  <c r="L75"/>
  <c r="L74"/>
  <c r="L73"/>
  <c r="L72"/>
  <c r="L71"/>
  <c r="L70"/>
  <c r="L69"/>
  <c r="L68"/>
  <c r="L67"/>
  <c r="L66"/>
  <c r="F76"/>
  <c r="F75"/>
  <c r="F74"/>
  <c r="F73"/>
  <c r="F72"/>
  <c r="F71"/>
  <c r="F70"/>
  <c r="F69"/>
  <c r="F68"/>
  <c r="F67"/>
  <c r="F66"/>
  <c r="F62"/>
  <c r="F61"/>
  <c r="F60"/>
  <c r="F59"/>
  <c r="F58"/>
  <c r="F57"/>
  <c r="F56"/>
  <c r="F55"/>
  <c r="F54"/>
  <c r="F53"/>
  <c r="F52"/>
  <c r="I65"/>
  <c r="H65"/>
  <c r="E65"/>
  <c r="D65"/>
  <c r="C65"/>
  <c r="B65"/>
  <c r="E51"/>
  <c r="D51"/>
  <c r="C51"/>
  <c r="B51"/>
  <c r="E81"/>
  <c r="E82"/>
  <c r="E83"/>
  <c r="E84"/>
  <c r="E85"/>
  <c r="E86"/>
  <c r="E87"/>
  <c r="E89"/>
  <c r="E90"/>
  <c r="E91"/>
  <c r="F82"/>
  <c r="F83"/>
  <c r="F84"/>
  <c r="F85"/>
  <c r="F86"/>
  <c r="F87"/>
  <c r="F89"/>
  <c r="F90"/>
  <c r="F91"/>
  <c r="H92"/>
  <c r="L92"/>
  <c r="D31"/>
  <c r="H5" i="13"/>
  <c r="J10"/>
  <c r="J11"/>
  <c r="J9"/>
  <c r="O32" i="7"/>
  <c r="R32"/>
  <c r="O30"/>
  <c r="R30"/>
  <c r="R24"/>
  <c r="O20"/>
  <c r="R18"/>
  <c r="O16"/>
  <c r="R16"/>
  <c r="R11"/>
  <c r="O7"/>
  <c r="R7"/>
  <c r="D56"/>
  <c r="D32"/>
  <c r="D30"/>
  <c r="D24"/>
  <c r="D22"/>
  <c r="D20"/>
  <c r="D18"/>
  <c r="D16"/>
  <c r="D12"/>
  <c r="D11"/>
  <c r="D8"/>
  <c r="D7"/>
  <c r="H5" i="9"/>
  <c r="H5" i="17"/>
  <c r="H5" i="21"/>
  <c r="H5" i="28"/>
  <c r="J174" i="1"/>
  <c r="E19" i="34"/>
  <c r="W18"/>
  <c r="E14" i="21"/>
  <c r="W11"/>
  <c r="E92" i="1"/>
  <c r="F92"/>
  <c r="W8" i="34"/>
  <c r="W13"/>
  <c r="W14"/>
  <c r="W16"/>
  <c r="W15"/>
  <c r="W13" i="21"/>
  <c r="W10"/>
  <c r="W12"/>
  <c r="O14"/>
  <c r="D92" i="1"/>
  <c r="P18" i="17"/>
  <c r="J182" i="1"/>
  <c r="J181"/>
  <c r="J180"/>
  <c r="E8" i="45"/>
  <c r="V7"/>
  <c r="V8"/>
  <c r="J179" i="1"/>
  <c r="J178"/>
  <c r="J177"/>
  <c r="E183"/>
  <c r="W11" i="34"/>
  <c r="W9"/>
  <c r="W10"/>
  <c r="W17"/>
  <c r="W7"/>
  <c r="W12"/>
  <c r="I183" i="1"/>
  <c r="J176"/>
  <c r="H183"/>
  <c r="J175"/>
  <c r="C183"/>
  <c r="P19" i="34"/>
  <c r="J173" i="1"/>
  <c r="F183"/>
  <c r="J172"/>
  <c r="W19" i="34"/>
  <c r="I17" i="1"/>
  <c r="W8" i="21"/>
  <c r="W7"/>
  <c r="J92" i="1"/>
  <c r="I14"/>
  <c r="W9" i="21"/>
  <c r="W14"/>
  <c r="I12" i="1"/>
  <c r="K14" i="21"/>
  <c r="E18" i="17"/>
  <c r="I10" i="1"/>
  <c r="D183"/>
  <c r="E11" i="44"/>
  <c r="J183" i="1"/>
  <c r="K172"/>
  <c r="O8" i="45"/>
  <c r="K8"/>
  <c r="E17" i="42"/>
  <c r="F184" i="1"/>
  <c r="V10" i="44"/>
  <c r="V8"/>
  <c r="V7"/>
  <c r="V9"/>
  <c r="V6"/>
  <c r="E184" i="1"/>
  <c r="K180"/>
  <c r="B184"/>
  <c r="K177"/>
  <c r="K179"/>
  <c r="K176"/>
  <c r="D184"/>
  <c r="K173"/>
  <c r="G184"/>
  <c r="K175"/>
  <c r="H184"/>
  <c r="J184"/>
  <c r="I184"/>
  <c r="K182"/>
  <c r="C184"/>
  <c r="K181"/>
  <c r="K174"/>
  <c r="K183"/>
  <c r="K178"/>
  <c r="W18" i="17"/>
  <c r="W6" i="42"/>
  <c r="W12"/>
  <c r="W8"/>
  <c r="W11"/>
  <c r="W7"/>
  <c r="W16"/>
  <c r="W13"/>
  <c r="W15"/>
  <c r="W10"/>
  <c r="W14"/>
  <c r="W9"/>
  <c r="V11" i="44"/>
  <c r="W17" i="42"/>
  <c r="P17"/>
  <c r="I15" i="1"/>
  <c r="K11" i="44"/>
  <c r="O11"/>
  <c r="E21" i="9"/>
  <c r="W21"/>
  <c r="C82" i="1"/>
  <c r="B92"/>
  <c r="C83"/>
  <c r="C84"/>
  <c r="C85"/>
  <c r="C86"/>
  <c r="C87"/>
  <c r="C89"/>
  <c r="C91"/>
  <c r="C92"/>
  <c r="M92"/>
  <c r="I93"/>
  <c r="B93"/>
  <c r="L93"/>
  <c r="M87"/>
  <c r="N87"/>
  <c r="M89"/>
  <c r="N89"/>
  <c r="C93"/>
  <c r="M90"/>
  <c r="N90"/>
  <c r="M93"/>
  <c r="D93"/>
  <c r="H93"/>
  <c r="E93"/>
  <c r="J93"/>
  <c r="M91"/>
  <c r="N91"/>
  <c r="F93"/>
  <c r="M81"/>
  <c r="N81"/>
  <c r="K93"/>
  <c r="M84"/>
  <c r="N84"/>
  <c r="M85"/>
  <c r="N85"/>
  <c r="G93"/>
  <c r="M83"/>
  <c r="N83"/>
  <c r="M88"/>
  <c r="N88"/>
  <c r="M86"/>
  <c r="N86"/>
  <c r="M82"/>
  <c r="N82"/>
  <c r="M36"/>
  <c r="M37"/>
  <c r="M38"/>
  <c r="M39"/>
  <c r="M40"/>
  <c r="M41"/>
  <c r="M42"/>
  <c r="M43"/>
  <c r="M44"/>
  <c r="M45"/>
  <c r="M46"/>
  <c r="S46" i="32"/>
  <c r="R46"/>
  <c r="K17" i="42"/>
  <c r="P197" i="1"/>
  <c r="O197"/>
  <c r="L17" i="53"/>
  <c r="O59"/>
  <c r="T59"/>
  <c r="I59"/>
  <c r="J59"/>
  <c r="K59"/>
  <c r="L59"/>
  <c r="M59"/>
  <c r="N59"/>
  <c r="B59"/>
  <c r="O197" i="55"/>
  <c r="P197"/>
  <c r="N202" i="1"/>
  <c r="AA9" i="13" a="1"/>
  <c r="AA9"/>
  <c r="AA10"/>
  <c r="F9"/>
  <c r="K9"/>
  <c r="F10"/>
  <c r="K10"/>
  <c r="AA11"/>
  <c r="F11"/>
  <c r="K11"/>
  <c r="K12"/>
  <c r="P11"/>
  <c r="P10"/>
  <c r="P9"/>
  <c r="Z9" a="1"/>
  <c r="Z9"/>
  <c r="Z10"/>
  <c r="E9"/>
  <c r="E10"/>
  <c r="Z11"/>
  <c r="E11"/>
  <c r="O9"/>
  <c r="O10"/>
  <c r="O11"/>
  <c r="O12"/>
  <c r="E12"/>
  <c r="W7"/>
  <c r="W8"/>
  <c r="W9"/>
  <c r="W10"/>
  <c r="W11"/>
  <c r="W12"/>
  <c r="Z15" a="1"/>
  <c r="Z15"/>
  <c r="Z16"/>
  <c r="E15"/>
  <c r="E16"/>
  <c r="Z17"/>
  <c r="E17"/>
  <c r="E18"/>
  <c r="AA15" a="1"/>
  <c r="AA15"/>
  <c r="AA16"/>
  <c r="F15"/>
  <c r="P15"/>
  <c r="F16"/>
  <c r="P16"/>
  <c r="AA17"/>
  <c r="F17"/>
  <c r="P17"/>
  <c r="K15"/>
  <c r="K16"/>
  <c r="K17"/>
  <c r="K18"/>
  <c r="O15"/>
  <c r="O16"/>
  <c r="O17"/>
  <c r="O18"/>
  <c r="W13"/>
  <c r="W14"/>
  <c r="W15"/>
  <c r="W16"/>
  <c r="W17"/>
  <c r="W18"/>
  <c r="F18"/>
  <c r="AB14" i="28" a="1"/>
  <c r="AB14"/>
  <c r="AB15"/>
  <c r="AB16"/>
  <c r="E14"/>
  <c r="E15"/>
  <c r="E16"/>
  <c r="AB17"/>
  <c r="E17"/>
  <c r="E18"/>
  <c r="W13"/>
  <c r="W14"/>
  <c r="W15"/>
  <c r="W16"/>
  <c r="W17"/>
  <c r="W18"/>
  <c r="O14"/>
  <c r="O15"/>
  <c r="O16"/>
  <c r="O17"/>
  <c r="O18"/>
  <c r="AB8" a="1"/>
  <c r="AB8"/>
  <c r="AB9"/>
  <c r="AB10"/>
  <c r="E8"/>
  <c r="O8"/>
  <c r="E9"/>
  <c r="O9"/>
  <c r="E10"/>
  <c r="O10"/>
  <c r="AB11"/>
  <c r="E11"/>
  <c r="O11"/>
  <c r="O12"/>
  <c r="E12"/>
  <c r="W7"/>
  <c r="W8"/>
  <c r="W9"/>
  <c r="W10"/>
  <c r="W11"/>
  <c r="W12"/>
  <c r="Z7" i="43" a="1"/>
  <c r="Z7"/>
  <c r="Z8"/>
  <c r="Z9"/>
  <c r="Z10"/>
  <c r="E7"/>
  <c r="E8"/>
  <c r="E9"/>
  <c r="E10"/>
  <c r="Z11"/>
  <c r="E11"/>
  <c r="E12"/>
  <c r="V6"/>
  <c r="V7"/>
  <c r="V8"/>
  <c r="V9"/>
  <c r="V10"/>
  <c r="V11"/>
  <c r="V12"/>
  <c r="O7"/>
  <c r="O8"/>
  <c r="O9"/>
  <c r="O10"/>
  <c r="O11"/>
  <c r="O12"/>
  <c r="Z11" i="38" a="1"/>
  <c r="Z11"/>
  <c r="Z12"/>
  <c r="F11"/>
  <c r="F12"/>
  <c r="Z13"/>
  <c r="F13"/>
  <c r="F14"/>
  <c r="K11"/>
  <c r="K12"/>
  <c r="K13"/>
  <c r="K14"/>
  <c r="P11"/>
  <c r="P12"/>
  <c r="P13"/>
  <c r="Y11" a="1"/>
  <c r="Y11"/>
  <c r="Y12"/>
  <c r="E11"/>
  <c r="E12"/>
  <c r="Y13"/>
  <c r="E13"/>
  <c r="E14"/>
  <c r="V7"/>
  <c r="V8"/>
  <c r="V9"/>
  <c r="V10"/>
  <c r="V11"/>
  <c r="V12"/>
  <c r="V13"/>
  <c r="V14"/>
  <c r="O13"/>
  <c r="R13"/>
  <c r="O12"/>
  <c r="R12"/>
  <c r="O11"/>
  <c r="R11"/>
  <c r="O14"/>
  <c r="Z19" a="1"/>
  <c r="Z19"/>
  <c r="Z20"/>
  <c r="F19"/>
  <c r="P19"/>
  <c r="Y19" a="1"/>
  <c r="Y19"/>
  <c r="Y20"/>
  <c r="E19"/>
  <c r="O19"/>
  <c r="R19"/>
  <c r="F20"/>
  <c r="P20"/>
  <c r="E20"/>
  <c r="O20"/>
  <c r="R20"/>
  <c r="Z21"/>
  <c r="F21"/>
  <c r="P21"/>
  <c r="Y21"/>
  <c r="E21"/>
  <c r="O21"/>
  <c r="R21"/>
  <c r="F22"/>
  <c r="K19"/>
  <c r="K20"/>
  <c r="K21"/>
  <c r="K22"/>
  <c r="O22"/>
  <c r="E22"/>
  <c r="V15"/>
  <c r="V16"/>
  <c r="V17"/>
  <c r="V18"/>
  <c r="V19"/>
  <c r="V20"/>
  <c r="V21"/>
  <c r="V22"/>
  <c r="H32" i="34"/>
  <c r="E42"/>
  <c r="H42"/>
  <c r="L202" i="1"/>
  <c r="M202"/>
  <c r="H16" i="6"/>
  <c r="U6" i="53"/>
  <c r="H17" i="6"/>
  <c r="U7" i="53"/>
  <c r="H18" i="6"/>
  <c r="U8" i="53"/>
  <c r="H19" i="6"/>
  <c r="U9" i="53"/>
  <c r="H21" i="6"/>
  <c r="U11" i="53"/>
  <c r="H20" i="6"/>
  <c r="U10" i="53"/>
  <c r="H22" i="6"/>
  <c r="U12" i="53"/>
  <c r="H23" i="6"/>
  <c r="U13" i="53"/>
  <c r="H24" i="6"/>
  <c r="U14" i="53"/>
  <c r="H25" i="6"/>
  <c r="U15" i="53"/>
  <c r="H26" i="6"/>
  <c r="U16" i="53"/>
  <c r="U17"/>
  <c r="O77"/>
  <c r="G77"/>
  <c r="F77"/>
  <c r="O73"/>
  <c r="G73"/>
  <c r="F73"/>
  <c r="H6" i="6"/>
  <c r="H7"/>
  <c r="H9"/>
  <c r="H10"/>
  <c r="H11"/>
  <c r="H12"/>
  <c r="H13"/>
  <c r="H27"/>
  <c r="Z8"/>
  <c r="Z13"/>
  <c r="Z14"/>
  <c r="Z27"/>
  <c r="V16"/>
  <c r="V17"/>
  <c r="V18"/>
  <c r="V19"/>
  <c r="V20"/>
  <c r="V21"/>
  <c r="V22"/>
  <c r="V24"/>
  <c r="V25"/>
  <c r="V26"/>
  <c r="V27"/>
  <c r="Q6"/>
  <c r="R6"/>
  <c r="Q7"/>
  <c r="R7"/>
  <c r="Q9"/>
  <c r="R9"/>
  <c r="Q10"/>
  <c r="R10"/>
  <c r="Q11"/>
  <c r="R11"/>
  <c r="Q12"/>
  <c r="R12"/>
  <c r="R27"/>
  <c r="S6"/>
  <c r="S7"/>
  <c r="S9"/>
  <c r="S10"/>
  <c r="S11"/>
  <c r="S12"/>
  <c r="S27"/>
  <c r="T6"/>
  <c r="T7"/>
  <c r="T9"/>
  <c r="T10"/>
  <c r="T11"/>
  <c r="T12"/>
  <c r="T27"/>
  <c r="AA8"/>
  <c r="AB8"/>
  <c r="AA14"/>
  <c r="AA13"/>
  <c r="AB13"/>
  <c r="AB14"/>
  <c r="AB27"/>
  <c r="AA27"/>
  <c r="G27"/>
  <c r="O74" i="53"/>
  <c r="T74"/>
  <c r="I74"/>
  <c r="J74"/>
  <c r="K74"/>
  <c r="L74"/>
  <c r="M74"/>
  <c r="N74"/>
  <c r="O75"/>
  <c r="T75"/>
  <c r="I75"/>
  <c r="J75"/>
  <c r="K75"/>
  <c r="L75"/>
  <c r="M75"/>
  <c r="N75"/>
  <c r="O76"/>
  <c r="T76"/>
  <c r="I76"/>
  <c r="J76"/>
  <c r="K76"/>
  <c r="L76"/>
  <c r="M76"/>
  <c r="N76"/>
  <c r="P201" i="55"/>
  <c r="O201"/>
  <c r="P200"/>
  <c r="O200"/>
  <c r="P199"/>
  <c r="O199"/>
  <c r="O198"/>
  <c r="O196"/>
  <c r="P195"/>
  <c r="O195"/>
  <c r="O194"/>
  <c r="P193"/>
  <c r="O193"/>
  <c r="Q192"/>
  <c r="P192"/>
  <c r="P191"/>
  <c r="O190"/>
  <c r="AC14" i="28" a="1"/>
  <c r="AC14"/>
  <c r="AC15"/>
  <c r="AC16"/>
  <c r="AC17"/>
  <c r="F17"/>
  <c r="P17"/>
  <c r="Q17"/>
  <c r="F16"/>
  <c r="P16"/>
  <c r="Q16"/>
  <c r="F15"/>
  <c r="P15"/>
  <c r="Q15"/>
  <c r="F14"/>
  <c r="P14"/>
  <c r="Q14"/>
  <c r="AC8" a="1"/>
  <c r="AC8"/>
  <c r="AC9"/>
  <c r="AC10"/>
  <c r="AC11"/>
  <c r="F11"/>
  <c r="P11"/>
  <c r="Q11"/>
  <c r="F10"/>
  <c r="P10"/>
  <c r="Q10"/>
  <c r="F9"/>
  <c r="P9"/>
  <c r="Q9"/>
  <c r="F8"/>
  <c r="P8"/>
  <c r="Q8"/>
  <c r="K14"/>
  <c r="K15"/>
  <c r="K16"/>
  <c r="K17"/>
  <c r="K18"/>
  <c r="F18"/>
  <c r="K8"/>
  <c r="K9"/>
  <c r="K10"/>
  <c r="K11"/>
  <c r="K12"/>
  <c r="F12"/>
  <c r="R8"/>
  <c r="R9"/>
  <c r="R10"/>
  <c r="R11"/>
  <c r="R14"/>
  <c r="R15"/>
  <c r="R16"/>
  <c r="R17"/>
  <c r="AA7" i="43" a="1"/>
  <c r="AA7"/>
  <c r="AA8"/>
  <c r="AA9"/>
  <c r="AA10"/>
  <c r="F7"/>
  <c r="K7"/>
  <c r="F8"/>
  <c r="K8"/>
  <c r="F9"/>
  <c r="K9"/>
  <c r="F10"/>
  <c r="K10"/>
  <c r="AA11"/>
  <c r="F11"/>
  <c r="K11"/>
  <c r="F12"/>
  <c r="K12"/>
  <c r="P7"/>
  <c r="Q7"/>
  <c r="P8"/>
  <c r="Q8"/>
  <c r="P9"/>
  <c r="Q9"/>
  <c r="P10"/>
  <c r="Q10"/>
  <c r="P11"/>
  <c r="Q11"/>
  <c r="R7"/>
  <c r="R8"/>
  <c r="R9"/>
  <c r="R10"/>
  <c r="R11"/>
  <c r="P6" i="6"/>
  <c r="P7"/>
  <c r="P9"/>
  <c r="P10"/>
  <c r="P11"/>
  <c r="P12"/>
  <c r="P27"/>
  <c r="O6"/>
  <c r="O7"/>
  <c r="O9"/>
  <c r="O10"/>
  <c r="O11"/>
  <c r="O12"/>
  <c r="O27"/>
  <c r="Y8"/>
  <c r="Y13"/>
  <c r="Y14"/>
  <c r="Y27"/>
  <c r="P201" i="1"/>
  <c r="O201"/>
  <c r="P200"/>
  <c r="O200"/>
  <c r="P199"/>
  <c r="O199"/>
  <c r="O198"/>
  <c r="O196"/>
  <c r="P195"/>
  <c r="O195"/>
  <c r="O194"/>
  <c r="P193"/>
  <c r="O193"/>
  <c r="Q192"/>
  <c r="P192"/>
  <c r="P191"/>
  <c r="O190"/>
  <c r="J30" i="17"/>
  <c r="H30"/>
  <c r="J111" i="32"/>
  <c r="K30" i="17"/>
  <c r="H41"/>
  <c r="N61" i="7"/>
  <c r="O61"/>
  <c r="D122" i="32"/>
  <c r="H17" i="42"/>
  <c r="J107" i="32"/>
  <c r="H19" i="34"/>
  <c r="J106" i="32"/>
  <c r="J35" i="9"/>
  <c r="H35"/>
  <c r="J109" i="32"/>
  <c r="J18" i="17"/>
  <c r="H18"/>
  <c r="J110" i="32"/>
  <c r="M6" i="53"/>
  <c r="M7"/>
  <c r="M8"/>
  <c r="M9"/>
  <c r="M10"/>
  <c r="M11"/>
  <c r="M12"/>
  <c r="M13"/>
  <c r="M14"/>
  <c r="M15"/>
  <c r="M16"/>
  <c r="M17"/>
  <c r="O62"/>
  <c r="G62"/>
  <c r="F62"/>
  <c r="E25" i="42"/>
  <c r="H25"/>
  <c r="D118" i="32"/>
  <c r="K14" i="53"/>
  <c r="P14"/>
  <c r="K6"/>
  <c r="P6"/>
  <c r="K7"/>
  <c r="P7"/>
  <c r="K8"/>
  <c r="P8"/>
  <c r="K9"/>
  <c r="P9"/>
  <c r="K10"/>
  <c r="P10"/>
  <c r="K11"/>
  <c r="P11"/>
  <c r="K12"/>
  <c r="P12"/>
  <c r="K13"/>
  <c r="P13"/>
  <c r="K15"/>
  <c r="P15"/>
  <c r="K16"/>
  <c r="P16"/>
  <c r="P17"/>
  <c r="O54"/>
  <c r="G54"/>
  <c r="F54"/>
  <c r="O53"/>
  <c r="G53"/>
  <c r="F53"/>
  <c r="K17"/>
  <c r="O55"/>
  <c r="T55"/>
  <c r="I55"/>
  <c r="J55"/>
  <c r="K55"/>
  <c r="L55"/>
  <c r="M55"/>
  <c r="N55"/>
  <c r="O56"/>
  <c r="T56"/>
  <c r="I56"/>
  <c r="J56"/>
  <c r="K56"/>
  <c r="L56"/>
  <c r="M56"/>
  <c r="N56"/>
  <c r="O57"/>
  <c r="T57"/>
  <c r="I57"/>
  <c r="J57"/>
  <c r="K57"/>
  <c r="L57"/>
  <c r="M57"/>
  <c r="N57"/>
  <c r="E41" i="34"/>
  <c r="O39" i="17"/>
  <c r="K18"/>
  <c r="H40"/>
  <c r="D121" i="32"/>
  <c r="E42" i="17"/>
  <c r="G42"/>
  <c r="F42"/>
  <c r="E6" i="53"/>
  <c r="E7"/>
  <c r="E8"/>
  <c r="E9"/>
  <c r="E10"/>
  <c r="E11"/>
  <c r="E12"/>
  <c r="E13"/>
  <c r="E14"/>
  <c r="E15"/>
  <c r="E16"/>
  <c r="E17"/>
  <c r="N59" i="7"/>
  <c r="O59"/>
  <c r="O43" i="53"/>
  <c r="G43"/>
  <c r="F43"/>
  <c r="D123" i="32"/>
  <c r="E123"/>
  <c r="K19" i="34"/>
  <c r="G41"/>
  <c r="I41"/>
  <c r="E117" i="32"/>
  <c r="G45" i="34"/>
  <c r="F41"/>
  <c r="H41"/>
  <c r="D117" i="32"/>
  <c r="E126"/>
  <c r="F45" i="34"/>
  <c r="D126" i="32"/>
  <c r="I45" i="34"/>
  <c r="K45"/>
  <c r="E129" i="32"/>
  <c r="H45" i="34"/>
  <c r="J45"/>
  <c r="D129" i="32"/>
  <c r="I117"/>
  <c r="V7" i="34"/>
  <c r="V8"/>
  <c r="V9"/>
  <c r="V10"/>
  <c r="V11"/>
  <c r="V12"/>
  <c r="V13"/>
  <c r="V14"/>
  <c r="V15"/>
  <c r="V16"/>
  <c r="V17"/>
  <c r="V18"/>
  <c r="X60" i="32"/>
  <c r="F28" i="45"/>
  <c r="J28"/>
  <c r="H14"/>
  <c r="E28"/>
  <c r="I28"/>
  <c r="F20" i="43"/>
  <c r="F25" i="45"/>
  <c r="J25"/>
  <c r="H12" i="43"/>
  <c r="E20"/>
  <c r="E25" i="45"/>
  <c r="I25"/>
  <c r="F19" i="44"/>
  <c r="F24" i="45"/>
  <c r="J24"/>
  <c r="H11" i="44"/>
  <c r="E19"/>
  <c r="E24" i="45"/>
  <c r="I24"/>
  <c r="F31" i="38"/>
  <c r="F23" i="45"/>
  <c r="J23"/>
  <c r="H22" i="38"/>
  <c r="E31"/>
  <c r="E23" i="45"/>
  <c r="I23"/>
  <c r="F30" i="38"/>
  <c r="F22" i="45"/>
  <c r="J22"/>
  <c r="H14" i="38"/>
  <c r="E30"/>
  <c r="E22" i="45"/>
  <c r="I22"/>
  <c r="Q13" i="53"/>
  <c r="Q6"/>
  <c r="Q7"/>
  <c r="Q8"/>
  <c r="Q9"/>
  <c r="Q10"/>
  <c r="Q11"/>
  <c r="Q12"/>
  <c r="Q14"/>
  <c r="Q15"/>
  <c r="Q16"/>
  <c r="Q17"/>
  <c r="O71"/>
  <c r="G71"/>
  <c r="F71"/>
  <c r="N6"/>
  <c r="N7"/>
  <c r="N8"/>
  <c r="N9"/>
  <c r="N10"/>
  <c r="N11"/>
  <c r="N12"/>
  <c r="N13"/>
  <c r="N14"/>
  <c r="N15"/>
  <c r="N16"/>
  <c r="N17"/>
  <c r="O65"/>
  <c r="T65"/>
  <c r="I65"/>
  <c r="J65"/>
  <c r="K65"/>
  <c r="L65"/>
  <c r="M65"/>
  <c r="N65"/>
  <c r="O66"/>
  <c r="N66"/>
  <c r="G66"/>
  <c r="F66"/>
  <c r="O16"/>
  <c r="O6"/>
  <c r="O7"/>
  <c r="O8"/>
  <c r="O9"/>
  <c r="O10"/>
  <c r="O11"/>
  <c r="O12"/>
  <c r="O13"/>
  <c r="O14"/>
  <c r="O15"/>
  <c r="O17"/>
  <c r="O69"/>
  <c r="T69"/>
  <c r="I69"/>
  <c r="J69"/>
  <c r="K69"/>
  <c r="L69"/>
  <c r="M69"/>
  <c r="N69"/>
  <c r="O68"/>
  <c r="T68"/>
  <c r="I68"/>
  <c r="J68"/>
  <c r="K68"/>
  <c r="L68"/>
  <c r="M68"/>
  <c r="N68"/>
  <c r="G22" i="45"/>
  <c r="H22"/>
  <c r="G23"/>
  <c r="H23"/>
  <c r="G24"/>
  <c r="H24"/>
  <c r="G25"/>
  <c r="H25"/>
  <c r="G28"/>
  <c r="H28"/>
  <c r="F26" i="13"/>
  <c r="F32" i="27"/>
  <c r="J32"/>
  <c r="H12" i="13"/>
  <c r="E26"/>
  <c r="E32" i="27"/>
  <c r="I32"/>
  <c r="F27" i="13"/>
  <c r="F33" i="27"/>
  <c r="J33"/>
  <c r="H18" i="13"/>
  <c r="E27"/>
  <c r="E33" i="27"/>
  <c r="I33"/>
  <c r="F30" i="21"/>
  <c r="F34" i="27"/>
  <c r="J34"/>
  <c r="H14" i="21"/>
  <c r="E30"/>
  <c r="E34" i="27"/>
  <c r="I34"/>
  <c r="F31" i="21"/>
  <c r="F35" i="27"/>
  <c r="J35"/>
  <c r="H22" i="21"/>
  <c r="E31"/>
  <c r="E35" i="27"/>
  <c r="I35"/>
  <c r="F27" i="28"/>
  <c r="F36" i="27"/>
  <c r="J36"/>
  <c r="H12" i="28"/>
  <c r="E27"/>
  <c r="E36" i="27"/>
  <c r="I36"/>
  <c r="F28" i="28"/>
  <c r="F37" i="27"/>
  <c r="J37"/>
  <c r="H18" i="28"/>
  <c r="E28"/>
  <c r="E37" i="27"/>
  <c r="I37"/>
  <c r="F6" i="53"/>
  <c r="F7"/>
  <c r="F8"/>
  <c r="F9"/>
  <c r="F10"/>
  <c r="F11"/>
  <c r="F12"/>
  <c r="F13"/>
  <c r="F14"/>
  <c r="F15"/>
  <c r="F16"/>
  <c r="F17"/>
  <c r="O46"/>
  <c r="G46"/>
  <c r="F46"/>
  <c r="N46"/>
  <c r="O45"/>
  <c r="T45"/>
  <c r="I45"/>
  <c r="J45"/>
  <c r="K45"/>
  <c r="L45"/>
  <c r="M45"/>
  <c r="N45"/>
  <c r="G13"/>
  <c r="G6"/>
  <c r="G7"/>
  <c r="G8"/>
  <c r="G9"/>
  <c r="G10"/>
  <c r="G11"/>
  <c r="G12"/>
  <c r="G14"/>
  <c r="G15"/>
  <c r="G16"/>
  <c r="G17"/>
  <c r="O48"/>
  <c r="G48"/>
  <c r="F48"/>
  <c r="L48"/>
  <c r="N48"/>
  <c r="O49"/>
  <c r="T49"/>
  <c r="I49"/>
  <c r="J49"/>
  <c r="K49"/>
  <c r="L49"/>
  <c r="M49"/>
  <c r="N49"/>
  <c r="O50"/>
  <c r="T50"/>
  <c r="I50"/>
  <c r="J50"/>
  <c r="K50"/>
  <c r="L50"/>
  <c r="M50"/>
  <c r="N50"/>
  <c r="O51"/>
  <c r="T51"/>
  <c r="I51"/>
  <c r="J51"/>
  <c r="K51"/>
  <c r="L51"/>
  <c r="M51"/>
  <c r="N51"/>
  <c r="H9" i="27"/>
  <c r="E38"/>
  <c r="I38"/>
  <c r="H14"/>
  <c r="E40"/>
  <c r="I40"/>
  <c r="H24"/>
  <c r="E43"/>
  <c r="I43"/>
  <c r="F38"/>
  <c r="J38"/>
  <c r="G32"/>
  <c r="H32"/>
  <c r="G33"/>
  <c r="H33"/>
  <c r="G34"/>
  <c r="H34"/>
  <c r="G35"/>
  <c r="H35"/>
  <c r="G36"/>
  <c r="H36"/>
  <c r="G37"/>
  <c r="H37"/>
  <c r="G38"/>
  <c r="H38"/>
  <c r="G40"/>
  <c r="G43"/>
  <c r="J21" i="9"/>
  <c r="H21"/>
  <c r="C6" i="53"/>
  <c r="C16"/>
  <c r="C15"/>
  <c r="C14"/>
  <c r="C13"/>
  <c r="C12"/>
  <c r="C11"/>
  <c r="C10"/>
  <c r="C9"/>
  <c r="C8"/>
  <c r="C7"/>
  <c r="J108" i="32"/>
  <c r="J112"/>
  <c r="H106" a="1"/>
  <c r="H106"/>
  <c r="H107"/>
  <c r="H108"/>
  <c r="H109"/>
  <c r="H110"/>
  <c r="H111"/>
  <c r="G106" a="1"/>
  <c r="G106"/>
  <c r="G107"/>
  <c r="G108"/>
  <c r="G109"/>
  <c r="G110"/>
  <c r="G111"/>
  <c r="F106" a="1"/>
  <c r="F106"/>
  <c r="F107"/>
  <c r="F108"/>
  <c r="F109"/>
  <c r="F110"/>
  <c r="F111"/>
  <c r="C17" i="53"/>
  <c r="O28"/>
  <c r="O29"/>
  <c r="T29"/>
  <c r="I29"/>
  <c r="J29"/>
  <c r="K29"/>
  <c r="L29"/>
  <c r="M29"/>
  <c r="N29"/>
  <c r="O30"/>
  <c r="T30"/>
  <c r="I30"/>
  <c r="J30"/>
  <c r="K30"/>
  <c r="L30"/>
  <c r="M30"/>
  <c r="N30"/>
  <c r="O32"/>
  <c r="T32"/>
  <c r="I32"/>
  <c r="J32"/>
  <c r="K32"/>
  <c r="L32"/>
  <c r="M32"/>
  <c r="N32"/>
  <c r="O33"/>
  <c r="T33"/>
  <c r="I33"/>
  <c r="J33"/>
  <c r="K33"/>
  <c r="L33"/>
  <c r="M33"/>
  <c r="N33"/>
  <c r="O42"/>
  <c r="I42"/>
  <c r="J42"/>
  <c r="K42"/>
  <c r="L42"/>
  <c r="M42"/>
  <c r="N42"/>
  <c r="O27"/>
  <c r="T27"/>
  <c r="I27"/>
  <c r="J27"/>
  <c r="K27"/>
  <c r="L27"/>
  <c r="M27"/>
  <c r="N27"/>
  <c r="O31"/>
  <c r="T31"/>
  <c r="G28"/>
  <c r="F28"/>
  <c r="G31"/>
  <c r="F31"/>
  <c r="K21" i="9"/>
  <c r="O38" i="17"/>
  <c r="Q43" i="7"/>
  <c r="S43"/>
  <c r="Q44"/>
  <c r="S44"/>
  <c r="Q45"/>
  <c r="S45"/>
  <c r="P45"/>
  <c r="R45"/>
  <c r="P44"/>
  <c r="R44"/>
  <c r="P43"/>
  <c r="R43"/>
  <c r="D106" i="32" a="1"/>
  <c r="W47" i="7"/>
  <c r="G43" i="9"/>
  <c r="I43"/>
  <c r="E119" i="32"/>
  <c r="W48" i="7"/>
  <c r="G44" i="9"/>
  <c r="I44"/>
  <c r="E120" i="32"/>
  <c r="G48" i="9"/>
  <c r="V48" i="7"/>
  <c r="F44" i="9"/>
  <c r="H44"/>
  <c r="D120" i="32"/>
  <c r="G47" i="9"/>
  <c r="V47" i="7"/>
  <c r="F43" i="9"/>
  <c r="H43"/>
  <c r="D119" i="32"/>
  <c r="E43" i="9"/>
  <c r="E44"/>
  <c r="X59" i="7"/>
  <c r="E124" i="32"/>
  <c r="F47" i="9"/>
  <c r="D124" i="32"/>
  <c r="I47" i="9"/>
  <c r="H47"/>
  <c r="K47"/>
  <c r="E127" i="32"/>
  <c r="J47" i="9"/>
  <c r="D127" i="32"/>
  <c r="V29" i="9"/>
  <c r="I119" i="32"/>
  <c r="V15" i="9"/>
  <c r="V19"/>
  <c r="V18"/>
  <c r="V17"/>
  <c r="V16"/>
  <c r="V14"/>
  <c r="V13"/>
  <c r="V12"/>
  <c r="V10"/>
  <c r="V9"/>
  <c r="V8"/>
  <c r="V11"/>
  <c r="V7"/>
  <c r="F48"/>
  <c r="H48"/>
  <c r="D6" i="53"/>
  <c r="D7"/>
  <c r="D8"/>
  <c r="D9"/>
  <c r="D10"/>
  <c r="D11"/>
  <c r="D12"/>
  <c r="D13"/>
  <c r="D14"/>
  <c r="D15"/>
  <c r="D16"/>
  <c r="D17"/>
  <c r="O40"/>
  <c r="T40"/>
  <c r="I40"/>
  <c r="J40"/>
  <c r="K40"/>
  <c r="L40"/>
  <c r="M40"/>
  <c r="N40"/>
  <c r="O39"/>
  <c r="T39"/>
  <c r="I39"/>
  <c r="J39"/>
  <c r="K39"/>
  <c r="L39"/>
  <c r="M39"/>
  <c r="N39"/>
  <c r="O38"/>
  <c r="T38"/>
  <c r="I38"/>
  <c r="J38"/>
  <c r="K38"/>
  <c r="L38"/>
  <c r="M38"/>
  <c r="N38"/>
  <c r="O36"/>
  <c r="O37"/>
  <c r="T37"/>
  <c r="I37"/>
  <c r="J37"/>
  <c r="K37"/>
  <c r="L37"/>
  <c r="M37"/>
  <c r="N37"/>
  <c r="O35"/>
  <c r="G35"/>
  <c r="F35"/>
  <c r="G36"/>
  <c r="F36"/>
  <c r="H7"/>
  <c r="H8"/>
  <c r="H9"/>
  <c r="H10"/>
  <c r="H11"/>
  <c r="H12"/>
  <c r="H13"/>
  <c r="H14"/>
  <c r="H15"/>
  <c r="H16"/>
  <c r="H6"/>
  <c r="H17"/>
  <c r="V22" i="9"/>
  <c r="V23"/>
  <c r="V24"/>
  <c r="V25"/>
  <c r="V26"/>
  <c r="V27"/>
  <c r="V28"/>
  <c r="V30"/>
  <c r="V31"/>
  <c r="V32"/>
  <c r="V33"/>
  <c r="V34"/>
  <c r="I120" i="32"/>
  <c r="J48" i="9"/>
  <c r="D128" i="32"/>
  <c r="I48" i="9"/>
  <c r="K48"/>
  <c r="E128" i="32"/>
  <c r="D125"/>
  <c r="E125"/>
  <c r="X61" i="7"/>
  <c r="V20" i="9"/>
  <c r="D111" i="32"/>
  <c r="D110"/>
  <c r="D109"/>
  <c r="D108"/>
  <c r="D107"/>
  <c r="D106"/>
  <c r="E111"/>
  <c r="E110"/>
  <c r="E109"/>
  <c r="E108"/>
  <c r="E107"/>
  <c r="E106"/>
  <c r="H17" i="76"/>
  <c r="M6" i="82"/>
  <c r="M7"/>
  <c r="M8"/>
  <c r="M9"/>
  <c r="M10"/>
  <c r="M11"/>
  <c r="M12"/>
  <c r="M13"/>
  <c r="M14"/>
  <c r="M15"/>
  <c r="M16"/>
  <c r="M17"/>
  <c r="O62"/>
  <c r="G62"/>
  <c r="F62"/>
  <c r="H19" i="75"/>
  <c r="K12" i="82"/>
  <c r="P12"/>
  <c r="K6"/>
  <c r="P6"/>
  <c r="K7"/>
  <c r="P7"/>
  <c r="K8"/>
  <c r="P8"/>
  <c r="K9"/>
  <c r="P9"/>
  <c r="K10"/>
  <c r="P10"/>
  <c r="K11"/>
  <c r="P11"/>
  <c r="K13"/>
  <c r="P13"/>
  <c r="K14"/>
  <c r="P14"/>
  <c r="K15"/>
  <c r="P15"/>
  <c r="K16"/>
  <c r="P16"/>
  <c r="P17"/>
  <c r="O57"/>
  <c r="T57"/>
  <c r="I57"/>
  <c r="J57"/>
  <c r="K57"/>
  <c r="L57"/>
  <c r="M57"/>
  <c r="N57"/>
  <c r="O56"/>
  <c r="T56"/>
  <c r="I56"/>
  <c r="J56"/>
  <c r="K56"/>
  <c r="L56"/>
  <c r="M56"/>
  <c r="N56"/>
  <c r="O54"/>
  <c r="O55"/>
  <c r="T55"/>
  <c r="I55"/>
  <c r="J55"/>
  <c r="K55"/>
  <c r="L55"/>
  <c r="M55"/>
  <c r="N55"/>
  <c r="G54"/>
  <c r="F54"/>
  <c r="O53"/>
  <c r="G53"/>
  <c r="F53"/>
  <c r="J18" i="67"/>
  <c r="H18"/>
  <c r="O43" i="82"/>
  <c r="G43"/>
  <c r="F43"/>
  <c r="C6"/>
  <c r="C7"/>
  <c r="C8"/>
  <c r="C9"/>
  <c r="C10"/>
  <c r="C11"/>
  <c r="C12"/>
  <c r="C13"/>
  <c r="C14"/>
  <c r="C15"/>
  <c r="C16"/>
  <c r="C17"/>
  <c r="O42"/>
  <c r="I42"/>
  <c r="J42"/>
  <c r="K42"/>
  <c r="L42"/>
  <c r="M42"/>
  <c r="N42"/>
  <c r="K30" i="67"/>
  <c r="J30"/>
  <c r="H30"/>
  <c r="H41"/>
  <c r="K18"/>
  <c r="H40"/>
  <c r="D12" i="82"/>
  <c r="D6"/>
  <c r="D7"/>
  <c r="D8"/>
  <c r="D9"/>
  <c r="D10"/>
  <c r="D11"/>
  <c r="D13"/>
  <c r="D14"/>
  <c r="D15"/>
  <c r="D16"/>
  <c r="D17"/>
  <c r="O40"/>
  <c r="T40"/>
  <c r="I40"/>
  <c r="J40"/>
  <c r="K40"/>
  <c r="L40"/>
  <c r="M40"/>
  <c r="N40"/>
  <c r="O39"/>
  <c r="T39"/>
  <c r="I39"/>
  <c r="J39"/>
  <c r="K39"/>
  <c r="L39"/>
  <c r="M39"/>
  <c r="N39"/>
  <c r="O38"/>
  <c r="T38"/>
  <c r="I38"/>
  <c r="J38"/>
  <c r="K38"/>
  <c r="L38"/>
  <c r="M38"/>
  <c r="N38"/>
  <c r="O36"/>
  <c r="O37"/>
  <c r="T37"/>
  <c r="I37"/>
  <c r="J37"/>
  <c r="K37"/>
  <c r="L37"/>
  <c r="M37"/>
  <c r="N37"/>
  <c r="G36"/>
  <c r="F36"/>
  <c r="O35"/>
  <c r="G35"/>
  <c r="F35"/>
  <c r="O33"/>
  <c r="T33"/>
  <c r="I33"/>
  <c r="J33"/>
  <c r="K33"/>
  <c r="L33"/>
  <c r="M33"/>
  <c r="N33"/>
  <c r="O32"/>
  <c r="T32"/>
  <c r="I32"/>
  <c r="J32"/>
  <c r="K32"/>
  <c r="L32"/>
  <c r="M32"/>
  <c r="N32"/>
  <c r="O31"/>
  <c r="T31"/>
  <c r="G31"/>
  <c r="F31"/>
  <c r="O30"/>
  <c r="T30"/>
  <c r="I30"/>
  <c r="J30"/>
  <c r="K30"/>
  <c r="L30"/>
  <c r="M30"/>
  <c r="N30"/>
  <c r="O28"/>
  <c r="O29"/>
  <c r="T29"/>
  <c r="I29"/>
  <c r="J29"/>
  <c r="K29"/>
  <c r="L29"/>
  <c r="M29"/>
  <c r="N29"/>
  <c r="G28"/>
  <c r="F28"/>
  <c r="O27"/>
  <c r="T27"/>
  <c r="I27"/>
  <c r="J27"/>
  <c r="K27"/>
  <c r="L27"/>
  <c r="M27"/>
  <c r="N27"/>
  <c r="K17"/>
  <c r="H6"/>
  <c r="H7"/>
  <c r="H8"/>
  <c r="H9"/>
  <c r="H10"/>
  <c r="H11"/>
  <c r="H12"/>
  <c r="H13"/>
  <c r="H14"/>
  <c r="H15"/>
  <c r="H16"/>
  <c r="H17"/>
  <c r="E6"/>
  <c r="E7"/>
  <c r="E8"/>
  <c r="E9"/>
  <c r="E10"/>
  <c r="E11"/>
  <c r="E12"/>
  <c r="E13"/>
  <c r="E14"/>
  <c r="E15"/>
  <c r="E16"/>
  <c r="E17"/>
  <c r="K19" i="75"/>
  <c r="G41"/>
  <c r="I41"/>
  <c r="G45"/>
  <c r="I45"/>
  <c r="F41"/>
  <c r="H41"/>
  <c r="F45"/>
  <c r="H45"/>
  <c r="E41"/>
  <c r="V18"/>
  <c r="V17"/>
  <c r="V16"/>
  <c r="V15"/>
  <c r="V14"/>
  <c r="V13"/>
  <c r="V12"/>
  <c r="V11"/>
  <c r="V10"/>
  <c r="V9"/>
  <c r="V8"/>
  <c r="V7"/>
  <c r="K45"/>
  <c r="E129" i="73"/>
  <c r="J45" i="75"/>
  <c r="D129" i="73"/>
  <c r="E126"/>
  <c r="D126"/>
  <c r="E123"/>
  <c r="D123"/>
  <c r="D122"/>
  <c r="D121"/>
  <c r="E25" i="76"/>
  <c r="H25"/>
  <c r="D118" i="73"/>
  <c r="D117"/>
  <c r="E117"/>
  <c r="I117"/>
  <c r="J111"/>
  <c r="J110"/>
  <c r="J107"/>
  <c r="J106"/>
  <c r="J112"/>
  <c r="H106" a="1"/>
  <c r="H106"/>
  <c r="H107"/>
  <c r="H108"/>
  <c r="H109"/>
  <c r="H110"/>
  <c r="H111"/>
  <c r="G106" a="1"/>
  <c r="G106"/>
  <c r="G107"/>
  <c r="G108"/>
  <c r="G109"/>
  <c r="G110"/>
  <c r="G111"/>
  <c r="F106" a="1"/>
  <c r="F106"/>
  <c r="F107"/>
  <c r="F108"/>
  <c r="F109"/>
  <c r="F110"/>
  <c r="F111"/>
  <c r="K112"/>
  <c r="E106" a="1"/>
  <c r="E106"/>
  <c r="E107"/>
  <c r="E108"/>
  <c r="E109"/>
  <c r="E110"/>
  <c r="E111"/>
  <c r="D106" a="1"/>
  <c r="D106"/>
  <c r="D107"/>
  <c r="D108"/>
  <c r="D109"/>
  <c r="D110"/>
  <c r="D111"/>
  <c r="X60"/>
  <c r="G42" i="67"/>
  <c r="F42"/>
  <c r="E42"/>
  <c r="O39"/>
  <c r="O38"/>
  <c r="O61" i="64"/>
  <c r="N61"/>
  <c r="O59"/>
  <c r="N59"/>
</calcChain>
</file>

<file path=xl/comments1.xml><?xml version="1.0" encoding="utf-8"?>
<comments xmlns="http://schemas.openxmlformats.org/spreadsheetml/2006/main">
  <authors>
    <author>Maryse Labriet</author>
    <author>Kathleen</author>
  </authors>
  <commentList>
    <comment ref="D24" authorId="0">
      <text>
        <r>
          <rPr>
            <sz val="8"/>
            <color indexed="81"/>
            <rFont val="Tahoma"/>
            <family val="2"/>
          </rPr>
          <t>In 2000, BIOBLQ is equivalent to BIOGAS, given IEA statistics.</t>
        </r>
      </text>
    </comment>
    <comment ref="H33" authorId="1">
      <text>
        <r>
          <rPr>
            <sz val="8"/>
            <color indexed="81"/>
            <rFont val="Tahoma"/>
            <family val="2"/>
          </rPr>
          <t>No technology (fuel/end-use) associated to dark gray cell ;
No number should appear in these cells unless one adds appropriate technology(ies).</t>
        </r>
      </text>
    </comment>
    <comment ref="D114" authorId="0">
      <text>
        <r>
          <rPr>
            <sz val="8"/>
            <color indexed="81"/>
            <rFont val="Tahoma"/>
            <family val="2"/>
          </rPr>
          <t>In 2000, BIOBLQ is equivalent to BIOGAS, given IEA statistics.</t>
        </r>
      </text>
    </comment>
    <comment ref="H124" authorId="1">
      <text>
        <r>
          <rPr>
            <sz val="8"/>
            <color indexed="81"/>
            <rFont val="Tahoma"/>
            <family val="2"/>
          </rPr>
          <t>No technology (fuel/end-use) associated to dark gray cell ;
No number should appear in these cells unless one adds appropriate technology(ies).</t>
        </r>
      </text>
    </comment>
    <comment ref="D205" authorId="0">
      <text>
        <r>
          <rPr>
            <sz val="8"/>
            <color indexed="81"/>
            <rFont val="Tahoma"/>
            <family val="2"/>
          </rPr>
          <t>In 2000, BIOBLQ is equivalent to BIOGAS, given IEA statistics.</t>
        </r>
      </text>
    </comment>
  </commentList>
</comments>
</file>

<file path=xl/comments2.xml><?xml version="1.0" encoding="utf-8"?>
<comments xmlns="http://schemas.openxmlformats.org/spreadsheetml/2006/main">
  <authors>
    <author>Maryse Labriet</author>
    <author>Kathleen</author>
  </authors>
  <commentList>
    <comment ref="D24" authorId="0">
      <text>
        <r>
          <rPr>
            <sz val="8"/>
            <color indexed="81"/>
            <rFont val="Tahoma"/>
            <family val="2"/>
          </rPr>
          <t>In 2000, BIOBLQ is equivalent to BIOGAS, given IEA statistics.</t>
        </r>
      </text>
    </comment>
    <comment ref="H33" authorId="1">
      <text>
        <r>
          <rPr>
            <sz val="8"/>
            <color indexed="81"/>
            <rFont val="Tahoma"/>
            <family val="2"/>
          </rPr>
          <t>No technology (fuel/end-use) associated to dark gray cell ;
No number should appear in these cells unless one adds appropriate technology(ies).</t>
        </r>
      </text>
    </comment>
    <comment ref="D114" authorId="0">
      <text>
        <r>
          <rPr>
            <sz val="8"/>
            <color indexed="81"/>
            <rFont val="Tahoma"/>
            <family val="2"/>
          </rPr>
          <t>In 2000, BIOBLQ is equivalent to BIOGAS, given IEA statistics.</t>
        </r>
      </text>
    </comment>
    <comment ref="H124" authorId="1">
      <text>
        <r>
          <rPr>
            <sz val="8"/>
            <color indexed="81"/>
            <rFont val="Tahoma"/>
            <family val="2"/>
          </rPr>
          <t>No technology (fuel/end-use) associated to dark gray cell ;
No number should appear in these cells unless one adds appropriate technology(ies).</t>
        </r>
      </text>
    </comment>
  </commentList>
</comments>
</file>

<file path=xl/comments3.xml><?xml version="1.0" encoding="utf-8"?>
<comments xmlns="http://schemas.openxmlformats.org/spreadsheetml/2006/main">
  <authors>
    <author>Amit Kanudia</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List>
</comments>
</file>

<file path=xl/comments4.xml><?xml version="1.0" encoding="utf-8"?>
<comments xmlns="http://schemas.openxmlformats.org/spreadsheetml/2006/main">
  <authors>
    <author>Kathleen</author>
  </authors>
  <commentList>
    <comment ref="B39" authorId="0">
      <text>
        <r>
          <rPr>
            <sz val="8"/>
            <color indexed="81"/>
            <rFont val="Tahoma"/>
            <family val="2"/>
          </rPr>
          <t>Bio-energy</t>
        </r>
      </text>
    </comment>
    <comment ref="B40" authorId="0">
      <text>
        <r>
          <rPr>
            <sz val="8"/>
            <color indexed="81"/>
            <rFont val="Tahoma"/>
            <family val="2"/>
          </rPr>
          <t>Bio-energy</t>
        </r>
      </text>
    </comment>
    <comment ref="B44" authorId="0">
      <text>
        <r>
          <rPr>
            <sz val="8"/>
            <color indexed="81"/>
            <rFont val="Tahoma"/>
            <family val="2"/>
          </rPr>
          <t>Bio-energy</t>
        </r>
      </text>
    </comment>
    <comment ref="B45" authorId="0">
      <text>
        <r>
          <rPr>
            <sz val="8"/>
            <color indexed="81"/>
            <rFont val="Tahoma"/>
            <family val="2"/>
          </rPr>
          <t>Bio-energy</t>
        </r>
      </text>
    </comment>
  </commentList>
</comments>
</file>

<file path=xl/comments5.xml><?xml version="1.0" encoding="utf-8"?>
<comments xmlns="http://schemas.openxmlformats.org/spreadsheetml/2006/main">
  <authors>
    <author>Amit Kanudia</author>
    <author>Kathleen</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 ref="B39" authorId="1">
      <text>
        <r>
          <rPr>
            <sz val="8"/>
            <color indexed="81"/>
            <rFont val="Tahoma"/>
            <family val="2"/>
          </rPr>
          <t>This technology composes residential electricity as mix of centralized and decentralized electricity.</t>
        </r>
      </text>
    </comment>
  </commentList>
</comments>
</file>

<file path=xl/comments6.xml><?xml version="1.0" encoding="utf-8"?>
<comments xmlns="http://schemas.openxmlformats.org/spreadsheetml/2006/main">
  <authors>
    <author>Kathleen</author>
  </authors>
  <commentList>
    <comment ref="B39" authorId="0">
      <text>
        <r>
          <rPr>
            <sz val="8"/>
            <color indexed="81"/>
            <rFont val="Tahoma"/>
            <family val="2"/>
          </rPr>
          <t>Bio-energy</t>
        </r>
      </text>
    </comment>
    <comment ref="B40" authorId="0">
      <text>
        <r>
          <rPr>
            <sz val="8"/>
            <color indexed="81"/>
            <rFont val="Tahoma"/>
            <family val="2"/>
          </rPr>
          <t>Bio-energy</t>
        </r>
      </text>
    </comment>
    <comment ref="B44" authorId="0">
      <text>
        <r>
          <rPr>
            <sz val="8"/>
            <color indexed="81"/>
            <rFont val="Tahoma"/>
            <family val="2"/>
          </rPr>
          <t>Bio-energy</t>
        </r>
      </text>
    </comment>
    <comment ref="B45" authorId="0">
      <text>
        <r>
          <rPr>
            <sz val="8"/>
            <color indexed="81"/>
            <rFont val="Tahoma"/>
            <family val="2"/>
          </rPr>
          <t>Bio-energy</t>
        </r>
      </text>
    </comment>
  </commentList>
</comments>
</file>

<file path=xl/comments7.xml><?xml version="1.0" encoding="utf-8"?>
<comments xmlns="http://schemas.openxmlformats.org/spreadsheetml/2006/main">
  <authors>
    <author>Barry Kapilow-Cohen</author>
    <author>Antti Lehtilä</author>
    <author>Antti L</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 ref="C18" authorId="1">
      <text>
        <r>
          <rPr>
            <b/>
            <sz val="8"/>
            <color indexed="81"/>
            <rFont val="Tahoma"/>
          </rPr>
          <t>Antti Lehtilä:</t>
        </r>
        <r>
          <rPr>
            <sz val="8"/>
            <color indexed="81"/>
            <rFont val="Tahoma"/>
          </rPr>
          <t xml:space="preserve">
Average for Air and Ground heat pumps</t>
        </r>
      </text>
    </comment>
    <comment ref="D20" authorId="2">
      <text>
        <r>
          <rPr>
            <b/>
            <sz val="9"/>
            <color indexed="81"/>
            <rFont val="Tahoma"/>
            <family val="2"/>
          </rPr>
          <t>Antti L:</t>
        </r>
        <r>
          <rPr>
            <sz val="9"/>
            <color indexed="81"/>
            <rFont val="Tahoma"/>
            <family val="2"/>
          </rPr>
          <t xml:space="preserve">
Disabled for now</t>
        </r>
      </text>
    </comment>
    <comment ref="D34" authorId="2">
      <text>
        <r>
          <rPr>
            <b/>
            <sz val="9"/>
            <color indexed="81"/>
            <rFont val="Tahoma"/>
            <family val="2"/>
          </rPr>
          <t>Antti L:</t>
        </r>
        <r>
          <rPr>
            <sz val="9"/>
            <color indexed="81"/>
            <rFont val="Tahoma"/>
            <family val="2"/>
          </rPr>
          <t xml:space="preserve">
Disabled for now</t>
        </r>
      </text>
    </comment>
  </commentList>
</comments>
</file>

<file path=xl/comments8.xml><?xml version="1.0" encoding="utf-8"?>
<comments xmlns="http://schemas.openxmlformats.org/spreadsheetml/2006/main">
  <authors>
    <author>Barry Kapilow-Cohen</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9.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0.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1.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2.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3.xml><?xml version="1.0" encoding="utf-8"?>
<comments xmlns="http://schemas.openxmlformats.org/spreadsheetml/2006/main">
  <authors>
    <author>Amit Kanudia</author>
    <author>Kathleen</author>
    <author>Antti Lehtilä</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 ref="B38" authorId="1">
      <text>
        <r>
          <rPr>
            <sz val="8"/>
            <color indexed="81"/>
            <rFont val="Tahoma"/>
            <family val="2"/>
          </rPr>
          <t>This technology composes commercial electricity as mix of centralized and decentralized electricity.</t>
        </r>
      </text>
    </comment>
    <comment ref="D119" authorId="2">
      <text>
        <r>
          <rPr>
            <b/>
            <sz val="8"/>
            <color indexed="81"/>
            <rFont val="Tahoma"/>
          </rPr>
          <t>Antti Lehtilä:</t>
        </r>
        <r>
          <rPr>
            <sz val="8"/>
            <color indexed="81"/>
            <rFont val="Tahoma"/>
          </rPr>
          <t xml:space="preserve">
Adjust Base Year efficiency</t>
        </r>
      </text>
    </comment>
    <comment ref="E119" authorId="2">
      <text>
        <r>
          <rPr>
            <b/>
            <sz val="8"/>
            <color indexed="81"/>
            <rFont val="Tahoma"/>
          </rPr>
          <t>Antti Lehtilä:</t>
        </r>
        <r>
          <rPr>
            <sz val="8"/>
            <color indexed="81"/>
            <rFont val="Tahoma"/>
          </rPr>
          <t xml:space="preserve">
Adjust Base Year efficiency</t>
        </r>
      </text>
    </comment>
    <comment ref="D120" authorId="2">
      <text>
        <r>
          <rPr>
            <b/>
            <sz val="8"/>
            <color indexed="81"/>
            <rFont val="Tahoma"/>
          </rPr>
          <t>Antti Lehtilä:</t>
        </r>
        <r>
          <rPr>
            <sz val="8"/>
            <color indexed="81"/>
            <rFont val="Tahoma"/>
          </rPr>
          <t xml:space="preserve">
Adjust Base Year efficiency</t>
        </r>
      </text>
    </comment>
    <comment ref="E120" authorId="2">
      <text>
        <r>
          <rPr>
            <b/>
            <sz val="8"/>
            <color indexed="81"/>
            <rFont val="Tahoma"/>
          </rPr>
          <t>Antti Lehtilä:</t>
        </r>
        <r>
          <rPr>
            <sz val="8"/>
            <color indexed="81"/>
            <rFont val="Tahoma"/>
          </rPr>
          <t xml:space="preserve">
Adjust Base Year efficiency</t>
        </r>
      </text>
    </comment>
  </commentList>
</comments>
</file>

<file path=xl/comments14.xml><?xml version="1.0" encoding="utf-8"?>
<comments xmlns="http://schemas.openxmlformats.org/spreadsheetml/2006/main">
  <authors>
    <author>Kathleen</author>
  </authors>
  <commentList>
    <comment ref="B39" authorId="0">
      <text>
        <r>
          <rPr>
            <sz val="8"/>
            <color indexed="81"/>
            <rFont val="Tahoma"/>
            <family val="2"/>
          </rPr>
          <t>Bio-energy</t>
        </r>
      </text>
    </comment>
    <comment ref="B40" authorId="0">
      <text>
        <r>
          <rPr>
            <sz val="8"/>
            <color indexed="81"/>
            <rFont val="Tahoma"/>
            <family val="2"/>
          </rPr>
          <t>Bio-energy</t>
        </r>
      </text>
    </comment>
    <comment ref="B44" authorId="0">
      <text>
        <r>
          <rPr>
            <sz val="8"/>
            <color indexed="81"/>
            <rFont val="Tahoma"/>
            <family val="2"/>
          </rPr>
          <t>Bio-energy</t>
        </r>
      </text>
    </comment>
    <comment ref="B45" authorId="0">
      <text>
        <r>
          <rPr>
            <sz val="8"/>
            <color indexed="81"/>
            <rFont val="Tahoma"/>
            <family val="2"/>
          </rPr>
          <t>Bio-energy</t>
        </r>
      </text>
    </comment>
  </commentList>
</comments>
</file>

<file path=xl/comments15.xml><?xml version="1.0" encoding="utf-8"?>
<comments xmlns="http://schemas.openxmlformats.org/spreadsheetml/2006/main">
  <authors>
    <author>Barry Kapilow-Cohen</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6.xml><?xml version="1.0" encoding="utf-8"?>
<comments xmlns="http://schemas.openxmlformats.org/spreadsheetml/2006/main">
  <authors>
    <author>Kevin Lillis</author>
  </authors>
  <commentList>
    <comment ref="P5" authorId="0">
      <text>
        <r>
          <rPr>
            <sz val="8"/>
            <color indexed="81"/>
            <rFont val="Tahoma"/>
            <family val="2"/>
          </rPr>
          <t>Barry Kapilow-Cohen:
this is the capacity 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7.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8.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19.xml><?xml version="1.0" encoding="utf-8"?>
<comments xmlns="http://schemas.openxmlformats.org/spreadsheetml/2006/main">
  <authors>
    <author>Barry Kapilow-Cohen</author>
  </authors>
  <commentList>
    <comment ref="A1" authorId="0">
      <text>
        <r>
          <rPr>
            <b/>
            <sz val="8"/>
            <color indexed="81"/>
            <rFont val="Tahoma"/>
            <family val="2"/>
          </rPr>
          <t>Barry Kapilow-Cohen:</t>
        </r>
        <r>
          <rPr>
            <sz val="8"/>
            <color indexed="81"/>
            <rFont val="Tahoma"/>
            <family val="2"/>
          </rPr>
          <t xml:space="preserve">
Street lighting has been included in this service demand category</t>
        </r>
      </text>
    </commen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20.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21.xml><?xml version="1.0" encoding="utf-8"?>
<comments xmlns="http://schemas.openxmlformats.org/spreadsheetml/2006/main">
  <authors>
    <author>Antti Lehtilä</author>
  </authors>
  <commentList>
    <comment ref="L22" authorId="0">
      <text>
        <r>
          <rPr>
            <b/>
            <sz val="8"/>
            <color indexed="81"/>
            <rFont val="Tahoma"/>
          </rPr>
          <t>Antti Lehtilä:</t>
        </r>
        <r>
          <rPr>
            <sz val="8"/>
            <color indexed="81"/>
            <rFont val="Tahoma"/>
          </rPr>
          <t xml:space="preserve">
Some constraints for Coal appear necessary. Assume 50% max. asymptotic share if current share is quite small.</t>
        </r>
      </text>
    </comment>
  </commentList>
</comments>
</file>

<file path=xl/comments22.xml><?xml version="1.0" encoding="utf-8"?>
<comments xmlns="http://schemas.openxmlformats.org/spreadsheetml/2006/main">
  <authors>
    <author>Maryse Labriet</author>
    <author>Kathleen</author>
  </authors>
  <commentList>
    <comment ref="D24" authorId="0">
      <text>
        <r>
          <rPr>
            <sz val="8"/>
            <color indexed="81"/>
            <rFont val="Tahoma"/>
            <family val="2"/>
          </rPr>
          <t>In 2000, BIOBLQ is equivalent to BIOGAS, given IEA statistics.</t>
        </r>
      </text>
    </comment>
    <comment ref="H33" authorId="1">
      <text>
        <r>
          <rPr>
            <sz val="8"/>
            <color indexed="81"/>
            <rFont val="Tahoma"/>
            <family val="2"/>
          </rPr>
          <t>No technology (fuel/end-use) associated to dark gray cell ;
No number should appear in these cells unless one adds appropriate technology(ies).</t>
        </r>
      </text>
    </comment>
    <comment ref="D114" authorId="0">
      <text>
        <r>
          <rPr>
            <sz val="8"/>
            <color indexed="81"/>
            <rFont val="Tahoma"/>
            <family val="2"/>
          </rPr>
          <t>In 2000, BIOBLQ is equivalent to BIOGAS, given IEA statistics.</t>
        </r>
      </text>
    </comment>
    <comment ref="H124" authorId="1">
      <text>
        <r>
          <rPr>
            <sz val="8"/>
            <color indexed="81"/>
            <rFont val="Tahoma"/>
            <family val="2"/>
          </rPr>
          <t>No technology (fuel/end-use) associated to dark gray cell ;
No number should appear in these cells unless one adds appropriate technology(ies).</t>
        </r>
      </text>
    </comment>
    <comment ref="D205" authorId="0">
      <text>
        <r>
          <rPr>
            <sz val="8"/>
            <color indexed="81"/>
            <rFont val="Tahoma"/>
            <family val="2"/>
          </rPr>
          <t>In 2000, BIOBLQ is equivalent to BIOGAS, given IEA statistics.</t>
        </r>
      </text>
    </comment>
  </commentList>
</comments>
</file>

<file path=xl/comments23.xml><?xml version="1.0" encoding="utf-8"?>
<comments xmlns="http://schemas.openxmlformats.org/spreadsheetml/2006/main">
  <authors>
    <author>Maryse Labriet</author>
    <author>Kathleen</author>
  </authors>
  <commentList>
    <comment ref="D24" authorId="0">
      <text>
        <r>
          <rPr>
            <sz val="8"/>
            <color indexed="81"/>
            <rFont val="Tahoma"/>
            <family val="2"/>
          </rPr>
          <t>In 2000, BIOBLQ is equivalent to BIOGAS, given IEA statistics.</t>
        </r>
      </text>
    </comment>
    <comment ref="H33" authorId="1">
      <text>
        <r>
          <rPr>
            <sz val="8"/>
            <color indexed="81"/>
            <rFont val="Tahoma"/>
            <family val="2"/>
          </rPr>
          <t>No technology (fuel/end-use) associated to dark gray cell ;
No number should appear in these cells unless one adds appropriate technology(ies).</t>
        </r>
      </text>
    </comment>
    <comment ref="D114" authorId="0">
      <text>
        <r>
          <rPr>
            <sz val="8"/>
            <color indexed="81"/>
            <rFont val="Tahoma"/>
            <family val="2"/>
          </rPr>
          <t>In 2000, BIOBLQ is equivalent to BIOGAS, given IEA statistics.</t>
        </r>
      </text>
    </comment>
    <comment ref="H124" authorId="1">
      <text>
        <r>
          <rPr>
            <sz val="8"/>
            <color indexed="81"/>
            <rFont val="Tahoma"/>
            <family val="2"/>
          </rPr>
          <t>No technology (fuel/end-use) associated to dark gray cell ;
No number should appear in these cells unless one adds appropriate technology(ies).</t>
        </r>
      </text>
    </comment>
  </commentList>
</comments>
</file>

<file path=xl/comments24.xml><?xml version="1.0" encoding="utf-8"?>
<comments xmlns="http://schemas.openxmlformats.org/spreadsheetml/2006/main">
  <authors>
    <author>Amit Kanudia</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List>
</comments>
</file>

<file path=xl/comments25.xml><?xml version="1.0" encoding="utf-8"?>
<comments xmlns="http://schemas.openxmlformats.org/spreadsheetml/2006/main">
  <authors>
    <author>Amit Kanudia</author>
    <author>Kathleen</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 ref="B39" authorId="1">
      <text>
        <r>
          <rPr>
            <sz val="8"/>
            <color indexed="81"/>
            <rFont val="Tahoma"/>
            <family val="2"/>
          </rPr>
          <t>This technology composes residential electricity as mix of centralized and decentralized electricity.</t>
        </r>
      </text>
    </comment>
  </commentList>
</comments>
</file>

<file path=xl/comments26.xml><?xml version="1.0" encoding="utf-8"?>
<comments xmlns="http://schemas.openxmlformats.org/spreadsheetml/2006/main">
  <authors>
    <author>Barry Kapilow-Cohen</author>
    <author>Antti Lehtilä</author>
    <author>Antti L</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 ref="C18" authorId="1">
      <text>
        <r>
          <rPr>
            <b/>
            <sz val="8"/>
            <color indexed="81"/>
            <rFont val="Tahoma"/>
          </rPr>
          <t>Antti Lehtilä:</t>
        </r>
        <r>
          <rPr>
            <sz val="8"/>
            <color indexed="81"/>
            <rFont val="Tahoma"/>
          </rPr>
          <t xml:space="preserve">
Average for Air and Ground heat pumps</t>
        </r>
      </text>
    </comment>
    <comment ref="D20" authorId="2">
      <text>
        <r>
          <rPr>
            <b/>
            <sz val="9"/>
            <color indexed="81"/>
            <rFont val="Tahoma"/>
            <family val="2"/>
          </rPr>
          <t>Antti L:</t>
        </r>
        <r>
          <rPr>
            <sz val="9"/>
            <color indexed="81"/>
            <rFont val="Tahoma"/>
            <family val="2"/>
          </rPr>
          <t xml:space="preserve">
Disabled for now</t>
        </r>
      </text>
    </comment>
    <comment ref="D34" authorId="2">
      <text>
        <r>
          <rPr>
            <b/>
            <sz val="9"/>
            <color indexed="81"/>
            <rFont val="Tahoma"/>
            <family val="2"/>
          </rPr>
          <t>Antti L:</t>
        </r>
        <r>
          <rPr>
            <sz val="9"/>
            <color indexed="81"/>
            <rFont val="Tahoma"/>
            <family val="2"/>
          </rPr>
          <t xml:space="preserve">
Disabled for now</t>
        </r>
      </text>
    </comment>
  </commentList>
</comments>
</file>

<file path=xl/comments27.xml><?xml version="1.0" encoding="utf-8"?>
<comments xmlns="http://schemas.openxmlformats.org/spreadsheetml/2006/main">
  <authors>
    <author>Barry Kapilow-Cohen</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28.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29.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0.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1.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2.xml><?xml version="1.0" encoding="utf-8"?>
<comments xmlns="http://schemas.openxmlformats.org/spreadsheetml/2006/main">
  <authors>
    <author>Amit Kanudia</author>
    <author>Kathleen</author>
    <author>Antti Lehtilä</author>
  </authors>
  <commentList>
    <comment ref="A1" authorId="0">
      <text>
        <r>
          <rPr>
            <b/>
            <sz val="8"/>
            <color indexed="81"/>
            <rFont val="Tahoma"/>
            <family val="2"/>
          </rPr>
          <t>Amit Kanudia:</t>
        </r>
        <r>
          <rPr>
            <sz val="8"/>
            <color indexed="81"/>
            <rFont val="Tahoma"/>
            <family val="2"/>
          </rPr>
          <t xml:space="preserve">
These can be used to put sectoral fuel cost mark-ups and also to control the penetration of fuels (Across uses)</t>
        </r>
      </text>
    </comment>
    <comment ref="B38" authorId="1">
      <text>
        <r>
          <rPr>
            <sz val="8"/>
            <color indexed="81"/>
            <rFont val="Tahoma"/>
            <family val="2"/>
          </rPr>
          <t>This technology composes commercial electricity as mix of centralized and decentralized electricity.</t>
        </r>
      </text>
    </comment>
    <comment ref="D119" authorId="2">
      <text>
        <r>
          <rPr>
            <b/>
            <sz val="8"/>
            <color indexed="81"/>
            <rFont val="Tahoma"/>
          </rPr>
          <t>Antti Lehtilä:</t>
        </r>
        <r>
          <rPr>
            <sz val="8"/>
            <color indexed="81"/>
            <rFont val="Tahoma"/>
          </rPr>
          <t xml:space="preserve">
Adjust Base Year efficiency</t>
        </r>
      </text>
    </comment>
    <comment ref="E119" authorId="2">
      <text>
        <r>
          <rPr>
            <b/>
            <sz val="8"/>
            <color indexed="81"/>
            <rFont val="Tahoma"/>
          </rPr>
          <t>Antti Lehtilä:</t>
        </r>
        <r>
          <rPr>
            <sz val="8"/>
            <color indexed="81"/>
            <rFont val="Tahoma"/>
          </rPr>
          <t xml:space="preserve">
Adjust Base Year efficiency</t>
        </r>
      </text>
    </comment>
    <comment ref="D120" authorId="2">
      <text>
        <r>
          <rPr>
            <b/>
            <sz val="8"/>
            <color indexed="81"/>
            <rFont val="Tahoma"/>
          </rPr>
          <t>Antti Lehtilä:</t>
        </r>
        <r>
          <rPr>
            <sz val="8"/>
            <color indexed="81"/>
            <rFont val="Tahoma"/>
          </rPr>
          <t xml:space="preserve">
Adjust Base Year efficiency</t>
        </r>
      </text>
    </comment>
    <comment ref="E120" authorId="2">
      <text>
        <r>
          <rPr>
            <b/>
            <sz val="8"/>
            <color indexed="81"/>
            <rFont val="Tahoma"/>
          </rPr>
          <t>Antti Lehtilä:</t>
        </r>
        <r>
          <rPr>
            <sz val="8"/>
            <color indexed="81"/>
            <rFont val="Tahoma"/>
          </rPr>
          <t xml:space="preserve">
Adjust Base Year efficiency</t>
        </r>
      </text>
    </comment>
  </commentList>
</comments>
</file>

<file path=xl/comments33.xml><?xml version="1.0" encoding="utf-8"?>
<comments xmlns="http://schemas.openxmlformats.org/spreadsheetml/2006/main">
  <authors>
    <author>Barry Kapilow-Cohen</author>
  </authors>
  <commentList>
    <comment ref="P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4.xml><?xml version="1.0" encoding="utf-8"?>
<comments xmlns="http://schemas.openxmlformats.org/spreadsheetml/2006/main">
  <authors>
    <author>Kevin Lillis</author>
  </authors>
  <commentList>
    <comment ref="P5" authorId="0">
      <text>
        <r>
          <rPr>
            <sz val="8"/>
            <color indexed="81"/>
            <rFont val="Tahoma"/>
            <family val="2"/>
          </rPr>
          <t>Barry Kapilow-Cohen:
this is the capacity 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5.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6.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7.xml><?xml version="1.0" encoding="utf-8"?>
<comments xmlns="http://schemas.openxmlformats.org/spreadsheetml/2006/main">
  <authors>
    <author>Barry Kapilow-Cohen</author>
  </authors>
  <commentList>
    <comment ref="A1" authorId="0">
      <text>
        <r>
          <rPr>
            <b/>
            <sz val="8"/>
            <color indexed="81"/>
            <rFont val="Tahoma"/>
            <family val="2"/>
          </rPr>
          <t>Barry Kapilow-Cohen:</t>
        </r>
        <r>
          <rPr>
            <sz val="8"/>
            <color indexed="81"/>
            <rFont val="Tahoma"/>
            <family val="2"/>
          </rPr>
          <t xml:space="preserve">
Street lighting has been included in this service demand category</t>
        </r>
      </text>
    </commen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8.xml><?xml version="1.0" encoding="utf-8"?>
<comments xmlns="http://schemas.openxmlformats.org/spreadsheetml/2006/main">
  <authors>
    <author>Barry Kapilow-Cohen</author>
  </authors>
  <commentList>
    <comment ref="O5" authorId="0">
      <text>
        <r>
          <rPr>
            <b/>
            <sz val="8"/>
            <color indexed="81"/>
            <rFont val="Tahoma"/>
            <family val="2"/>
          </rPr>
          <t>Barry Kapilow-Cohen:</t>
        </r>
        <r>
          <rPr>
            <sz val="8"/>
            <color indexed="81"/>
            <rFont val="Tahoma"/>
            <family val="2"/>
          </rPr>
          <t xml:space="preserve">
this is the </t>
        </r>
        <r>
          <rPr>
            <b/>
            <sz val="8"/>
            <color indexed="81"/>
            <rFont val="Tahoma"/>
            <family val="2"/>
          </rPr>
          <t xml:space="preserve">capacity </t>
        </r>
        <r>
          <rPr>
            <sz val="8"/>
            <color indexed="81"/>
            <rFont val="Tahoma"/>
            <family val="2"/>
          </rPr>
          <t>that would be needed to provide the level of service demand given that the capacity is providing service 'cf' share of the time
to get to investment calculate how much capacity you have to add per pj of service provided then translate that level of capacity to number of units required by evaluating average capacity per unit of equipment</t>
        </r>
      </text>
    </comment>
  </commentList>
</comments>
</file>

<file path=xl/comments39.xml><?xml version="1.0" encoding="utf-8"?>
<comments xmlns="http://schemas.openxmlformats.org/spreadsheetml/2006/main">
  <authors>
    <author>Antti Lehtilä</author>
  </authors>
  <commentList>
    <comment ref="L22" authorId="0">
      <text>
        <r>
          <rPr>
            <b/>
            <sz val="8"/>
            <color indexed="81"/>
            <rFont val="Tahoma"/>
          </rPr>
          <t>Antti Lehtilä:</t>
        </r>
        <r>
          <rPr>
            <sz val="8"/>
            <color indexed="81"/>
            <rFont val="Tahoma"/>
          </rPr>
          <t xml:space="preserve">
Some constraints for Coal appear necessary. Assume 50% max. asymptotic share if current share is quite small.</t>
        </r>
      </text>
    </comment>
  </commentList>
</comments>
</file>

<file path=xl/sharedStrings.xml><?xml version="1.0" encoding="utf-8"?>
<sst xmlns="http://schemas.openxmlformats.org/spreadsheetml/2006/main" count="10231" uniqueCount="1263">
  <si>
    <t>Fuel Tech - Diesel (COM) - New</t>
  </si>
  <si>
    <t>Fuel Tech - Kerosene (COM) - New</t>
  </si>
  <si>
    <t>Fuel Tech - Liquified Petroleum Gases (COM) - New</t>
  </si>
  <si>
    <t>Fuel Tech - Biofuels (COM) - New</t>
  </si>
  <si>
    <t>Fuel Tech - Geothermal (COM) - New</t>
  </si>
  <si>
    <t>Fuel Tech - Solar (COM) - New</t>
  </si>
  <si>
    <t>Sector fuel production - Heat - Existing</t>
  </si>
  <si>
    <t>COM: .00.NGA.WATER HEATER.STD.</t>
  </si>
  <si>
    <t>COM: .00.DST.WATER HEATER.STD.</t>
  </si>
  <si>
    <t>COM: .00.KER.WATER HEATER.STD.</t>
  </si>
  <si>
    <t>COM: .00.HFO.WATER HEATER.STD.</t>
  </si>
  <si>
    <t xml:space="preserve">Regional Breakout of Lighting </t>
  </si>
  <si>
    <t>Residential Cooking-Region 1</t>
  </si>
  <si>
    <t>Canada's Greenhouse Gas Emissions : Estimates for 1990. Environment Canada, 1992.</t>
  </si>
  <si>
    <r>
      <t>Sources :</t>
    </r>
    <r>
      <rPr>
        <sz val="8"/>
        <rFont val="Arial"/>
        <family val="2"/>
      </rPr>
      <t xml:space="preserve"> </t>
    </r>
  </si>
  <si>
    <t>RESCO2N</t>
  </si>
  <si>
    <t>RESCH4N</t>
  </si>
  <si>
    <t>RESN2ON</t>
  </si>
  <si>
    <t>AGRCO2N</t>
  </si>
  <si>
    <t>AGRN2ON</t>
  </si>
  <si>
    <t>AGRCH4N</t>
  </si>
  <si>
    <t>COMCO2N</t>
  </si>
  <si>
    <t>COMCH4N</t>
  </si>
  <si>
    <t>COMN2ON</t>
  </si>
  <si>
    <t>CCKELC000</t>
  </si>
  <si>
    <t>RK1BIO000</t>
  </si>
  <si>
    <t>RK2BIO000</t>
  </si>
  <si>
    <t>COM: .00.NGA.COOKING.</t>
  </si>
  <si>
    <t>COM: .00.KER.COOKING.</t>
  </si>
  <si>
    <t>COM: .00.LPG.COOKING.</t>
  </si>
  <si>
    <t>COM: .00.ELC.COOKING.</t>
  </si>
  <si>
    <t>COM: .00.ELC.REFRIGERATORS.</t>
  </si>
  <si>
    <t>COM: .00.ELC.EQUIPMENT.OTHERS.</t>
  </si>
  <si>
    <t>COM: .00.DST.EQUIPMENT.OTHERS.</t>
  </si>
  <si>
    <t>COM: .00.NGA.EQUIPMENT.OTHERS.</t>
  </si>
  <si>
    <t>COAGSC</t>
  </si>
  <si>
    <t>GASBFG</t>
  </si>
  <si>
    <t>GASOXY</t>
  </si>
  <si>
    <t>OILPTC</t>
  </si>
  <si>
    <t>OILCRL</t>
  </si>
  <si>
    <t>OILCRH</t>
  </si>
  <si>
    <t>Fuel Tech - Electricity (RES)</t>
  </si>
  <si>
    <t>Electricity (RES)</t>
  </si>
  <si>
    <t>BIOGAS</t>
  </si>
  <si>
    <t>RHW</t>
  </si>
  <si>
    <t>For CO2: Revised 1996 IPCC Guidelines for National Greenhouse Gas Inventories</t>
  </si>
  <si>
    <t>JT Houghton, LG Meira Filho, B Lim, K Treanton, I Mamaty, Y Bonduki,DJ Griggs and BA Callender (Eds)</t>
  </si>
  <si>
    <t>IPCC/OECD/IEA. UK Meteorological Office, Bracknell.</t>
  </si>
  <si>
    <t>^IEA_LC</t>
  </si>
  <si>
    <t>kT</t>
  </si>
  <si>
    <t>t</t>
  </si>
  <si>
    <t>Commercial Sector CO2</t>
  </si>
  <si>
    <t>Commercial Sector CH4</t>
  </si>
  <si>
    <t>BIOBSL</t>
  </si>
  <si>
    <t>BIOBMU</t>
  </si>
  <si>
    <t>BIOBIN</t>
  </si>
  <si>
    <t>Comm-IN</t>
  </si>
  <si>
    <t>TechName</t>
  </si>
  <si>
    <t>TechDesc</t>
  </si>
  <si>
    <t>Comm-OUT</t>
  </si>
  <si>
    <t>RES: .00.BIO.EQUIPMENT.OTHERS.</t>
  </si>
  <si>
    <t>RES: .00.LPG.EQUIPMENT.OTHERS.</t>
  </si>
  <si>
    <t>RES: .00.NGA.EQUIPMENT.OTHERS.</t>
  </si>
  <si>
    <t>RES.LIGH.R1: .00.KER.LAMP.</t>
  </si>
  <si>
    <t>RES.LIGH.R1: .00.ELC.INCANDESCENT.STD.</t>
  </si>
  <si>
    <t>RES.LIGH.R1: .00.ELC.HALOGEN.</t>
  </si>
  <si>
    <t>RES.LIGH.R1: .00.ELC.FLUORESCENT.BASELINE.</t>
  </si>
  <si>
    <t>RES.LIGH.R2: .00.KER.LAMP.</t>
  </si>
  <si>
    <t>RES.LIGH.R2: .00.ELC.INCANDESCENT.STD.</t>
  </si>
  <si>
    <t>COTDST000</t>
  </si>
  <si>
    <t>CRF</t>
  </si>
  <si>
    <t>CCK</t>
  </si>
  <si>
    <t>Electric Office Equipment</t>
  </si>
  <si>
    <t>CH1ERS000</t>
  </si>
  <si>
    <t>CH1NFN000</t>
  </si>
  <si>
    <t>CH4 - Biomass:IPCC Guidelines, Energy section, Table 1.7.</t>
  </si>
  <si>
    <t>CH4 - Coal: IPCC Guidelines, Energy section, Table 1.7. Reduced (see Tables 1.15 and after)</t>
  </si>
  <si>
    <t>CH1NHP000</t>
  </si>
  <si>
    <t>CH2NFN000</t>
  </si>
  <si>
    <t>CH2NHP000</t>
  </si>
  <si>
    <t>CH3NFN000</t>
  </si>
  <si>
    <t>CH2ERS000</t>
  </si>
  <si>
    <t>CH3ERS000</t>
  </si>
  <si>
    <t>CH4ERS000</t>
  </si>
  <si>
    <t>CH4NFN000</t>
  </si>
  <si>
    <t>CC1EHP000</t>
  </si>
  <si>
    <t>LimType</t>
  </si>
  <si>
    <t>Heavy Oil</t>
  </si>
  <si>
    <t>LIFE</t>
  </si>
  <si>
    <t>Residential Hot Water</t>
  </si>
  <si>
    <t>Refrigerators and Freezers</t>
  </si>
  <si>
    <t>RRF</t>
  </si>
  <si>
    <t>RDW</t>
  </si>
  <si>
    <t>Clothes Drying</t>
  </si>
  <si>
    <t>RCD</t>
  </si>
  <si>
    <t>Residential Cooking</t>
  </si>
  <si>
    <t>RCW</t>
  </si>
  <si>
    <t xml:space="preserve"> Dishwasher</t>
  </si>
  <si>
    <t>Residential Refrigeration</t>
  </si>
  <si>
    <t>Residential Clothes Drying</t>
  </si>
  <si>
    <t>Residential Clothes Washing</t>
  </si>
  <si>
    <t>Residential Dishwashing</t>
  </si>
  <si>
    <t>Commercial Lighting</t>
  </si>
  <si>
    <t>CLA</t>
  </si>
  <si>
    <t>Lighting</t>
  </si>
  <si>
    <t>Space Cooling</t>
  </si>
  <si>
    <t>ELC</t>
  </si>
  <si>
    <t>CH4</t>
  </si>
  <si>
    <t>Commercial Cooling - Region 1</t>
  </si>
  <si>
    <t>Commercial Cooling - Region 2</t>
  </si>
  <si>
    <t>OILLPG</t>
  </si>
  <si>
    <t>CC3CAE000</t>
  </si>
  <si>
    <t>CC4CAE000</t>
  </si>
  <si>
    <t>CHWNGA000</t>
  </si>
  <si>
    <t>CHWDST000</t>
  </si>
  <si>
    <t>OECDEUR,Malta,Gibraltar</t>
  </si>
  <si>
    <t>CC1CAE000</t>
  </si>
  <si>
    <t>CC1ECE000</t>
  </si>
  <si>
    <t>CC2CAE000</t>
  </si>
  <si>
    <t>CC2ECE000</t>
  </si>
  <si>
    <t>RES.HEAT.R2: .00.LPG.INS-REG.BURNER.</t>
  </si>
  <si>
    <t>RES.HEAT.R2: .00.ELC.INS-REG.RESISTANCE.</t>
  </si>
  <si>
    <t>Fuel Tech - Heavy Fuel Oil (AGR)</t>
  </si>
  <si>
    <t xml:space="preserve">Residential Hot Water </t>
  </si>
  <si>
    <t>Commercial Heating - Region 1</t>
  </si>
  <si>
    <t>Fuel Tech - Natural Gas (AGR)</t>
  </si>
  <si>
    <t>Natural Gas (AGR)</t>
  </si>
  <si>
    <t>RH</t>
  </si>
  <si>
    <t>RC</t>
  </si>
  <si>
    <t>RK</t>
  </si>
  <si>
    <t>RL</t>
  </si>
  <si>
    <t>RES.HEAT.R1: .00.HFO.INS-REG.BURNER.</t>
  </si>
  <si>
    <t>RES.HEAT.R2: .00.HFO.INS-REG.BURNER.</t>
  </si>
  <si>
    <t>Fuel Tech - Diesel (AGR)</t>
  </si>
  <si>
    <t>Diesel (AGR)</t>
  </si>
  <si>
    <t>Fuel Tech - Gasoline (AGR)</t>
  </si>
  <si>
    <t>Gasoline (AGR)</t>
  </si>
  <si>
    <t>AGRGSL</t>
  </si>
  <si>
    <t>COM.LIGH: .00.ELC.INCANDESCENT.</t>
  </si>
  <si>
    <t>COM.LIGH: .00.ELC.HALOGEN.</t>
  </si>
  <si>
    <t>COM.LIGH: .00.ELC.MERCURY.</t>
  </si>
  <si>
    <t>COM.LIGH: .00.ELC.FLUORESCENT.BASELINE.</t>
  </si>
  <si>
    <t>CC4</t>
  </si>
  <si>
    <t>CHWLPG000</t>
  </si>
  <si>
    <t>CHWELC000</t>
  </si>
  <si>
    <t>CLAICE000</t>
  </si>
  <si>
    <t>CLAHAE000</t>
  </si>
  <si>
    <t>CLAFLE000</t>
  </si>
  <si>
    <t>COMGEO</t>
  </si>
  <si>
    <t>COMSOL</t>
  </si>
  <si>
    <t>AGRGEO</t>
  </si>
  <si>
    <t>AGRSOL</t>
  </si>
  <si>
    <t>CH1GEO000</t>
  </si>
  <si>
    <t>CH2GEO000</t>
  </si>
  <si>
    <t>CHWSOL000</t>
  </si>
  <si>
    <t>RH2HET000</t>
  </si>
  <si>
    <t>Fuel Tech - Heat (RES)</t>
  </si>
  <si>
    <t>Heat (RES)</t>
  </si>
  <si>
    <t>Natural Gas (COM)</t>
  </si>
  <si>
    <t>Fuel Tech - Diesel (COM)</t>
  </si>
  <si>
    <t>Diesel (COM)</t>
  </si>
  <si>
    <t>Fuel Tech - Heavy Fuel Oil (COM)</t>
  </si>
  <si>
    <t>Heavy Fuel Oil (COM)</t>
  </si>
  <si>
    <t>Fuel Tech - Kerosene (COM)</t>
  </si>
  <si>
    <t>Kerosene (COM)</t>
  </si>
  <si>
    <t>Coal (COM)</t>
  </si>
  <si>
    <t>Fuel Tech - Liquified Petroleum Gases (COM)</t>
  </si>
  <si>
    <t>Liquified Petroleum Gases (COM)</t>
  </si>
  <si>
    <t>Fuel Tech - Biofuels (COM)</t>
  </si>
  <si>
    <t>Biofuels (COM)</t>
  </si>
  <si>
    <t>Fuel Tech - Geothermal (COM)</t>
  </si>
  <si>
    <t>Geothermal (COM)</t>
  </si>
  <si>
    <t>Fuel Tech - Solar (COM)</t>
  </si>
  <si>
    <t>Solar (COM)</t>
  </si>
  <si>
    <t>Fuel Tech - Electricity (COM)</t>
  </si>
  <si>
    <t>Electricity (COM)</t>
  </si>
  <si>
    <t>Fuel Tech - Heat (COM)</t>
  </si>
  <si>
    <t>Heat (COM)</t>
  </si>
  <si>
    <t>RC1GEO000</t>
  </si>
  <si>
    <t>Water Heating</t>
  </si>
  <si>
    <t>Cooking</t>
  </si>
  <si>
    <t>Refrigeration</t>
  </si>
  <si>
    <t>GASWKSGS</t>
  </si>
  <si>
    <t>COKEOVGS</t>
  </si>
  <si>
    <t>ONONSPEC</t>
  </si>
  <si>
    <t>OVENCOKE</t>
  </si>
  <si>
    <t>Heavy Fuel Oil (AGR)</t>
  </si>
  <si>
    <t>Fuel Tech - Kerosene (AGR)</t>
  </si>
  <si>
    <t>Kerosene (AGR)</t>
  </si>
  <si>
    <t>Coal (AGR)</t>
  </si>
  <si>
    <t>Fuel Tech - Liquified Petroleum Gases (AGR)</t>
  </si>
  <si>
    <t>Liquified Petroleum Gases (AGR)</t>
  </si>
  <si>
    <t>Fuel Tech - Biofuels (AGR)</t>
  </si>
  <si>
    <t>Biofuels (AGR)</t>
  </si>
  <si>
    <t>Fuel Tech - Geothermal (AGR)</t>
  </si>
  <si>
    <t>Geothermal (AGR)</t>
  </si>
  <si>
    <t>Fuel Tech - Solar (AGR)</t>
  </si>
  <si>
    <t>Solar (AGR)</t>
  </si>
  <si>
    <t>Fuel Tech - Electricity (AGR)</t>
  </si>
  <si>
    <t>Electricity (AGR)</t>
  </si>
  <si>
    <t>Fuel Tech - Heat (AGR)</t>
  </si>
  <si>
    <t>Heat (AGR)</t>
  </si>
  <si>
    <t>Natural Gas (RES)</t>
  </si>
  <si>
    <t>Fuel Tech - Diesel (RES)</t>
  </si>
  <si>
    <t>Diesel (RES)</t>
  </si>
  <si>
    <t>Fuel Tech - Heavy Fuel Oil (RES)</t>
  </si>
  <si>
    <t>Heavy Fuel Oil (RES)</t>
  </si>
  <si>
    <t>Fuel Tech - Kerosene (RES)</t>
  </si>
  <si>
    <t>Kerosene (RES)</t>
  </si>
  <si>
    <t>Coal (RES)</t>
  </si>
  <si>
    <t>Fuel Tech - Liquified Petroleum Gases (RES)</t>
  </si>
  <si>
    <t>Liquified Petroleum Gases (RES)</t>
  </si>
  <si>
    <t xml:space="preserve">LPG </t>
  </si>
  <si>
    <t>Space Heating</t>
  </si>
  <si>
    <t>CH</t>
  </si>
  <si>
    <t>COT</t>
  </si>
  <si>
    <t>Commercial Other</t>
  </si>
  <si>
    <t>OILHFO</t>
  </si>
  <si>
    <t>OILCRD</t>
  </si>
  <si>
    <t>OILKER</t>
  </si>
  <si>
    <t>OILGSL</t>
  </si>
  <si>
    <t>OILDST</t>
  </si>
  <si>
    <t>RH1NGA000</t>
  </si>
  <si>
    <t>RH1DST000</t>
  </si>
  <si>
    <t>RH1HFO000</t>
  </si>
  <si>
    <t>RH1LPG000</t>
  </si>
  <si>
    <t>RH1BIO000</t>
  </si>
  <si>
    <t>RH1ERS000</t>
  </si>
  <si>
    <t>RH1EHP000</t>
  </si>
  <si>
    <t>RH1GEO000</t>
  </si>
  <si>
    <t>RH1HET000</t>
  </si>
  <si>
    <t>Table 1:  IEA Data</t>
  </si>
  <si>
    <t>Table 2: IEA Aggreg. Data</t>
  </si>
  <si>
    <t>RK2LPG000</t>
  </si>
  <si>
    <t>Commercial Hot Water</t>
  </si>
  <si>
    <t>CHW</t>
  </si>
  <si>
    <t>Agriculture</t>
  </si>
  <si>
    <t>CH1</t>
  </si>
  <si>
    <t>CH2</t>
  </si>
  <si>
    <t>CH3</t>
  </si>
  <si>
    <t>CC1</t>
  </si>
  <si>
    <t>CC2</t>
  </si>
  <si>
    <t>CC3</t>
  </si>
  <si>
    <t>Units</t>
  </si>
  <si>
    <t>Natural Gas</t>
  </si>
  <si>
    <t>Geothermal</t>
  </si>
  <si>
    <t>Solar</t>
  </si>
  <si>
    <t>Electricity</t>
  </si>
  <si>
    <t>Total</t>
  </si>
  <si>
    <t>PJ</t>
  </si>
  <si>
    <t xml:space="preserve"> </t>
  </si>
  <si>
    <t>Gasoline</t>
  </si>
  <si>
    <t>RH2</t>
  </si>
  <si>
    <t>RH1</t>
  </si>
  <si>
    <t>RC2</t>
  </si>
  <si>
    <t>RC1</t>
  </si>
  <si>
    <t>RC3</t>
  </si>
  <si>
    <t>RH3</t>
  </si>
  <si>
    <t>CC2EHP000</t>
  </si>
  <si>
    <t>CC3EHP000</t>
  </si>
  <si>
    <t>CC4EHP000</t>
  </si>
  <si>
    <t>CLAHID000</t>
  </si>
  <si>
    <t>RC1NHP000</t>
  </si>
  <si>
    <t>CH2DST000</t>
  </si>
  <si>
    <t>CH2HFO000</t>
  </si>
  <si>
    <t>CH2KER000</t>
  </si>
  <si>
    <t>CH2LPG000</t>
  </si>
  <si>
    <t>CH2BIO000</t>
  </si>
  <si>
    <t>Residential Other Energy</t>
  </si>
  <si>
    <t>Clothes Washers</t>
  </si>
  <si>
    <t>CH2HET000</t>
  </si>
  <si>
    <t>RES.HEAT.R2: .00.ELC.INS-REG.HEAT PUMP.AIR.STD.</t>
  </si>
  <si>
    <t>RES.HEAT.R2: .00.HET.INS-REG.EXCHANGER.</t>
  </si>
  <si>
    <t>RES.HEAT.R2: .00.GEO.INS-REG.HEAT PUMP.GROUND.STD.</t>
  </si>
  <si>
    <t>CTSLvl</t>
  </si>
  <si>
    <t>PeakTS</t>
  </si>
  <si>
    <t>Ctype</t>
  </si>
  <si>
    <t>DAYNITE</t>
  </si>
  <si>
    <t>LTHEAT</t>
  </si>
  <si>
    <t>RES: .00.NGA.CLOTH DRIERS.STD.</t>
  </si>
  <si>
    <t>RES: .00.ELC.CLOTH DRIERS.STD.</t>
  </si>
  <si>
    <t>RES.COOK.R1: .00.NGA.</t>
  </si>
  <si>
    <t xml:space="preserve">Regional Breakout of Heating </t>
  </si>
  <si>
    <t xml:space="preserve">Regional Breakout of Cooling </t>
  </si>
  <si>
    <t>RES.HEAT.R1: .00.NGA.INS-REG.BURNER.STD.</t>
  </si>
  <si>
    <t>RES.HEAT.R1: .00.NGA.INS-REG.HEAT PUMP.AIR.STD.</t>
  </si>
  <si>
    <t>RES.HEAT.R1: .00.DST.INS-REG.BURNER.IMP.</t>
  </si>
  <si>
    <t>RES.HEAT.R1: .00.KER.INS-REG.BURNER.</t>
  </si>
  <si>
    <t>RES.HEAT.R1: .00.LPG.INS-REG.BURNER.</t>
  </si>
  <si>
    <t>RES.HEAT.R1: .00.BIO.INS-REG.WOODSTOVES.</t>
  </si>
  <si>
    <t>Emission - Static coefficients</t>
  </si>
  <si>
    <t>RES.HEAT.R1: .00.ELC.INS-REG.RESISTANCE.</t>
  </si>
  <si>
    <t>RES.HEAT.R1: .00.HET.INS-REG.EXCHANGER.</t>
  </si>
  <si>
    <t>RES.HEAT.R1: .00.GEO.INS-REG.HEAT PUMP.GROUND.STD.</t>
  </si>
  <si>
    <t>RES.HEAT.R2: .00.NGA.INS-REG.BURNER.STD.</t>
  </si>
  <si>
    <t>RES.HEAT.R2: .00.NGA.INS-REG.HEAT PUMP.AIR.STD.</t>
  </si>
  <si>
    <t>RES.HEAT.R2: .00.DST.INS-REG.BURNER.IMP.</t>
  </si>
  <si>
    <t>RES.HEAT.R2: .00.KER.INS-REG.BURNER.</t>
  </si>
  <si>
    <t>RH1KER000</t>
  </si>
  <si>
    <t>RH2KER000</t>
  </si>
  <si>
    <t>Commodity</t>
  </si>
  <si>
    <t>Agricultural demand</t>
  </si>
  <si>
    <t>CLAKER000</t>
  </si>
  <si>
    <t>RK1</t>
  </si>
  <si>
    <t>RK1NGA000</t>
  </si>
  <si>
    <t>RK1KER000</t>
  </si>
  <si>
    <t>RK1ELC000</t>
  </si>
  <si>
    <t>RK1SOL000</t>
  </si>
  <si>
    <t>RK2</t>
  </si>
  <si>
    <t>RK2NGA000</t>
  </si>
  <si>
    <t>RK2KER000</t>
  </si>
  <si>
    <t>RK2ELC000</t>
  </si>
  <si>
    <t>RK2SOL000</t>
  </si>
  <si>
    <t>OILNGL</t>
  </si>
  <si>
    <t>OILFEE</t>
  </si>
  <si>
    <t>OILADD</t>
  </si>
  <si>
    <t>OILNCR</t>
  </si>
  <si>
    <t>OILAVG</t>
  </si>
  <si>
    <t>OILJTG</t>
  </si>
  <si>
    <t>OILJTK</t>
  </si>
  <si>
    <t>OILNAP</t>
  </si>
  <si>
    <t>OILWSP</t>
  </si>
  <si>
    <t>OILLUB</t>
  </si>
  <si>
    <t>OILASP</t>
  </si>
  <si>
    <t>OILWAX</t>
  </si>
  <si>
    <t>GASRFG</t>
  </si>
  <si>
    <t>GASETH</t>
  </si>
  <si>
    <t>BIOMET</t>
  </si>
  <si>
    <t>BIOETH</t>
  </si>
  <si>
    <t>Trends in Canada's Greenhouse Gas Emissions ; 1990-1995. Environment Canada, 1997.</t>
  </si>
  <si>
    <t>RK1LPG000</t>
  </si>
  <si>
    <t>CC1NGA000</t>
  </si>
  <si>
    <t>CC1DST000</t>
  </si>
  <si>
    <t>CC1GEO000</t>
  </si>
  <si>
    <t>CC2NGA000</t>
  </si>
  <si>
    <t>CC2DST000</t>
  </si>
  <si>
    <t>CC2GEO000</t>
  </si>
  <si>
    <t>Share of total</t>
  </si>
  <si>
    <t>RH1NHP000</t>
  </si>
  <si>
    <t>RH2NHP000</t>
  </si>
  <si>
    <t>CHWKER000</t>
  </si>
  <si>
    <t>CHWHFO000</t>
  </si>
  <si>
    <t>RL4FLE000</t>
  </si>
  <si>
    <t>\I:</t>
  </si>
  <si>
    <t>RES.COOK.R1: .00.KER.</t>
  </si>
  <si>
    <t>RES.COOK.R1: .00.LPG.</t>
  </si>
  <si>
    <t>RES.COOK.R1: .00.ELC.</t>
  </si>
  <si>
    <t>RES.COOK.R1: .00.BIO.</t>
  </si>
  <si>
    <t>RES.COOK.R1: .00.SOL.</t>
  </si>
  <si>
    <t>RES.COOK.R2: .00.NGA.</t>
  </si>
  <si>
    <t>RES.COOK.R2: .00.KER.</t>
  </si>
  <si>
    <t>RES.COOK.R2: .00.LPG.</t>
  </si>
  <si>
    <t>RES.COOK.R2: .00.ELC.</t>
  </si>
  <si>
    <t>RES.COOK.R2: .00.BIO.</t>
  </si>
  <si>
    <t>RES.COOK.R2: .00.SOL.</t>
  </si>
  <si>
    <t>RES: .00.ELC.DISH WASHER.STD.</t>
  </si>
  <si>
    <t>Fuel Tech - Heat (COM) - New</t>
  </si>
  <si>
    <t>RES: .00.ELC.EQUIPMENT.MISCELLANEOUS.</t>
  </si>
  <si>
    <t>RES: .00.DST.EQUIPMENT.OTHERS.</t>
  </si>
  <si>
    <t>Commercial Sector N2O</t>
  </si>
  <si>
    <t>Agriculture Sector CO2</t>
  </si>
  <si>
    <t>RL2</t>
  </si>
  <si>
    <t>RL2KER000</t>
  </si>
  <si>
    <t>RL2ICE000</t>
  </si>
  <si>
    <t>RL2HAE000</t>
  </si>
  <si>
    <t>RL2FLE000</t>
  </si>
  <si>
    <t>RES: .00.KER.EQUIPMENT.OTHERS.</t>
  </si>
  <si>
    <t>MUNWASTEN,MUNWASTER</t>
  </si>
  <si>
    <t>RESIDENT</t>
  </si>
  <si>
    <t>AGRICULT</t>
  </si>
  <si>
    <t>~COUNTRY</t>
  </si>
  <si>
    <t>~YEAR</t>
  </si>
  <si>
    <t>~UNITS</t>
  </si>
  <si>
    <t>~-COUNTRY</t>
  </si>
  <si>
    <t>~IEAStats</t>
  </si>
  <si>
    <t>HARDCOAL,PATFUEL,ANTCOAL,BITCOAL</t>
  </si>
  <si>
    <t>PEAT,BKB,BROWN,SUBCOAL,LIGNITE</t>
  </si>
  <si>
    <t>RES+AGR</t>
  </si>
  <si>
    <t>Share~UP~2010</t>
  </si>
  <si>
    <t>DEMAND</t>
  </si>
  <si>
    <t>CZECH,HUNGARY,POLAND,TURKEY,SLOVAKIA</t>
  </si>
  <si>
    <t>\I: RESID</t>
  </si>
  <si>
    <t>~FI_Comm</t>
  </si>
  <si>
    <t>CSet</t>
  </si>
  <si>
    <t>CommName</t>
  </si>
  <si>
    <t>CommDesc</t>
  </si>
  <si>
    <t>Unit</t>
  </si>
  <si>
    <t>Commercial Space Heat - Region 1</t>
  </si>
  <si>
    <t>Residential Space Heat - Region 1</t>
  </si>
  <si>
    <t>Residential Cooking - Region 1</t>
  </si>
  <si>
    <t>Residential Lighting - Region 1</t>
  </si>
  <si>
    <t>ENV</t>
  </si>
  <si>
    <t>ELCD</t>
  </si>
  <si>
    <t>Table 10:  Fuels split by sub-region (Fractional Shares)</t>
  </si>
  <si>
    <t>Table 11:  Fuels split by end-use (Absolute Values)</t>
  </si>
  <si>
    <t>Residential, Commercial, Agriculture</t>
  </si>
  <si>
    <t>IEA Data</t>
  </si>
  <si>
    <t>IEA Data Aggregations</t>
  </si>
  <si>
    <t>Assumptions</t>
  </si>
  <si>
    <t>Names</t>
  </si>
  <si>
    <t>Descriptions, etc.</t>
  </si>
  <si>
    <t>Used in technology sheets</t>
  </si>
  <si>
    <t>User constraints</t>
  </si>
  <si>
    <t>NATGAS</t>
  </si>
  <si>
    <t>ELECTR</t>
  </si>
  <si>
    <t>LPG</t>
  </si>
  <si>
    <t>TOTAL</t>
  </si>
  <si>
    <t>COMMPUB</t>
  </si>
  <si>
    <t>HEAT</t>
  </si>
  <si>
    <t>OTHKERO</t>
  </si>
  <si>
    <t>RESFUEL</t>
  </si>
  <si>
    <t>GASDIES</t>
  </si>
  <si>
    <t>Coal-Commercial</t>
  </si>
  <si>
    <t>Dist</t>
  </si>
  <si>
    <t>Heat</t>
  </si>
  <si>
    <t>RESNGA</t>
  </si>
  <si>
    <t>RESDST</t>
  </si>
  <si>
    <t>RESCOA</t>
  </si>
  <si>
    <t>RESLPG</t>
  </si>
  <si>
    <t>RESBIO</t>
  </si>
  <si>
    <t>RESELC</t>
  </si>
  <si>
    <t>RESHET</t>
  </si>
  <si>
    <t>COMNGA</t>
  </si>
  <si>
    <t>COMDST</t>
  </si>
  <si>
    <t>^IEA_O</t>
  </si>
  <si>
    <t>^IEA_ASO</t>
  </si>
  <si>
    <t>MOTORGAS</t>
  </si>
  <si>
    <t>AGRNGA</t>
  </si>
  <si>
    <t>AGRDST</t>
  </si>
  <si>
    <t>AGRCOA</t>
  </si>
  <si>
    <t>AGRLPG</t>
  </si>
  <si>
    <t>AGRBIO</t>
  </si>
  <si>
    <t>AGRELC</t>
  </si>
  <si>
    <t>AGRHET</t>
  </si>
  <si>
    <t>AGR</t>
  </si>
  <si>
    <t>Agriculture Demand</t>
  </si>
  <si>
    <t>GASNGA</t>
  </si>
  <si>
    <t>COAHCO</t>
  </si>
  <si>
    <t>COABCO</t>
  </si>
  <si>
    <t>COAOVC</t>
  </si>
  <si>
    <t>GASGWG</t>
  </si>
  <si>
    <t>GASCOG</t>
  </si>
  <si>
    <t>COMCOA</t>
  </si>
  <si>
    <t>COMLPG</t>
  </si>
  <si>
    <t>COMBIO</t>
  </si>
  <si>
    <t>COMELC</t>
  </si>
  <si>
    <t>COMHET</t>
  </si>
  <si>
    <t>Residential Heating - Region 1</t>
  </si>
  <si>
    <t>Fuel Tech - Biofuels (RES)</t>
  </si>
  <si>
    <t>Biofuels (RES)</t>
  </si>
  <si>
    <t>Fuel Tech - Geothermal (RES)</t>
  </si>
  <si>
    <t>Geothermal (RES)</t>
  </si>
  <si>
    <t>Fuel Tech - Solar (RES)</t>
  </si>
  <si>
    <t>Solar (RES)</t>
  </si>
  <si>
    <t>BSL</t>
  </si>
  <si>
    <t>BLQ</t>
  </si>
  <si>
    <t>BMU</t>
  </si>
  <si>
    <t>BIN</t>
  </si>
  <si>
    <t>Region1</t>
  </si>
  <si>
    <t>COM.HEAT.R1: .00.NGA.HEAT PUMP.STD.</t>
  </si>
  <si>
    <t>COM.HEAT.R1: .00.DST.BURNER.STD.</t>
  </si>
  <si>
    <t>COM.HEAT.R1: .00.HFO.BOILER.STD.</t>
  </si>
  <si>
    <t>COM.HEAT.R1: .00.KER.</t>
  </si>
  <si>
    <t>COM.HEAT.R1: .00.LPG.</t>
  </si>
  <si>
    <t>COM.HEAT.R1: .00.BIO.BURNER.</t>
  </si>
  <si>
    <t>COM.HEAT.R1: .00.ELC.RESISTANCE.</t>
  </si>
  <si>
    <t>COM.HEAT.R1: .00.ELC.HEAT PUMP.AIR.STD.</t>
  </si>
  <si>
    <t>COM.HEAT.R1: .00.HET.EXCHANGER.</t>
  </si>
  <si>
    <t>COM.HEAT.R1: .00.GEO.EXCHANGER.</t>
  </si>
  <si>
    <t>COM.HEAT.R2: .00.NGA.BURNER.STD.</t>
  </si>
  <si>
    <t>COM.HEAT.R2: .00.NGA.HEAT PUMP.STD.</t>
  </si>
  <si>
    <t>FIXOM~2030</t>
  </si>
  <si>
    <t>COM.HEAT.R2: .00.DST.BURNER.STD.</t>
  </si>
  <si>
    <t>COM.HEAT.R2: .00.HFO.BOILER.STD.</t>
  </si>
  <si>
    <t>COM.HEAT.R2: .00.KER.</t>
  </si>
  <si>
    <t>COM.HEAT.R2: .00.LPG.</t>
  </si>
  <si>
    <t>COM.HEAT.R2: .00.BIO.BURNER.</t>
  </si>
  <si>
    <t>COM.HEAT.R2: .00.ELC.RESISTANCE.</t>
  </si>
  <si>
    <t>COM.HEAT.R2: .00.ELC.HEAT PUMP.AIR.STD.</t>
  </si>
  <si>
    <t>COM.HEAT.R2: .00.HET.EXCHANGER.</t>
  </si>
  <si>
    <t>COM.HEAT.R2: .00.GEO.EXCHANGER.</t>
  </si>
  <si>
    <t>COEELC000</t>
  </si>
  <si>
    <t>COE</t>
  </si>
  <si>
    <t>COTELC000</t>
  </si>
  <si>
    <t>CRFELC000</t>
  </si>
  <si>
    <t>Commercial Cooking</t>
  </si>
  <si>
    <t>CCKNGA000</t>
  </si>
  <si>
    <t>CCKLPG000</t>
  </si>
  <si>
    <t>CCKKER000</t>
  </si>
  <si>
    <t>COM.COOL.R1: .00.NGA.CHILLER.ABSORPTION.</t>
  </si>
  <si>
    <t>COM.COOL.R1: .00.DST.CHILLER.</t>
  </si>
  <si>
    <t>COM.COOL.R1: .00.GEO.HEAT PUMP.IMP.</t>
  </si>
  <si>
    <t>COM.COOL.R1: .00.ELC.CENTRAL.</t>
  </si>
  <si>
    <t>COM.COOL.R1: .00.ELC.HEAT PUMP.AIR.STD.</t>
  </si>
  <si>
    <t>COM.COOL.R1: .00.ELC.CHILLER.ROOFTOP.STD.</t>
  </si>
  <si>
    <t>COM.COOL.R2: .00.NGA.CHILLER.ABSORPTION.</t>
  </si>
  <si>
    <t>COM.COOL.R2: .00.DST.CHILLER.</t>
  </si>
  <si>
    <t>COM.COOL.R2: .00.GEO.HEAT PUMP.IMP.</t>
  </si>
  <si>
    <t>COM.COOL.R2: .00.ELC.CENTRAL.</t>
  </si>
  <si>
    <t>COM.COOL.R2: .00.ELC.HEAT PUMP.AIR.STD.</t>
  </si>
  <si>
    <t>COM.COOL.R2: .00.ELC.CHILLER.ROOFTOP.STD.</t>
  </si>
  <si>
    <t>RESCO2P</t>
  </si>
  <si>
    <t>AGRCO2P</t>
  </si>
  <si>
    <t>Residential Lighting-Region 1</t>
  </si>
  <si>
    <t>RL1</t>
  </si>
  <si>
    <t>RL1KER000</t>
  </si>
  <si>
    <t>RL1ICE000</t>
  </si>
  <si>
    <t>RL1HAE000</t>
  </si>
  <si>
    <t>RL1FLE000</t>
  </si>
  <si>
    <t>RES.COOL.R1: .00.NGA.INS-REG.HEAT PUMP.AIR.STD.</t>
  </si>
  <si>
    <t>RES.COOL.R1: .00.GEO.INS-REG.HEAT PUMP.GROUND.STD.</t>
  </si>
  <si>
    <t>RES.COOL.R1: .00.ELC.INS-REG.CENTRAL.STD.</t>
  </si>
  <si>
    <t>RES.COOL.R1: .00.ELC.INS-REG.HEAT PUMP.AIR.STD.</t>
  </si>
  <si>
    <t>RES.COOL.R1: .00.ELC.INS-REG.ROOM.STD.</t>
  </si>
  <si>
    <t>RES.COOL.R2: .00.NGA.INS-REG.HEAT PUMP.AIR.STD.</t>
  </si>
  <si>
    <t>RES.COOL.R2: .00.GEO.INS-REG.HEAT PUMP.GROUND.STD.</t>
  </si>
  <si>
    <t>RES.COOL.R2: .00.ELC.INS-REG.CENTRAL.STD.</t>
  </si>
  <si>
    <t>Fuel Tech - Natural Gas Mix (AGR)</t>
  </si>
  <si>
    <t>Residential</t>
  </si>
  <si>
    <t>Table 3:  Fuels split by end-use (Fractional Shares)</t>
  </si>
  <si>
    <t>Table 4:  Fuels split by sub-region (Fractional Shares)</t>
  </si>
  <si>
    <t>Table 5:  Fuels split by end-use (Absolute Values)</t>
  </si>
  <si>
    <t>currently no technology available</t>
  </si>
  <si>
    <t>Commercial</t>
  </si>
  <si>
    <t>Table 7:  IEA Data</t>
  </si>
  <si>
    <t>Table 8: IEA Aggreg. Data</t>
  </si>
  <si>
    <t>Table 9:  Fuels split by end-use (Fractional Shares)</t>
  </si>
  <si>
    <t>Table 12:  IEA Data</t>
  </si>
  <si>
    <t>Table 13: IEA Aggreg. Data</t>
  </si>
  <si>
    <t>Fuel Tech - Natural Gas Mix (RES)</t>
  </si>
  <si>
    <t>Fuel Tech - Natural Gas Mix (COM)</t>
  </si>
  <si>
    <t>RES.COOL.R2: .00.ELC.INS-REG.HEAT PUMP.AIR.STD.</t>
  </si>
  <si>
    <t>RES.COOL.R2: .00.ELC.INS-REG.ROOM.STD.</t>
  </si>
  <si>
    <t>START</t>
  </si>
  <si>
    <t>EFF</t>
  </si>
  <si>
    <t>AF</t>
  </si>
  <si>
    <t>VAROM</t>
  </si>
  <si>
    <t>FIXOM</t>
  </si>
  <si>
    <t>INVCOST</t>
  </si>
  <si>
    <t>Input</t>
  </si>
  <si>
    <t>Output</t>
  </si>
  <si>
    <t>RESID</t>
  </si>
  <si>
    <t>RES: .00.NGA.WATER HEATER.STD.</t>
  </si>
  <si>
    <t>RES: .00.DST.WATER HEATER.STD.</t>
  </si>
  <si>
    <t>RES: .00.LPG.WATER HEATER.STD.</t>
  </si>
  <si>
    <t>RES: .00.BIO.WATER HEATER.STD.</t>
  </si>
  <si>
    <t>RES: .00.ELC.WATER HEATER.STD.</t>
  </si>
  <si>
    <t>RES: .00.SOL.WATER HEATER.STD.</t>
  </si>
  <si>
    <t>RES: .00.ELC.REFRIGERATORS.STD.</t>
  </si>
  <si>
    <t>RES: .00.ELC.FREEZERS.STD.</t>
  </si>
  <si>
    <t>RES: .00.ELC.CLOTH WASHING.STD.</t>
  </si>
  <si>
    <t>RES.LIGH.R2: .00.ELC.HALOGEN.</t>
  </si>
  <si>
    <t>RES.LIGH.R2: .00.ELC.FLUORESCENT.BASELINE.</t>
  </si>
  <si>
    <t>COM.HEAT.R1: .00.NGA.BURNER.STD.</t>
  </si>
  <si>
    <t>RL3</t>
  </si>
  <si>
    <t>RL3ICE000</t>
  </si>
  <si>
    <t>RL3HAE000</t>
  </si>
  <si>
    <t>RL3FLE000</t>
  </si>
  <si>
    <t>Technologies to produce Residential sector fuels</t>
  </si>
  <si>
    <t>RK1DST000</t>
  </si>
  <si>
    <t>RES.COOK.R1: .00.DST.</t>
  </si>
  <si>
    <t>RK2DST000</t>
  </si>
  <si>
    <t>RES.COOK.R2: .00.DST.</t>
  </si>
  <si>
    <t>CHWGEO000</t>
  </si>
  <si>
    <t>COM: .00.GEO.WATER HEATER.STD.</t>
  </si>
  <si>
    <t>CHWHET000</t>
  </si>
  <si>
    <t>COM: .00.HET.WATER HEATER.STD.</t>
  </si>
  <si>
    <t>CCKSOL000</t>
  </si>
  <si>
    <t>COM: .00.SOL.COOKING.</t>
  </si>
  <si>
    <t>RES: .00.HET.WATER HEATER.STD.</t>
  </si>
  <si>
    <t>RES: .00.GEO.WATER HEATER.STD.</t>
  </si>
  <si>
    <t>RES: .00.HFO.WATER HEATER.STD.</t>
  </si>
  <si>
    <t>Technologies to produce Commercial sector fuels</t>
  </si>
  <si>
    <t>HET</t>
  </si>
  <si>
    <t>Heavy</t>
  </si>
  <si>
    <t>RESHFO</t>
  </si>
  <si>
    <t>Kerosene</t>
  </si>
  <si>
    <t>RESKER</t>
  </si>
  <si>
    <t>GEOTHERM</t>
  </si>
  <si>
    <t>GEO</t>
  </si>
  <si>
    <t>SOL</t>
  </si>
  <si>
    <t>RESGEO</t>
  </si>
  <si>
    <t>RESSOL</t>
  </si>
  <si>
    <t>AGRHFO</t>
  </si>
  <si>
    <t>AGRKER</t>
  </si>
  <si>
    <t>SBIOMASS</t>
  </si>
  <si>
    <t>CHARCOAL</t>
  </si>
  <si>
    <t>INDWASTE</t>
  </si>
  <si>
    <t>Biomass</t>
  </si>
  <si>
    <t>BIOCHR</t>
  </si>
  <si>
    <t xml:space="preserve">Sector fuel production - Electricity </t>
  </si>
  <si>
    <t>Sector fuel production</t>
  </si>
  <si>
    <t>Demand</t>
  </si>
  <si>
    <t>Share of agriculture fuels</t>
  </si>
  <si>
    <t>Existing technologies</t>
  </si>
  <si>
    <t>Technologies to produce Agriculture sector fuels</t>
  </si>
  <si>
    <t>COMHFO</t>
  </si>
  <si>
    <t>COMKER</t>
  </si>
  <si>
    <t>RH4</t>
  </si>
  <si>
    <t>Residential Cooling - Region 1</t>
  </si>
  <si>
    <t>Residential Cooling - Region 2</t>
  </si>
  <si>
    <t>RC4</t>
  </si>
  <si>
    <t>SOLARPV,SOLARTH</t>
  </si>
  <si>
    <t/>
  </si>
  <si>
    <t>RC2GEO000</t>
  </si>
  <si>
    <t>RC1EHP000</t>
  </si>
  <si>
    <t>RC2EHP000</t>
  </si>
  <si>
    <t>RC3EHP000</t>
  </si>
  <si>
    <t>RC4EHP000</t>
  </si>
  <si>
    <t>Residential Other</t>
  </si>
  <si>
    <t>CL</t>
  </si>
  <si>
    <t>RC2NHP000</t>
  </si>
  <si>
    <t>RL4</t>
  </si>
  <si>
    <t>RL4ICE000</t>
  </si>
  <si>
    <t>RL4HAE000</t>
  </si>
  <si>
    <t>RH4ERS000</t>
  </si>
  <si>
    <t>RC1CAE000</t>
  </si>
  <si>
    <t>RC1RAE000</t>
  </si>
  <si>
    <t>RC2CAE000</t>
  </si>
  <si>
    <t>RC2RAE000</t>
  </si>
  <si>
    <t>RC3CAE000</t>
  </si>
  <si>
    <t>RC4CAE000</t>
  </si>
  <si>
    <t>CHWBIO000</t>
  </si>
  <si>
    <t>COM: .00.BIO.WATER HEATER.STD.</t>
  </si>
  <si>
    <t>RRFRFE000</t>
  </si>
  <si>
    <t>RRFFRE000</t>
  </si>
  <si>
    <t>RCDNGA000</t>
  </si>
  <si>
    <t>RCDELC000</t>
  </si>
  <si>
    <t>RCWELC000</t>
  </si>
  <si>
    <t>RDWELC000</t>
  </si>
  <si>
    <t>CH1DST000</t>
  </si>
  <si>
    <t>CH1HFO000</t>
  </si>
  <si>
    <t>CH1KER000</t>
  </si>
  <si>
    <t>CH1LPG000</t>
  </si>
  <si>
    <t>CH1BIO000</t>
  </si>
  <si>
    <t>CH1HET000</t>
  </si>
  <si>
    <t>Miscellaneous Electric Energy</t>
  </si>
  <si>
    <t>ROT</t>
  </si>
  <si>
    <t>Residential Other  Electric</t>
  </si>
  <si>
    <t>REA</t>
  </si>
  <si>
    <t>Commercial Refrigeration</t>
  </si>
  <si>
    <t>Commercial Office Equipment</t>
  </si>
  <si>
    <t xml:space="preserve">REA </t>
  </si>
  <si>
    <t>REAELC000</t>
  </si>
  <si>
    <t>ROTDST000</t>
  </si>
  <si>
    <t>ROTLPG000</t>
  </si>
  <si>
    <t>District heat</t>
  </si>
  <si>
    <t>OILNSP</t>
  </si>
  <si>
    <t>RH2NGA000</t>
  </si>
  <si>
    <t>RH2DST000</t>
  </si>
  <si>
    <t>RH2HFO000</t>
  </si>
  <si>
    <t>RH2LPG000</t>
  </si>
  <si>
    <t>RH2BIO000</t>
  </si>
  <si>
    <t>RH2ERS000</t>
  </si>
  <si>
    <t>RH2GEO000</t>
  </si>
  <si>
    <t>WEU</t>
  </si>
  <si>
    <t>RH3NGA000</t>
  </si>
  <si>
    <t>RH3ERS000</t>
  </si>
  <si>
    <t>RH4NGA000</t>
  </si>
  <si>
    <t>ROTKER000</t>
  </si>
  <si>
    <t>ROTBIO000</t>
  </si>
  <si>
    <t>CAPUNIT</t>
  </si>
  <si>
    <t>CF</t>
  </si>
  <si>
    <t>Distallate</t>
  </si>
  <si>
    <t>Coal</t>
  </si>
  <si>
    <t>LPG (called propane in nrc)</t>
  </si>
  <si>
    <t>RESIDs relaxation factor</t>
  </si>
  <si>
    <t>ROTNGA000</t>
  </si>
  <si>
    <t>COTNGA000</t>
  </si>
  <si>
    <t>Agriculture Sector CH4</t>
  </si>
  <si>
    <t>Agriculture Sector N2O</t>
  </si>
  <si>
    <t>Residential Sector CO2</t>
  </si>
  <si>
    <t>Residential Sector CH4</t>
  </si>
  <si>
    <t>Residential Sector N2O</t>
  </si>
  <si>
    <t>COM: .00.LPG.WATER HEATER.STD.</t>
  </si>
  <si>
    <t>COM: .00.ELC.WATER HEATER.STD.</t>
  </si>
  <si>
    <t>COM: .00.SOL.WATER HEATER.STD.</t>
  </si>
  <si>
    <t>COM.LIGH: .00.KER.LAMP.</t>
  </si>
  <si>
    <t>Sector fuel production - Existing</t>
  </si>
  <si>
    <t>Sector fuel production - New</t>
  </si>
  <si>
    <t>Fuel Tech - Natural Gas Mix (RES) - New</t>
  </si>
  <si>
    <t>Fuel Tech - Diesel (RES) - New</t>
  </si>
  <si>
    <t>Fuel Tech - Kerosene (RES) - New</t>
  </si>
  <si>
    <t>Fuel Tech - Liquified Petroleum Gases (RES) - New</t>
  </si>
  <si>
    <t>Fuel Tech - Biofuels (RES) - New</t>
  </si>
  <si>
    <t>Fuel Tech - Geothermal (RES) - New</t>
  </si>
  <si>
    <t>Fuel Tech - Solar (RES) - New</t>
  </si>
  <si>
    <t>Fuel Tech - Natural Gas Mix (COM) - New</t>
  </si>
  <si>
    <t>~FI_Process</t>
  </si>
  <si>
    <t>Sets</t>
  </si>
  <si>
    <t>Tact</t>
  </si>
  <si>
    <t>Tcap</t>
  </si>
  <si>
    <t>Tslvl</t>
  </si>
  <si>
    <t>PrimaryCG</t>
  </si>
  <si>
    <t>Vintage</t>
  </si>
  <si>
    <t>PJ_a</t>
  </si>
  <si>
    <t>NO</t>
  </si>
  <si>
    <t>IEA DATA</t>
  </si>
  <si>
    <t>COL</t>
  </si>
  <si>
    <t>ROW</t>
  </si>
  <si>
    <t>C</t>
  </si>
  <si>
    <t>D</t>
  </si>
  <si>
    <t>E</t>
  </si>
  <si>
    <t>F</t>
  </si>
  <si>
    <t>G</t>
  </si>
  <si>
    <t>H</t>
  </si>
  <si>
    <t>I</t>
  </si>
  <si>
    <t>J</t>
  </si>
  <si>
    <t>K</t>
  </si>
  <si>
    <t>L</t>
  </si>
  <si>
    <t>CC</t>
  </si>
  <si>
    <t>A</t>
  </si>
  <si>
    <t>RegIndex</t>
  </si>
  <si>
    <t>Regions</t>
  </si>
  <si>
    <t>Region</t>
  </si>
  <si>
    <t>Tiny</t>
  </si>
  <si>
    <t>Cell</t>
  </si>
  <si>
    <t>Sheet</t>
  </si>
  <si>
    <t>Process</t>
  </si>
  <si>
    <t>Regional dataspan:</t>
  </si>
  <si>
    <t>Region2</t>
  </si>
  <si>
    <t>Region3</t>
  </si>
  <si>
    <t>Region4</t>
  </si>
  <si>
    <t>Table 14: IEA Disaggreg. Data</t>
  </si>
  <si>
    <t>Machinery</t>
  </si>
  <si>
    <t>Appliances</t>
  </si>
  <si>
    <t>AGRMAC00</t>
  </si>
  <si>
    <t>AGRAPP00</t>
  </si>
  <si>
    <t>Agriculture Machinery Existing</t>
  </si>
  <si>
    <t>Agriculture Heat NGA</t>
  </si>
  <si>
    <t>Agriculture Appliance Existing</t>
  </si>
  <si>
    <t>CEFF</t>
  </si>
  <si>
    <t>CEFF~2050</t>
  </si>
  <si>
    <t>CEFF~2100</t>
  </si>
  <si>
    <t>Share~UP</t>
  </si>
  <si>
    <t>Share~UP~2030</t>
  </si>
  <si>
    <t>Share~UP~2050</t>
  </si>
  <si>
    <t>Share~UP~2100</t>
  </si>
  <si>
    <t>Share~UP~2020</t>
  </si>
  <si>
    <t>Emissions on flows</t>
  </si>
  <si>
    <t>~FI_T: FLO_EMIS</t>
  </si>
  <si>
    <t>CommGrp</t>
  </si>
  <si>
    <t>BIODST</t>
  </si>
  <si>
    <t>Biodiesel</t>
  </si>
  <si>
    <t>NRG</t>
  </si>
  <si>
    <t>Agriculture Heat DST</t>
  </si>
  <si>
    <t>Agriculture Heat HFO</t>
  </si>
  <si>
    <t>Agriculture Heat KER</t>
  </si>
  <si>
    <t>Agriculture Heat LPG</t>
  </si>
  <si>
    <t>Agriculture Heat BIO</t>
  </si>
  <si>
    <t>Agriculture Heat ELC</t>
  </si>
  <si>
    <t>Agriculture Heat HET</t>
  </si>
  <si>
    <t>Agriculture Heat GEO</t>
  </si>
  <si>
    <t>Agriculture Heat SOL</t>
  </si>
  <si>
    <t>Commercial Space Heat - Region 2</t>
  </si>
  <si>
    <t>Residential Space Heat - Region 2</t>
  </si>
  <si>
    <t>Residential Cooking - Region 2</t>
  </si>
  <si>
    <t>Residential Lighting - Region 2</t>
  </si>
  <si>
    <t>\I:Service Demand</t>
  </si>
  <si>
    <t>Default max. Share of Coal:</t>
  </si>
  <si>
    <t>Relaxation factor for Shares:</t>
  </si>
  <si>
    <t>Market share constraints</t>
  </si>
  <si>
    <t>BD</t>
  </si>
  <si>
    <t>\I: Rate</t>
  </si>
  <si>
    <t>\I: Max/Min Share</t>
  </si>
  <si>
    <t>\I:Description</t>
  </si>
  <si>
    <t>UP</t>
  </si>
  <si>
    <t>LO</t>
  </si>
  <si>
    <t>\I: Constraints for RL</t>
  </si>
  <si>
    <t>\I: Constraints for RK</t>
  </si>
  <si>
    <t>\I: Constraints for CH</t>
  </si>
  <si>
    <t>\I: Constraints for CHW</t>
  </si>
  <si>
    <t>\I: Constraints for CLA</t>
  </si>
  <si>
    <t>\I: Constraints for CCK</t>
  </si>
  <si>
    <t>RHBIO</t>
  </si>
  <si>
    <t>-</t>
  </si>
  <si>
    <t>Service</t>
  </si>
  <si>
    <t>Minimum electricity</t>
  </si>
  <si>
    <t>DELIV</t>
  </si>
  <si>
    <t>RH-tot</t>
  </si>
  <si>
    <t>Minimum district heat</t>
  </si>
  <si>
    <t>Maximum coal</t>
  </si>
  <si>
    <t>\I: Start</t>
  </si>
  <si>
    <t>\I: Log</t>
  </si>
  <si>
    <t>Maximum district heat</t>
  </si>
  <si>
    <t>Maximum biomass</t>
  </si>
  <si>
    <t>\I: Reserve</t>
  </si>
  <si>
    <t>G-RL+</t>
  </si>
  <si>
    <t>G-RK+</t>
  </si>
  <si>
    <t>Maximum solid fuels</t>
  </si>
  <si>
    <t>Maximum solar</t>
  </si>
  <si>
    <t>Maximum liquid/gas</t>
  </si>
  <si>
    <t>G-CH+</t>
  </si>
  <si>
    <t>\I: Constraints for RH by sub</t>
  </si>
  <si>
    <t>\I: Constraints for CH by sub</t>
  </si>
  <si>
    <t>FIN</t>
  </si>
  <si>
    <t>RH combined group</t>
  </si>
  <si>
    <t>RL combined group</t>
  </si>
  <si>
    <t>CH combined group</t>
  </si>
  <si>
    <t>RK combined group</t>
  </si>
  <si>
    <t>N</t>
  </si>
  <si>
    <t>Maximum kerosine</t>
  </si>
  <si>
    <t>ACT_BND~UP</t>
  </si>
  <si>
    <t>ACT_BND~2050~UP</t>
  </si>
  <si>
    <t>ACT_BND~2100~UP</t>
  </si>
  <si>
    <t>\I: Share~FX</t>
  </si>
  <si>
    <t>Minimum incandescent</t>
  </si>
  <si>
    <t>~COMAGG_R1C2</t>
  </si>
  <si>
    <t>AGRLTH</t>
  </si>
  <si>
    <t>FLO_MARK~FX</t>
  </si>
  <si>
    <t>FLO_MARK~FX~2050</t>
  </si>
  <si>
    <t>Low temp heat (AGR)</t>
  </si>
  <si>
    <t>ANNUAL</t>
  </si>
  <si>
    <t>\I: Constraints for AGRLTH</t>
  </si>
  <si>
    <t>Maximum natural gas</t>
  </si>
  <si>
    <t>FLO_MARK~FX~2100</t>
  </si>
  <si>
    <t>AGHELC00</t>
  </si>
  <si>
    <t>AGHNGA00</t>
  </si>
  <si>
    <t>AGHHET00</t>
  </si>
  <si>
    <t>AGHBIO00</t>
  </si>
  <si>
    <t>AGHDST00</t>
  </si>
  <si>
    <t>AGHHFO00</t>
  </si>
  <si>
    <t>AGHKER00</t>
  </si>
  <si>
    <t>AGHLPG00</t>
  </si>
  <si>
    <t>AGHGEO00</t>
  </si>
  <si>
    <t>AGHSOL00</t>
  </si>
  <si>
    <t>ACT_BND~2050~LO</t>
  </si>
  <si>
    <t>ACT_BND~0~LO</t>
  </si>
  <si>
    <t>DNK</t>
  </si>
  <si>
    <t>NOR</t>
  </si>
  <si>
    <t>SWE</t>
  </si>
  <si>
    <t>CCLELC</t>
  </si>
  <si>
    <t>CLAELC</t>
  </si>
  <si>
    <t>COEELC</t>
  </si>
  <si>
    <t>COTELC</t>
  </si>
  <si>
    <t>RCLELC</t>
  </si>
  <si>
    <t>RLAELC</t>
  </si>
  <si>
    <t>RRFELC</t>
  </si>
  <si>
    <t>ROTELC</t>
  </si>
  <si>
    <t>RHTELC</t>
  </si>
  <si>
    <t>RHPELC</t>
  </si>
  <si>
    <t>RWPELC</t>
  </si>
  <si>
    <t>CHTELC</t>
  </si>
  <si>
    <t>CHPELC</t>
  </si>
  <si>
    <t>CWHELC</t>
  </si>
  <si>
    <t>Electricity (CCL)</t>
  </si>
  <si>
    <t>Electricity (CLA)</t>
  </si>
  <si>
    <t>Electricity (COE)</t>
  </si>
  <si>
    <t>Electricity (COT)</t>
  </si>
  <si>
    <t>Electricity (RCL)</t>
  </si>
  <si>
    <t>Electricity (RLA)</t>
  </si>
  <si>
    <t>Electricity (RRF)</t>
  </si>
  <si>
    <t>Electricity (ROT)</t>
  </si>
  <si>
    <t>Electricity (RHT)</t>
  </si>
  <si>
    <t>Electricity (RHP)</t>
  </si>
  <si>
    <t>Electricity (RWP)</t>
  </si>
  <si>
    <t>Electricity (CHT)</t>
  </si>
  <si>
    <t>Electricity (CHP)</t>
  </si>
  <si>
    <t>Electricity (CWH)</t>
  </si>
  <si>
    <t>RESELC100</t>
  </si>
  <si>
    <t>COMELC100</t>
  </si>
  <si>
    <t>INPUT</t>
  </si>
  <si>
    <t>Heat cool (COM)</t>
  </si>
  <si>
    <t>CC1HET000</t>
  </si>
  <si>
    <t>COM.COOL.R1: .00.HET.COOL.</t>
  </si>
  <si>
    <t>DD-ADJUST</t>
  </si>
  <si>
    <t>RH-CH</t>
  </si>
  <si>
    <t>CCLHET</t>
  </si>
  <si>
    <t>CC2HET000</t>
  </si>
  <si>
    <t>COM.COOL.R2: .00.HET.COOL.</t>
  </si>
  <si>
    <t>NGA</t>
  </si>
  <si>
    <t>DST</t>
  </si>
  <si>
    <t>HFO</t>
  </si>
  <si>
    <t>KER</t>
  </si>
  <si>
    <t>BIO</t>
  </si>
  <si>
    <t>FLO_EMIS~RH1</t>
  </si>
  <si>
    <t>FLO_EMIS~RH2</t>
  </si>
  <si>
    <t>RES_Fuels</t>
  </si>
  <si>
    <t>COM_Fuels</t>
  </si>
  <si>
    <t>Free heat</t>
  </si>
  <si>
    <t>FLO_EMIS~CH1</t>
  </si>
  <si>
    <t>Fuel</t>
  </si>
  <si>
    <t>RHW1</t>
  </si>
  <si>
    <t>\I: Constraints for RH1</t>
  </si>
  <si>
    <t>G-RH1+</t>
  </si>
  <si>
    <t>G-RH2+</t>
  </si>
  <si>
    <t>Regional Breakout Cooking</t>
  </si>
  <si>
    <t>Regional Breakout Hot water</t>
  </si>
  <si>
    <t>RHW2</t>
  </si>
  <si>
    <t>RW1NGA000</t>
  </si>
  <si>
    <t>RW1HFO000</t>
  </si>
  <si>
    <t>RW1DST000</t>
  </si>
  <si>
    <t>RW1LPG000</t>
  </si>
  <si>
    <t>RW1BIO000</t>
  </si>
  <si>
    <t>RW1ELC000</t>
  </si>
  <si>
    <t>RW1HET000</t>
  </si>
  <si>
    <t>RW1SOL000</t>
  </si>
  <si>
    <t>RW2NGA000</t>
  </si>
  <si>
    <t>RW2HFO000</t>
  </si>
  <si>
    <t>RW2DST000</t>
  </si>
  <si>
    <t>RW2LPG000</t>
  </si>
  <si>
    <t>RW2BIO000</t>
  </si>
  <si>
    <t>RW2ELC000</t>
  </si>
  <si>
    <t>RW2HET000</t>
  </si>
  <si>
    <t>RW2GEO000</t>
  </si>
  <si>
    <t>RW2SOL000</t>
  </si>
  <si>
    <t>RW2</t>
  </si>
  <si>
    <t>Residential Hot Water 2</t>
  </si>
  <si>
    <t>Residential Hot Water 1</t>
  </si>
  <si>
    <t>RW1</t>
  </si>
  <si>
    <t>Demand RW1 (RES)</t>
  </si>
  <si>
    <t>Demand RW2 (RES)</t>
  </si>
  <si>
    <t>Hot water (RES)</t>
  </si>
  <si>
    <t>RESRW1000</t>
  </si>
  <si>
    <t>RESRW2000</t>
  </si>
  <si>
    <t>\I: Constraints for Stove</t>
  </si>
  <si>
    <t>RH1BIOS00</t>
  </si>
  <si>
    <t>RES.HEAT.R1: .00.BIO.INS-REG.BOILER.</t>
  </si>
  <si>
    <t>ACT_BND~UP~0</t>
  </si>
  <si>
    <t>G-RH+</t>
  </si>
  <si>
    <t>RH1 combined group</t>
  </si>
  <si>
    <t>RH2 combined group</t>
  </si>
  <si>
    <t>CH1EHA000</t>
  </si>
  <si>
    <t>CH2EHA000</t>
  </si>
  <si>
    <t>FX</t>
  </si>
  <si>
    <t>Maximum gas</t>
  </si>
  <si>
    <t>RHAELC</t>
  </si>
  <si>
    <t>ACT_BND~UP~2050</t>
  </si>
  <si>
    <t>\I: Constraints for COT</t>
  </si>
  <si>
    <t>BIOPLT</t>
  </si>
  <si>
    <t>Biopellets</t>
  </si>
  <si>
    <t>RESBPL</t>
  </si>
  <si>
    <t>COMBPL</t>
  </si>
  <si>
    <t>Biopellets (COM)</t>
  </si>
  <si>
    <t>Biopellets (RES)</t>
  </si>
  <si>
    <t>Fuel Tech - Biopellets (COM)</t>
  </si>
  <si>
    <t>Fuel Tech - Biopellets (RES)</t>
  </si>
  <si>
    <t>Load Tech - Electricity (RES)</t>
  </si>
  <si>
    <t>Load Tech - Electricity (COM)</t>
  </si>
  <si>
    <t>Params for Aux Year</t>
  </si>
  <si>
    <t>COM_IE</t>
  </si>
  <si>
    <t>\I: Lin</t>
  </si>
  <si>
    <t>\I: DEM</t>
  </si>
  <si>
    <t>BIOWOO</t>
  </si>
  <si>
    <t>BIOAGR</t>
  </si>
  <si>
    <t>Biomass agriculture</t>
  </si>
  <si>
    <t>FIREWOOD</t>
  </si>
  <si>
    <t>Firewood balancer</t>
  </si>
  <si>
    <t>HET1</t>
  </si>
  <si>
    <t>NCAP_BND~0</t>
  </si>
  <si>
    <t>FIM</t>
  </si>
  <si>
    <t>RWHELC</t>
  </si>
  <si>
    <t>CHAELC</t>
  </si>
  <si>
    <t>Electricity (CHA)</t>
  </si>
  <si>
    <t>Electricity (RWH)</t>
  </si>
  <si>
    <t>Electricity (RHA)</t>
  </si>
  <si>
    <t>Peak</t>
  </si>
  <si>
    <t>AGRFIS00</t>
  </si>
  <si>
    <t>Agriculture fishing</t>
  </si>
  <si>
    <t>Minimum oil-gas</t>
  </si>
  <si>
    <t>Minimum DST</t>
  </si>
  <si>
    <t>DHET1+3</t>
  </si>
  <si>
    <t>DH Large potential</t>
  </si>
  <si>
    <t>PROXY</t>
  </si>
  <si>
    <t>DCOOL</t>
  </si>
  <si>
    <t>COMM sheet COM_IE table</t>
  </si>
  <si>
    <t>LBIOMASS</t>
  </si>
  <si>
    <t>GBIOMASS</t>
  </si>
  <si>
    <t>NORDEXTRA MARKETS</t>
  </si>
  <si>
    <t>CF ADJUSTMENT FOR HEATING</t>
  </si>
  <si>
    <t>Calib-params!</t>
  </si>
  <si>
    <t>DD-adjustment</t>
  </si>
  <si>
    <t>FILL TABLES DEMANDS 2017</t>
  </si>
  <si>
    <t>DEMANDS SCENARIO INDEXES</t>
  </si>
  <si>
    <t>\I: IE</t>
  </si>
  <si>
    <t>\I: 2015</t>
  </si>
  <si>
    <t>\I: Share</t>
  </si>
  <si>
    <t>DISTRICT COOL</t>
  </si>
  <si>
    <t>RES.HEAT.R1: .00.ELC.INS-REG.HEAT PUMP.ANY.STD.</t>
  </si>
  <si>
    <t>RH1BIOP000</t>
  </si>
  <si>
    <t>RES.HEAT.R1: .00.BPL.INS-REG.BOILER.</t>
  </si>
  <si>
    <t>EFF~2100</t>
  </si>
  <si>
    <t>DMD</t>
  </si>
  <si>
    <t>PRE</t>
  </si>
  <si>
    <t>ELE</t>
  </si>
  <si>
    <t>HPL</t>
  </si>
  <si>
    <t>RL1LED000</t>
  </si>
  <si>
    <t>RES.LIGH.R1: .00.ELC.LED.LAMP.</t>
  </si>
  <si>
    <t>CLALED000</t>
  </si>
  <si>
    <t>COM.LIGH: .00.ELC.LED.LAMP.</t>
  </si>
  <si>
    <t>RES.LIGH.R2: .00.ELC.LED.LAMP.</t>
  </si>
  <si>
    <t>RL2LED000</t>
  </si>
  <si>
    <t>RH2EHA000</t>
  </si>
  <si>
    <t>Start</t>
  </si>
  <si>
    <t>MODE</t>
  </si>
  <si>
    <t>R1</t>
  </si>
  <si>
    <t>R2</t>
  </si>
  <si>
    <t>MK1</t>
  </si>
  <si>
    <t>MK2</t>
  </si>
  <si>
    <t>*</t>
  </si>
  <si>
    <t>RHT</t>
  </si>
  <si>
    <t>TOT</t>
  </si>
  <si>
    <t>RLT</t>
  </si>
  <si>
    <t>RCK</t>
  </si>
  <si>
    <t>CHT</t>
  </si>
  <si>
    <t>DEM</t>
  </si>
  <si>
    <t>Sector fuel production - Electricity &amp; Heat</t>
  </si>
  <si>
    <t>PEAK</t>
  </si>
  <si>
    <t>Supplementary Commodity parameters</t>
  </si>
  <si>
    <t>SYNGAS</t>
  </si>
  <si>
    <t>RH1BIOP00</t>
  </si>
  <si>
    <t>RH2BIOP00</t>
  </si>
  <si>
    <t>RES.HEAT.R2: .00.BPL.INS-REG.BOILER.</t>
  </si>
  <si>
    <t>RH2BIOP000</t>
  </si>
  <si>
    <t>Pellets</t>
  </si>
  <si>
    <t>Peat / coal</t>
  </si>
  <si>
    <t>RESCOP</t>
  </si>
  <si>
    <t>COMCOP</t>
  </si>
  <si>
    <t>AGRCOP</t>
  </si>
  <si>
    <t>Peat+coal (RES)</t>
  </si>
  <si>
    <t>Fuel Tech - Peat (RES) - New</t>
  </si>
  <si>
    <t>Peat (RES)</t>
  </si>
  <si>
    <t>CH1COP000</t>
  </si>
  <si>
    <t>CH2COP000</t>
  </si>
  <si>
    <t>COM.HEAT.R1: .00.COP.BURNER.</t>
  </si>
  <si>
    <t>COM.HEAT.R2: .00.COP.BURNER.</t>
  </si>
  <si>
    <t>COP</t>
  </si>
  <si>
    <t>RW1COP000</t>
  </si>
  <si>
    <t>RW2COP000</t>
  </si>
  <si>
    <t>Peat+coal (COM)</t>
  </si>
  <si>
    <t>AGHCOP00</t>
  </si>
  <si>
    <t>CHWCOP000</t>
  </si>
  <si>
    <t>RH1COP000</t>
  </si>
  <si>
    <t>RH2COP000</t>
  </si>
  <si>
    <t>Fuel Tech - Peat+coal (RES)</t>
  </si>
  <si>
    <t>Fuel Tech - Peat+Coal (AGR)</t>
  </si>
  <si>
    <t>Fuel Tech - Peat+Coal (COM)</t>
  </si>
  <si>
    <t>Fuel Tech - Peat+Coal (COM) - New</t>
  </si>
  <si>
    <t>COM: .00.COP.WATER HEATER.STD.</t>
  </si>
  <si>
    <t>RES.HEAT.R1: .00.COP.INS-REG.BURNER.</t>
  </si>
  <si>
    <t>RES.HEAT.R2: .00.COP.INS-REG.BURNER.</t>
  </si>
  <si>
    <t>RES: .00.COP.WATER HEATER.STD.</t>
  </si>
  <si>
    <t>Fuel Tech - Peat+Coal (RES)</t>
  </si>
  <si>
    <t>Fuel Tech - Peat+Coal (RES) - New</t>
  </si>
  <si>
    <t>Agriculture Heat COP</t>
  </si>
  <si>
    <t>BIOSTR</t>
  </si>
  <si>
    <t>AGRBPL</t>
  </si>
  <si>
    <t>Biopellets (AGR)</t>
  </si>
  <si>
    <t>RW1BIOP00</t>
  </si>
  <si>
    <t>RW2BIOP00</t>
  </si>
  <si>
    <t>RES: .00.BIP.WATER HEATER.STD.</t>
  </si>
  <si>
    <t>RES.HEAT.R2: .00.BIO.INS-REG.BOILER.</t>
  </si>
  <si>
    <t>RW1EHP000</t>
  </si>
  <si>
    <t>Check</t>
  </si>
  <si>
    <t>Fuel Tech - Biopellets (AGR)</t>
  </si>
  <si>
    <t>RES: .00.EHP.WATER HEATER.STD.</t>
  </si>
  <si>
    <t>Bio-straw in bales</t>
  </si>
  <si>
    <t>GROUP</t>
  </si>
  <si>
    <t>0</t>
  </si>
  <si>
    <t>NCAP_COST</t>
  </si>
  <si>
    <t>NCAP_CLED</t>
  </si>
  <si>
    <t>RES.1.TOTAL EXISTING</t>
  </si>
  <si>
    <t>RH1-OLD</t>
  </si>
  <si>
    <t>NCAP_BND</t>
  </si>
  <si>
    <t>RH1BDOLD</t>
  </si>
  <si>
    <t>FLO_FUNC</t>
  </si>
  <si>
    <t>RH1+INS</t>
  </si>
  <si>
    <t>RH1BDNEW1</t>
  </si>
  <si>
    <t>Attribute</t>
  </si>
  <si>
    <t>NCAP_AF</t>
  </si>
  <si>
    <t>FLO_MARK</t>
  </si>
  <si>
    <t>NCAP_COM</t>
  </si>
  <si>
    <t>OUT</t>
  </si>
  <si>
    <t>RH2BDOLD</t>
  </si>
  <si>
    <t>RES.2.TOTAL EXISTING</t>
  </si>
  <si>
    <t>RH2+INS</t>
  </si>
  <si>
    <t>RH2-OLD</t>
  </si>
  <si>
    <t>RH2BDNEW1</t>
  </si>
  <si>
    <t>CH1BDOLD</t>
  </si>
  <si>
    <t>COM.1.TOTAL EXISTING</t>
  </si>
  <si>
    <t>CH1BDNEW1</t>
  </si>
  <si>
    <t>RH1BDNEW2</t>
  </si>
  <si>
    <t>RH1BDNEW3</t>
  </si>
  <si>
    <t>RH1BDNEW4</t>
  </si>
  <si>
    <t>RH2BDNEW2</t>
  </si>
  <si>
    <t>RH2BDNEW3</t>
  </si>
  <si>
    <t>RH2BDNEW4</t>
  </si>
  <si>
    <t>CH1BDNEW2</t>
  </si>
  <si>
    <t>CH1BDNEW4</t>
  </si>
  <si>
    <t>CH1BDNEW3</t>
  </si>
  <si>
    <t>IN</t>
  </si>
  <si>
    <t>\I: Eff. multiplier</t>
  </si>
  <si>
    <t>Save</t>
  </si>
  <si>
    <t>Hot water (COM)</t>
  </si>
  <si>
    <t>ACTFLO</t>
  </si>
  <si>
    <t>Residential Hot Water - Index</t>
  </si>
  <si>
    <t>Commercial Hot Water - index</t>
  </si>
  <si>
    <t>\I: Constraints for hot water</t>
  </si>
  <si>
    <t>Minimum hot water</t>
  </si>
  <si>
    <t>Residential heat for old stock</t>
  </si>
  <si>
    <t>Commercial heat for old stock</t>
  </si>
  <si>
    <t>Residential high-insulated heat</t>
  </si>
  <si>
    <t>Commercial high-insulated heat</t>
  </si>
  <si>
    <t>Residential.1.INS.New.40%</t>
  </si>
  <si>
    <t>Residential.1.INS.New.55%</t>
  </si>
  <si>
    <t>Residential.1.INS.New.70%</t>
  </si>
  <si>
    <t>Residential.2.INS.New.40%</t>
  </si>
  <si>
    <t>Residential.2.INS.New.55%</t>
  </si>
  <si>
    <t>Residential.2.INS.New.70%</t>
  </si>
  <si>
    <t>Commercial.1.INS.New.40%</t>
  </si>
  <si>
    <t>Commercial.1.INS.New.55%</t>
  </si>
  <si>
    <t>Commercial.1.INS.New.70%</t>
  </si>
  <si>
    <t>YES</t>
  </si>
  <si>
    <t>Demand CHW (COM)</t>
  </si>
  <si>
    <t>COMCHW000</t>
  </si>
  <si>
    <t>RH1-NET</t>
  </si>
  <si>
    <t>RH2-NET</t>
  </si>
  <si>
    <t>CH1-NET</t>
  </si>
  <si>
    <t>Residential net heat production</t>
  </si>
  <si>
    <t>Commercial net heat production</t>
  </si>
  <si>
    <t>NCAP_ELIFE</t>
  </si>
  <si>
    <t>Gross Demand RH1</t>
  </si>
  <si>
    <t>Gross Demand RH2</t>
  </si>
  <si>
    <t>RH1GRD000</t>
  </si>
  <si>
    <t>RH2GRD000</t>
  </si>
  <si>
    <t>CH1GRD000</t>
  </si>
  <si>
    <t>Gross demand CH1</t>
  </si>
  <si>
    <t>Gross Demand CH1</t>
  </si>
  <si>
    <t>RHB1D</t>
  </si>
  <si>
    <t>RHB2D</t>
  </si>
  <si>
    <t>CHB1D</t>
  </si>
  <si>
    <t>CWHD</t>
  </si>
  <si>
    <t>RWHD</t>
  </si>
  <si>
    <t>CH1BDNEW5</t>
  </si>
  <si>
    <t>RH2BDNEW5</t>
  </si>
  <si>
    <t>RH1BDNEW5</t>
  </si>
  <si>
    <t>Residential.1.INS.New.80%</t>
  </si>
  <si>
    <t>Residential.1.INS.New.90%</t>
  </si>
  <si>
    <t>Residential.2.INS.New.80%</t>
  </si>
  <si>
    <t>Residential.2.INS.New.90%</t>
  </si>
  <si>
    <t>Commercial.1.INS.New.80%</t>
  </si>
  <si>
    <t>Commercial.1.INS.New.90%</t>
  </si>
  <si>
    <t>RH1BDREN1</t>
  </si>
  <si>
    <t>ACT</t>
  </si>
  <si>
    <t>FLO_EMIS</t>
  </si>
  <si>
    <t>RH1BDREN2</t>
  </si>
  <si>
    <t>RH1BDREN3</t>
  </si>
  <si>
    <t>RH2BDREN1</t>
  </si>
  <si>
    <t>RH2BDREN2</t>
  </si>
  <si>
    <t>RH2BDREN3</t>
  </si>
  <si>
    <t>CH1BDREN1</t>
  </si>
  <si>
    <t>CH1BDREN2</t>
  </si>
  <si>
    <t>CH1BDREN3</t>
  </si>
  <si>
    <t>Residential.1.REN.New.20%</t>
  </si>
  <si>
    <t>Residential.1.REN.New.40%</t>
  </si>
  <si>
    <t>Residential.1.REN.New.60%</t>
  </si>
  <si>
    <t>Residential building useful heat demands</t>
  </si>
  <si>
    <t>Stock removals</t>
  </si>
  <si>
    <t>Autonomous improvement</t>
  </si>
  <si>
    <t>CH1-OLD</t>
  </si>
  <si>
    <t>CH1+INS</t>
  </si>
  <si>
    <t>FT-COMCCL0</t>
  </si>
  <si>
    <t>FT-AGRELC0</t>
  </si>
  <si>
    <t>FT-COMELC0</t>
  </si>
  <si>
    <t>FT-RESELC0</t>
  </si>
  <si>
    <t>FT-AGRHET0</t>
  </si>
  <si>
    <t>FT-COMHET0</t>
  </si>
  <si>
    <t>FT-RESHET0</t>
  </si>
  <si>
    <t>FT-AGRBIO0</t>
  </si>
  <si>
    <t>FT-AGRBIO5</t>
  </si>
  <si>
    <t>FT-AGRBPL5</t>
  </si>
  <si>
    <t>FT-AGRCOP0</t>
  </si>
  <si>
    <t>FT-AGRDST0</t>
  </si>
  <si>
    <t>FT-AGRGEO0</t>
  </si>
  <si>
    <t>FT-AGRGSL0</t>
  </si>
  <si>
    <t>FT-AGRHFO0</t>
  </si>
  <si>
    <t>FT-AGRKER0</t>
  </si>
  <si>
    <t>FT-AGRLPG0</t>
  </si>
  <si>
    <t>FT-AGRNGA0</t>
  </si>
  <si>
    <t>FT-AGRNGA1</t>
  </si>
  <si>
    <t>FT-AGRSOL0</t>
  </si>
  <si>
    <t>FT-COMBIO0</t>
  </si>
  <si>
    <t>FT-COMBIO5</t>
  </si>
  <si>
    <t>FT-COMBPL5</t>
  </si>
  <si>
    <t>FT-COMCOP0</t>
  </si>
  <si>
    <t>FT-COMCOP5</t>
  </si>
  <si>
    <t>FT-COMDST0</t>
  </si>
  <si>
    <t>FT-COMDST5</t>
  </si>
  <si>
    <t>FT-COMGEO0</t>
  </si>
  <si>
    <t>FT-COMGEO5</t>
  </si>
  <si>
    <t>FT-COMHFO0</t>
  </si>
  <si>
    <t>FT-COMKER0</t>
  </si>
  <si>
    <t>FT-COMKER5</t>
  </si>
  <si>
    <t>FT-COMLPG0</t>
  </si>
  <si>
    <t>FT-COMLPG5</t>
  </si>
  <si>
    <t>FT-COMNGA0</t>
  </si>
  <si>
    <t>FT-COMNGA5</t>
  </si>
  <si>
    <t>FT-COMSOL0</t>
  </si>
  <si>
    <t>FT-COMSOL5</t>
  </si>
  <si>
    <t>FT-RESBIO0</t>
  </si>
  <si>
    <t>FT-RESBIO5</t>
  </si>
  <si>
    <t>FT-RESBPL0</t>
  </si>
  <si>
    <t>FT-RESBPL5</t>
  </si>
  <si>
    <t>FT-RESCOP0</t>
  </si>
  <si>
    <t>FT-RESCOP5</t>
  </si>
  <si>
    <t>FT-RESDST0</t>
  </si>
  <si>
    <t>FT-RESDST5</t>
  </si>
  <si>
    <t>FT-RESGEO0</t>
  </si>
  <si>
    <t>FT-RESGEO5</t>
  </si>
  <si>
    <t>FT-RESHFO0</t>
  </si>
  <si>
    <t>FT-RESKER0</t>
  </si>
  <si>
    <t>FT-RESKER5</t>
  </si>
  <si>
    <t>FT-RESLPG0</t>
  </si>
  <si>
    <t>FT-RESLPG5</t>
  </si>
  <si>
    <t>FT-RESNGA0</t>
  </si>
  <si>
    <t>FT-RESNGA5</t>
  </si>
  <si>
    <t>FT-RESSOL0</t>
  </si>
  <si>
    <t>FT-RESSOL5</t>
  </si>
  <si>
    <t>SYNHYN</t>
  </si>
  <si>
    <t>Hydrogen after distribution</t>
  </si>
  <si>
    <t>FT-RESGEO6</t>
  </si>
  <si>
    <t>FT-RESGEO7</t>
  </si>
  <si>
    <t>FT-COMGEO6</t>
  </si>
  <si>
    <t>FT-COMGEO7</t>
  </si>
  <si>
    <t>Residential Space Heat - Detached</t>
  </si>
  <si>
    <t>Residential Space Heat - Flats</t>
  </si>
  <si>
    <t>Commercial Space Heat - Region1</t>
  </si>
  <si>
    <t>Commercial Space Heat - Region2</t>
  </si>
  <si>
    <t>RESBGS</t>
  </si>
  <si>
    <t>Biogas (RES)</t>
  </si>
  <si>
    <t>FT-RESBGS5</t>
  </si>
  <si>
    <t>AGRBGS</t>
  </si>
  <si>
    <t>Fuel Tech - Biogas (AGR)</t>
  </si>
  <si>
    <t>FT-AGRBGS0</t>
  </si>
  <si>
    <t>Biogases (AGR)</t>
  </si>
  <si>
    <t>Biogases (RES)</t>
  </si>
  <si>
    <t>Fuel Tech - Biogases (AGR)</t>
  </si>
  <si>
    <t>Fuel Tech - Biogas (RES) - New</t>
  </si>
  <si>
    <t>CHECKLIST</t>
  </si>
  <si>
    <t>RESBFO</t>
  </si>
  <si>
    <t>Bio Fueloil (RES)</t>
  </si>
  <si>
    <t>Fuel Tech - Bio Heating Oil (RES) - New</t>
  </si>
  <si>
    <t>FT-RESBFO5</t>
  </si>
  <si>
    <t>COMBFO</t>
  </si>
  <si>
    <t>Fuel Tech - Bio Heating Oil (COM) - New</t>
  </si>
  <si>
    <t>FT-COMBFO5</t>
  </si>
  <si>
    <t>Bio heating oil (RES)</t>
  </si>
  <si>
    <t>Bio heating oil (COM)</t>
  </si>
  <si>
    <t>BIOHBO</t>
  </si>
  <si>
    <t>Hydrotreated bio-oil</t>
  </si>
  <si>
    <t>AGRSTR</t>
  </si>
  <si>
    <t>Bio-straw (AGR)</t>
  </si>
  <si>
    <t>FT-AGRSTR0</t>
  </si>
  <si>
    <t>Fuel Tech - Bio-straw (AGR)</t>
  </si>
  <si>
    <t>FIXOM~EUR10</t>
  </si>
  <si>
    <t>INVCOST~EUR10</t>
  </si>
  <si>
    <t>Suffix</t>
  </si>
  <si>
    <t>AGRELA</t>
  </si>
  <si>
    <t>Electricity A (AGR)</t>
  </si>
  <si>
    <t>AGRELC100</t>
  </si>
  <si>
    <t>Load  Tech - Electricity (AGR)</t>
  </si>
  <si>
    <t>DUMSOL</t>
  </si>
  <si>
    <t>Dummy solar profiler</t>
  </si>
</sst>
</file>

<file path=xl/styles.xml><?xml version="1.0" encoding="utf-8"?>
<styleSheet xmlns="http://schemas.openxmlformats.org/spreadsheetml/2006/main">
  <numFmts count="10">
    <numFmt numFmtId="179" formatCode="_(* #,##0.00_);_(* \(#,##0.00\);_(* &quot;-&quot;??_);_(@_)"/>
    <numFmt numFmtId="186" formatCode="0.000"/>
    <numFmt numFmtId="187" formatCode="0.0"/>
    <numFmt numFmtId="188" formatCode="0.0_)"/>
    <numFmt numFmtId="189" formatCode="0.0000"/>
    <numFmt numFmtId="191" formatCode="0.0%"/>
    <numFmt numFmtId="192" formatCode="0.00_)"/>
    <numFmt numFmtId="193" formatCode="0_)"/>
    <numFmt numFmtId="195" formatCode="0.000;&quot;Error&quot;;;"/>
    <numFmt numFmtId="199" formatCode="0.000;General;General"/>
  </numFmts>
  <fonts count="51">
    <font>
      <sz val="10"/>
      <name val="Arial"/>
    </font>
    <font>
      <sz val="10"/>
      <name val="Arial"/>
    </font>
    <font>
      <b/>
      <sz val="11"/>
      <name val="Arial"/>
      <family val="2"/>
    </font>
    <font>
      <sz val="8"/>
      <color indexed="81"/>
      <name val="Tahoma"/>
      <family val="2"/>
    </font>
    <font>
      <b/>
      <sz val="8"/>
      <color indexed="81"/>
      <name val="Tahoma"/>
      <family val="2"/>
    </font>
    <font>
      <b/>
      <sz val="10"/>
      <name val="Arial"/>
      <family val="2"/>
    </font>
    <font>
      <i/>
      <sz val="10"/>
      <name val="Arial"/>
      <family val="2"/>
    </font>
    <font>
      <sz val="8"/>
      <name val="Arial"/>
      <family val="2"/>
    </font>
    <font>
      <sz val="10"/>
      <name val="Arial"/>
      <family val="2"/>
    </font>
    <font>
      <sz val="14"/>
      <name val="Arial"/>
      <family val="2"/>
    </font>
    <font>
      <sz val="8"/>
      <color indexed="81"/>
      <name val="Tahoma"/>
      <family val="2"/>
    </font>
    <font>
      <b/>
      <sz val="12"/>
      <name val="Arial"/>
      <family val="2"/>
    </font>
    <font>
      <b/>
      <sz val="8"/>
      <color indexed="81"/>
      <name val="Tahoma"/>
      <family val="2"/>
    </font>
    <font>
      <u/>
      <sz val="10"/>
      <name val="Arial"/>
      <family val="2"/>
    </font>
    <font>
      <sz val="11"/>
      <name val="Arial"/>
      <family val="2"/>
    </font>
    <font>
      <sz val="10"/>
      <color indexed="9"/>
      <name val="Arial"/>
      <family val="2"/>
    </font>
    <font>
      <b/>
      <sz val="10"/>
      <color indexed="9"/>
      <name val="Arial"/>
      <family val="2"/>
    </font>
    <font>
      <b/>
      <sz val="8"/>
      <name val="Arial"/>
      <family val="2"/>
    </font>
    <font>
      <sz val="10"/>
      <color indexed="53"/>
      <name val="Arial"/>
      <family val="2"/>
    </font>
    <font>
      <sz val="10"/>
      <color indexed="8"/>
      <name val="Arial"/>
      <family val="2"/>
    </font>
    <font>
      <b/>
      <sz val="8"/>
      <color indexed="8"/>
      <name val="Arial"/>
      <family val="2"/>
    </font>
    <font>
      <sz val="8"/>
      <color indexed="8"/>
      <name val="Arial"/>
      <family val="2"/>
    </font>
    <font>
      <b/>
      <sz val="10"/>
      <color indexed="8"/>
      <name val="Arial"/>
      <family val="2"/>
    </font>
    <font>
      <sz val="12"/>
      <color indexed="8"/>
      <name val="Arial"/>
      <family val="2"/>
    </font>
    <font>
      <sz val="10"/>
      <color indexed="10"/>
      <name val="Arial"/>
      <family val="2"/>
    </font>
    <font>
      <sz val="14"/>
      <color indexed="9"/>
      <name val="Arial"/>
      <family val="2"/>
    </font>
    <font>
      <sz val="8"/>
      <name val="Arial"/>
      <family val="2"/>
    </font>
    <font>
      <sz val="9"/>
      <name val="Arial"/>
      <family val="2"/>
    </font>
    <font>
      <b/>
      <sz val="10"/>
      <color indexed="12"/>
      <name val="Arial"/>
      <family val="2"/>
    </font>
    <font>
      <b/>
      <sz val="8"/>
      <color indexed="12"/>
      <name val="Arial"/>
      <family val="2"/>
    </font>
    <font>
      <sz val="8"/>
      <color indexed="23"/>
      <name val="Arial"/>
      <family val="2"/>
    </font>
    <font>
      <sz val="10"/>
      <color indexed="23"/>
      <name val="Arial"/>
      <family val="2"/>
    </font>
    <font>
      <sz val="10"/>
      <color indexed="12"/>
      <name val="Arial"/>
      <family val="2"/>
    </font>
    <font>
      <b/>
      <sz val="14"/>
      <color indexed="9"/>
      <name val="Arial"/>
      <family val="2"/>
    </font>
    <font>
      <sz val="12"/>
      <color indexed="9"/>
      <name val="Arial"/>
      <family val="2"/>
    </font>
    <font>
      <sz val="8"/>
      <name val="Arial"/>
    </font>
    <font>
      <sz val="8"/>
      <color indexed="81"/>
      <name val="Tahoma"/>
    </font>
    <font>
      <b/>
      <sz val="8"/>
      <color indexed="81"/>
      <name val="Tahoma"/>
    </font>
    <font>
      <sz val="9"/>
      <color indexed="8"/>
      <name val="Arial"/>
      <family val="2"/>
    </font>
    <font>
      <sz val="9"/>
      <name val="Arial"/>
    </font>
    <font>
      <sz val="10"/>
      <color indexed="12"/>
      <name val="Arial"/>
    </font>
    <font>
      <sz val="10"/>
      <color indexed="8"/>
      <name val="Arial"/>
    </font>
    <font>
      <b/>
      <sz val="9"/>
      <color indexed="8"/>
      <name val="Arial"/>
      <family val="2"/>
    </font>
    <font>
      <sz val="11"/>
      <color indexed="8"/>
      <name val="Arial"/>
      <family val="2"/>
    </font>
    <font>
      <b/>
      <sz val="9"/>
      <name val="Arial"/>
      <family val="2"/>
    </font>
    <font>
      <b/>
      <sz val="9"/>
      <color indexed="12"/>
      <name val="Arial"/>
      <family val="2"/>
    </font>
    <font>
      <sz val="9"/>
      <color indexed="12"/>
      <name val="Arial"/>
      <family val="2"/>
    </font>
    <font>
      <b/>
      <sz val="9"/>
      <color indexed="81"/>
      <name val="Tahoma"/>
      <family val="2"/>
    </font>
    <font>
      <sz val="9"/>
      <color indexed="81"/>
      <name val="Tahoma"/>
      <family val="2"/>
    </font>
    <font>
      <b/>
      <sz val="14"/>
      <name val="Arial"/>
      <family val="2"/>
    </font>
    <font>
      <b/>
      <sz val="10"/>
      <color indexed="10"/>
      <name val="Arial"/>
      <family val="2"/>
    </font>
  </fonts>
  <fills count="1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indexed="22"/>
        <bgColor indexed="64"/>
      </patternFill>
    </fill>
    <fill>
      <patternFill patternType="solid">
        <fgColor indexed="44"/>
        <bgColor indexed="64"/>
      </patternFill>
    </fill>
    <fill>
      <patternFill patternType="solid">
        <fgColor indexed="45"/>
        <bgColor indexed="64"/>
      </patternFill>
    </fill>
    <fill>
      <patternFill patternType="solid">
        <fgColor indexed="47"/>
        <bgColor indexed="64"/>
      </patternFill>
    </fill>
    <fill>
      <patternFill patternType="solid">
        <fgColor indexed="10"/>
        <bgColor indexed="64"/>
      </patternFill>
    </fill>
    <fill>
      <patternFill patternType="solid">
        <fgColor indexed="13"/>
        <bgColor indexed="64"/>
      </patternFill>
    </fill>
    <fill>
      <patternFill patternType="solid">
        <fgColor indexed="23"/>
        <bgColor indexed="64"/>
      </patternFill>
    </fill>
    <fill>
      <patternFill patternType="solid">
        <fgColor indexed="41"/>
        <bgColor indexed="64"/>
      </patternFill>
    </fill>
    <fill>
      <patternFill patternType="solid">
        <fgColor indexed="9"/>
        <bgColor indexed="64"/>
      </patternFill>
    </fill>
    <fill>
      <patternFill patternType="solid">
        <fgColor indexed="9"/>
        <bgColor indexed="48"/>
      </patternFill>
    </fill>
    <fill>
      <patternFill patternType="solid">
        <fgColor indexed="13"/>
        <bgColor indexed="26"/>
      </patternFill>
    </fill>
    <fill>
      <patternFill patternType="solid">
        <fgColor indexed="49"/>
        <bgColor indexed="64"/>
      </patternFill>
    </fill>
    <fill>
      <patternFill patternType="solid">
        <fgColor indexed="52"/>
        <bgColor indexed="64"/>
      </patternFill>
    </fill>
    <fill>
      <patternFill patternType="solid">
        <fgColor indexed="42"/>
        <bgColor indexed="64"/>
      </patternFill>
    </fill>
    <fill>
      <patternFill patternType="solid">
        <fgColor indexed="46"/>
        <bgColor indexed="64"/>
      </patternFill>
    </fill>
  </fills>
  <borders count="22">
    <border>
      <left/>
      <right/>
      <top/>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s>
  <cellStyleXfs count="2">
    <xf numFmtId="0" fontId="0" fillId="0" borderId="0"/>
    <xf numFmtId="9" fontId="1" fillId="0" borderId="0" applyFont="0" applyFill="0" applyBorder="0" applyAlignment="0" applyProtection="0"/>
  </cellStyleXfs>
  <cellXfs count="624">
    <xf numFmtId="0" fontId="0" fillId="0" borderId="0" xfId="0"/>
    <xf numFmtId="0" fontId="0" fillId="2" borderId="0" xfId="0" applyFill="1" applyAlignment="1"/>
    <xf numFmtId="0" fontId="0" fillId="0" borderId="0" xfId="0" applyFill="1" applyAlignment="1"/>
    <xf numFmtId="0" fontId="0" fillId="0" borderId="0" xfId="0" quotePrefix="1"/>
    <xf numFmtId="0" fontId="2" fillId="0" borderId="0" xfId="0" applyFont="1" applyAlignment="1">
      <alignment horizontal="center" vertical="center" wrapText="1"/>
    </xf>
    <xf numFmtId="2" fontId="0" fillId="0" borderId="0" xfId="0" applyNumberFormat="1"/>
    <xf numFmtId="186" fontId="0" fillId="0" borderId="0" xfId="0" applyNumberFormat="1"/>
    <xf numFmtId="0" fontId="5" fillId="0" borderId="0" xfId="0" applyFont="1"/>
    <xf numFmtId="0" fontId="7" fillId="0" borderId="0" xfId="0" applyFont="1"/>
    <xf numFmtId="0" fontId="8" fillId="0" borderId="0" xfId="0" applyFont="1"/>
    <xf numFmtId="0" fontId="9" fillId="0" borderId="0" xfId="0" applyFont="1"/>
    <xf numFmtId="0" fontId="0" fillId="0" borderId="0" xfId="0" applyAlignment="1">
      <alignment wrapText="1"/>
    </xf>
    <xf numFmtId="0" fontId="0" fillId="3" borderId="0" xfId="0" applyFill="1"/>
    <xf numFmtId="0" fontId="8" fillId="0" borderId="0" xfId="0" applyFont="1" applyAlignment="1">
      <alignment wrapText="1"/>
    </xf>
    <xf numFmtId="0" fontId="8" fillId="0" borderId="0" xfId="0" applyFont="1" applyFill="1" applyAlignment="1">
      <alignment horizontal="center" vertical="center" wrapText="1"/>
    </xf>
    <xf numFmtId="1" fontId="0" fillId="0" borderId="0" xfId="0" applyNumberFormat="1"/>
    <xf numFmtId="0" fontId="13" fillId="0" borderId="0" xfId="0" applyFont="1"/>
    <xf numFmtId="0" fontId="13" fillId="0" borderId="0" xfId="0" applyFont="1" applyAlignment="1">
      <alignment horizontal="center"/>
    </xf>
    <xf numFmtId="0" fontId="0" fillId="4" borderId="0" xfId="0" applyFill="1"/>
    <xf numFmtId="2" fontId="0" fillId="0" borderId="0" xfId="0" applyNumberFormat="1" applyFill="1"/>
    <xf numFmtId="0" fontId="0" fillId="4" borderId="1" xfId="0" applyFill="1" applyBorder="1"/>
    <xf numFmtId="186" fontId="0" fillId="0" borderId="1" xfId="0" applyNumberFormat="1" applyBorder="1"/>
    <xf numFmtId="0" fontId="0" fillId="0" borderId="0" xfId="0" applyFill="1"/>
    <xf numFmtId="186" fontId="0" fillId="0" borderId="0" xfId="0" applyNumberFormat="1" applyFill="1"/>
    <xf numFmtId="0" fontId="0" fillId="3" borderId="1" xfId="0" applyFill="1" applyBorder="1"/>
    <xf numFmtId="0" fontId="0" fillId="3" borderId="0" xfId="0" applyFill="1" applyAlignment="1">
      <alignment wrapText="1"/>
    </xf>
    <xf numFmtId="0" fontId="0" fillId="3" borderId="1" xfId="0" applyFill="1" applyBorder="1" applyAlignment="1">
      <alignment wrapText="1"/>
    </xf>
    <xf numFmtId="0" fontId="5" fillId="3" borderId="2" xfId="0" applyFont="1" applyFill="1" applyBorder="1" applyAlignment="1">
      <alignment wrapText="1"/>
    </xf>
    <xf numFmtId="0" fontId="5" fillId="3" borderId="0" xfId="0" applyFont="1" applyFill="1" applyAlignment="1">
      <alignment wrapText="1"/>
    </xf>
    <xf numFmtId="186" fontId="0" fillId="4" borderId="0" xfId="0" applyNumberFormat="1" applyFill="1" applyProtection="1">
      <protection locked="0"/>
    </xf>
    <xf numFmtId="2" fontId="0" fillId="4" borderId="0" xfId="0" applyNumberFormat="1" applyFill="1" applyProtection="1">
      <protection locked="0"/>
    </xf>
    <xf numFmtId="2" fontId="0" fillId="4" borderId="1" xfId="0" applyNumberFormat="1" applyFill="1" applyBorder="1" applyProtection="1">
      <protection locked="0"/>
    </xf>
    <xf numFmtId="0" fontId="0" fillId="4" borderId="0" xfId="0" applyFill="1" applyProtection="1">
      <protection locked="0"/>
    </xf>
    <xf numFmtId="2" fontId="0" fillId="5" borderId="0" xfId="0" applyNumberFormat="1" applyFill="1"/>
    <xf numFmtId="2" fontId="0" fillId="5" borderId="1" xfId="0" applyNumberFormat="1" applyFill="1" applyBorder="1"/>
    <xf numFmtId="0" fontId="0" fillId="0" borderId="0" xfId="0" applyAlignment="1"/>
    <xf numFmtId="0" fontId="0" fillId="3" borderId="0" xfId="0" applyFill="1" applyBorder="1"/>
    <xf numFmtId="0" fontId="0" fillId="3" borderId="0" xfId="0" applyFill="1" applyBorder="1" applyAlignment="1">
      <alignment wrapText="1"/>
    </xf>
    <xf numFmtId="2" fontId="0" fillId="0" borderId="0" xfId="0" applyNumberFormat="1" applyBorder="1"/>
    <xf numFmtId="0" fontId="0" fillId="0" borderId="0" xfId="0" applyBorder="1"/>
    <xf numFmtId="2" fontId="0" fillId="4" borderId="0" xfId="0" applyNumberFormat="1" applyFill="1"/>
    <xf numFmtId="186" fontId="0" fillId="4" borderId="0" xfId="0" applyNumberFormat="1" applyFill="1" applyAlignment="1">
      <alignment horizontal="right" vertical="center"/>
    </xf>
    <xf numFmtId="186" fontId="0" fillId="4" borderId="0" xfId="0" applyNumberFormat="1" applyFill="1" applyAlignment="1">
      <alignment horizontal="right"/>
    </xf>
    <xf numFmtId="0" fontId="0" fillId="6" borderId="0" xfId="0" applyFill="1"/>
    <xf numFmtId="1" fontId="0" fillId="6" borderId="0" xfId="0" applyNumberFormat="1" applyFill="1"/>
    <xf numFmtId="1" fontId="0" fillId="7" borderId="0" xfId="0" applyNumberFormat="1" applyFill="1"/>
    <xf numFmtId="10" fontId="0" fillId="8" borderId="0" xfId="1" applyNumberFormat="1" applyFont="1" applyFill="1"/>
    <xf numFmtId="1" fontId="0" fillId="7" borderId="0" xfId="0" applyNumberFormat="1" applyFill="1" applyAlignment="1">
      <alignment horizontal="right" vertical="center"/>
    </xf>
    <xf numFmtId="0" fontId="8" fillId="5" borderId="0" xfId="0" applyFont="1" applyFill="1"/>
    <xf numFmtId="0" fontId="8" fillId="7" borderId="0" xfId="0" applyFont="1" applyFill="1"/>
    <xf numFmtId="0" fontId="8" fillId="6" borderId="0" xfId="0" applyFont="1" applyFill="1"/>
    <xf numFmtId="0" fontId="8" fillId="4" borderId="0" xfId="0" applyFont="1" applyFill="1"/>
    <xf numFmtId="0" fontId="8" fillId="3" borderId="2" xfId="0" applyFont="1" applyFill="1" applyBorder="1" applyAlignment="1">
      <alignment horizontal="center" vertical="center" wrapText="1"/>
    </xf>
    <xf numFmtId="2" fontId="0" fillId="4" borderId="0" xfId="0" applyNumberFormat="1" applyFill="1" applyBorder="1"/>
    <xf numFmtId="2" fontId="0" fillId="4" borderId="1" xfId="0" applyNumberFormat="1" applyFill="1" applyBorder="1"/>
    <xf numFmtId="0" fontId="0" fillId="0" borderId="0" xfId="0" applyFill="1" applyBorder="1"/>
    <xf numFmtId="0" fontId="0" fillId="0" borderId="0" xfId="0" applyFill="1" applyBorder="1" applyAlignment="1">
      <alignment wrapText="1"/>
    </xf>
    <xf numFmtId="2" fontId="0" fillId="0" borderId="0" xfId="0" applyNumberFormat="1" applyFill="1" applyBorder="1"/>
    <xf numFmtId="0" fontId="5" fillId="3" borderId="0" xfId="0" applyFont="1" applyFill="1" applyAlignment="1"/>
    <xf numFmtId="0" fontId="0" fillId="4" borderId="0" xfId="0" applyFill="1" applyAlignment="1">
      <alignment horizontal="right"/>
    </xf>
    <xf numFmtId="0" fontId="0" fillId="6" borderId="0" xfId="0" applyFill="1" applyAlignment="1"/>
    <xf numFmtId="1" fontId="0" fillId="6" borderId="0" xfId="0" applyNumberFormat="1" applyFill="1" applyAlignment="1"/>
    <xf numFmtId="0" fontId="5" fillId="4" borderId="0" xfId="0" applyFont="1" applyFill="1"/>
    <xf numFmtId="186" fontId="8" fillId="5" borderId="0" xfId="0" applyNumberFormat="1" applyFont="1" applyFill="1" applyAlignment="1">
      <alignment wrapText="1"/>
    </xf>
    <xf numFmtId="2" fontId="0" fillId="5" borderId="0" xfId="0" applyNumberFormat="1" applyFill="1" applyBorder="1"/>
    <xf numFmtId="2" fontId="0" fillId="4" borderId="0" xfId="0" applyNumberFormat="1" applyFill="1" applyBorder="1" applyProtection="1">
      <protection locked="0"/>
    </xf>
    <xf numFmtId="0" fontId="0" fillId="4" borderId="0" xfId="0" applyFill="1" applyBorder="1" applyProtection="1">
      <protection locked="0"/>
    </xf>
    <xf numFmtId="186" fontId="0" fillId="0" borderId="0" xfId="0" applyNumberFormat="1" applyBorder="1"/>
    <xf numFmtId="0" fontId="8" fillId="4" borderId="0" xfId="0" applyFont="1" applyFill="1" applyBorder="1" applyProtection="1">
      <protection locked="0"/>
    </xf>
    <xf numFmtId="2" fontId="8" fillId="4" borderId="0" xfId="0" applyNumberFormat="1" applyFont="1" applyFill="1" applyBorder="1" applyProtection="1">
      <protection locked="0"/>
    </xf>
    <xf numFmtId="186" fontId="8" fillId="4" borderId="0" xfId="0" applyNumberFormat="1" applyFont="1" applyFill="1" applyAlignment="1">
      <alignment horizontal="right" vertical="center"/>
    </xf>
    <xf numFmtId="2" fontId="8" fillId="4" borderId="1" xfId="0" applyNumberFormat="1" applyFont="1" applyFill="1" applyBorder="1" applyProtection="1">
      <protection locked="0"/>
    </xf>
    <xf numFmtId="0" fontId="8" fillId="4" borderId="1" xfId="0" applyFont="1" applyFill="1" applyBorder="1" applyProtection="1">
      <protection locked="0"/>
    </xf>
    <xf numFmtId="2" fontId="0" fillId="0" borderId="1" xfId="0" applyNumberFormat="1" applyFill="1" applyBorder="1"/>
    <xf numFmtId="0" fontId="0" fillId="0" borderId="0" xfId="0" applyFill="1" applyAlignment="1">
      <alignment wrapText="1"/>
    </xf>
    <xf numFmtId="1" fontId="0" fillId="9" borderId="0" xfId="0" applyNumberFormat="1" applyFill="1"/>
    <xf numFmtId="0" fontId="0" fillId="9" borderId="0" xfId="0" applyFill="1"/>
    <xf numFmtId="186" fontId="0" fillId="4" borderId="0" xfId="0" applyNumberFormat="1" applyFill="1"/>
    <xf numFmtId="186" fontId="0" fillId="4" borderId="1" xfId="0" applyNumberFormat="1" applyFill="1" applyBorder="1"/>
    <xf numFmtId="189" fontId="0" fillId="4" borderId="0" xfId="0" applyNumberFormat="1" applyFill="1"/>
    <xf numFmtId="2" fontId="5" fillId="3" borderId="0" xfId="0" applyNumberFormat="1" applyFont="1" applyFill="1" applyAlignment="1">
      <alignment wrapText="1"/>
    </xf>
    <xf numFmtId="0" fontId="0" fillId="4" borderId="0" xfId="0" applyFill="1" applyBorder="1"/>
    <xf numFmtId="0" fontId="8" fillId="3" borderId="0" xfId="0" applyFont="1" applyFill="1" applyBorder="1" applyAlignment="1">
      <alignment horizontal="left" vertical="center" wrapText="1"/>
    </xf>
    <xf numFmtId="0" fontId="9" fillId="0" borderId="0" xfId="0" applyFont="1" applyFill="1"/>
    <xf numFmtId="0" fontId="0" fillId="3" borderId="3" xfId="0" applyFill="1" applyBorder="1"/>
    <xf numFmtId="2" fontId="0" fillId="5" borderId="3" xfId="0" applyNumberFormat="1" applyFill="1" applyBorder="1"/>
    <xf numFmtId="0" fontId="0" fillId="4" borderId="1" xfId="0" applyFill="1" applyBorder="1" applyProtection="1">
      <protection locked="0"/>
    </xf>
    <xf numFmtId="186" fontId="0" fillId="4" borderId="3" xfId="0" applyNumberFormat="1" applyFill="1" applyBorder="1"/>
    <xf numFmtId="186" fontId="0" fillId="4" borderId="0" xfId="0" applyNumberFormat="1" applyFill="1" applyBorder="1"/>
    <xf numFmtId="0" fontId="0" fillId="4" borderId="3" xfId="0" applyFill="1" applyBorder="1"/>
    <xf numFmtId="2" fontId="0" fillId="5" borderId="0" xfId="0" applyNumberFormat="1" applyFill="1" applyBorder="1" applyAlignment="1">
      <alignment horizontal="right"/>
    </xf>
    <xf numFmtId="0" fontId="0" fillId="9" borderId="0" xfId="0" applyFill="1" applyAlignment="1">
      <alignment horizontal="left"/>
    </xf>
    <xf numFmtId="1" fontId="0" fillId="9" borderId="0" xfId="0" applyNumberFormat="1" applyFill="1" applyAlignment="1"/>
    <xf numFmtId="0" fontId="14" fillId="0" borderId="0" xfId="0" applyFont="1" applyAlignment="1">
      <alignment horizontal="center" vertical="center" wrapText="1"/>
    </xf>
    <xf numFmtId="0" fontId="8" fillId="3" borderId="2" xfId="0" applyFont="1" applyFill="1" applyBorder="1" applyAlignment="1">
      <alignment horizontal="right" vertical="center" wrapText="1"/>
    </xf>
    <xf numFmtId="0" fontId="5" fillId="3" borderId="0" xfId="0" applyFont="1" applyFill="1"/>
    <xf numFmtId="0" fontId="8" fillId="3" borderId="1" xfId="0" applyFont="1" applyFill="1" applyBorder="1" applyAlignment="1">
      <alignment horizontal="left" vertical="center" wrapText="1"/>
    </xf>
    <xf numFmtId="2" fontId="0" fillId="3" borderId="0" xfId="0" applyNumberFormat="1" applyFill="1"/>
    <xf numFmtId="0" fontId="15" fillId="2" borderId="0" xfId="0" applyFont="1" applyFill="1"/>
    <xf numFmtId="0" fontId="8" fillId="3" borderId="0" xfId="0" applyFont="1" applyFill="1" applyBorder="1" applyAlignment="1">
      <alignment wrapText="1"/>
    </xf>
    <xf numFmtId="0" fontId="8" fillId="0" borderId="0" xfId="0" applyFont="1" applyFill="1" applyAlignment="1">
      <alignment wrapText="1"/>
    </xf>
    <xf numFmtId="0" fontId="8" fillId="4" borderId="0" xfId="0" applyFont="1" applyFill="1" applyBorder="1" applyAlignment="1">
      <alignment wrapText="1"/>
    </xf>
    <xf numFmtId="0" fontId="15" fillId="0" borderId="0" xfId="0" applyFont="1" applyFill="1"/>
    <xf numFmtId="2" fontId="8" fillId="5" borderId="0" xfId="0" applyNumberFormat="1" applyFont="1" applyFill="1" applyBorder="1" applyAlignment="1">
      <alignment horizontal="right" vertical="center" wrapText="1"/>
    </xf>
    <xf numFmtId="1" fontId="0" fillId="4" borderId="0" xfId="0" applyNumberFormat="1" applyFill="1"/>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2" fontId="7" fillId="4" borderId="6" xfId="0" applyNumberFormat="1" applyFont="1" applyFill="1" applyBorder="1" applyAlignment="1">
      <alignment horizontal="right"/>
    </xf>
    <xf numFmtId="2" fontId="7" fillId="4" borderId="4" xfId="0" applyNumberFormat="1" applyFont="1" applyFill="1" applyBorder="1" applyAlignment="1">
      <alignment horizontal="right"/>
    </xf>
    <xf numFmtId="0" fontId="7" fillId="4" borderId="4" xfId="0" applyFont="1" applyFill="1" applyBorder="1" applyAlignment="1">
      <alignment horizontal="right"/>
    </xf>
    <xf numFmtId="0" fontId="7" fillId="4" borderId="5" xfId="0" applyFont="1" applyFill="1" applyBorder="1" applyAlignment="1">
      <alignment horizontal="right"/>
    </xf>
    <xf numFmtId="2" fontId="7" fillId="4" borderId="5" xfId="0" applyNumberFormat="1" applyFont="1" applyFill="1" applyBorder="1" applyAlignment="1">
      <alignment horizontal="right"/>
    </xf>
    <xf numFmtId="0" fontId="7" fillId="4" borderId="6" xfId="0" applyFont="1" applyFill="1" applyBorder="1" applyAlignment="1">
      <alignment horizontal="right"/>
    </xf>
    <xf numFmtId="0" fontId="17" fillId="0" borderId="0" xfId="0" applyFont="1" applyAlignment="1">
      <alignment horizontal="left"/>
    </xf>
    <xf numFmtId="0" fontId="7" fillId="0" borderId="0" xfId="0" applyFont="1" applyAlignment="1">
      <alignment horizontal="left"/>
    </xf>
    <xf numFmtId="0" fontId="8" fillId="4" borderId="0" xfId="0" applyFont="1" applyFill="1" applyBorder="1" applyAlignment="1">
      <alignment horizontal="center" vertical="center" wrapText="1"/>
    </xf>
    <xf numFmtId="1" fontId="0" fillId="4" borderId="1" xfId="0" applyNumberFormat="1" applyFill="1" applyBorder="1"/>
    <xf numFmtId="1" fontId="0" fillId="4" borderId="0" xfId="0" applyNumberFormat="1" applyFill="1" applyBorder="1"/>
    <xf numFmtId="0" fontId="7" fillId="0" borderId="0" xfId="0" applyFont="1" applyBorder="1" applyAlignment="1">
      <alignment horizontal="left"/>
    </xf>
    <xf numFmtId="0" fontId="19" fillId="0" borderId="0" xfId="0" applyNumberFormat="1" applyFont="1" applyFill="1" applyBorder="1" applyAlignment="1"/>
    <xf numFmtId="0" fontId="7" fillId="0" borderId="0" xfId="0" applyFont="1" applyFill="1"/>
    <xf numFmtId="0" fontId="21" fillId="0" borderId="0" xfId="0" applyNumberFormat="1" applyFont="1" applyFill="1" applyBorder="1" applyAlignment="1">
      <alignment horizontal="left"/>
    </xf>
    <xf numFmtId="0" fontId="21" fillId="0" borderId="0" xfId="0" applyNumberFormat="1" applyFont="1" applyFill="1" applyBorder="1" applyAlignment="1"/>
    <xf numFmtId="2" fontId="21" fillId="0" borderId="0" xfId="0" applyNumberFormat="1" applyFont="1" applyFill="1" applyBorder="1" applyAlignment="1"/>
    <xf numFmtId="0" fontId="22" fillId="0" borderId="0" xfId="0" applyNumberFormat="1" applyFont="1" applyFill="1" applyBorder="1" applyAlignment="1"/>
    <xf numFmtId="0" fontId="23" fillId="0" borderId="0" xfId="0" applyNumberFormat="1" applyFont="1" applyFill="1" applyBorder="1" applyAlignment="1"/>
    <xf numFmtId="0" fontId="19" fillId="0" borderId="0" xfId="0" applyNumberFormat="1" applyFont="1" applyFill="1" applyBorder="1" applyAlignment="1">
      <alignment wrapText="1"/>
    </xf>
    <xf numFmtId="0" fontId="21" fillId="0" borderId="0" xfId="0" applyNumberFormat="1" applyFont="1" applyFill="1" applyBorder="1" applyAlignment="1">
      <alignment horizontal="right"/>
    </xf>
    <xf numFmtId="0" fontId="20" fillId="0" borderId="0" xfId="0" applyNumberFormat="1" applyFont="1" applyFill="1" applyBorder="1" applyAlignment="1"/>
    <xf numFmtId="0" fontId="19" fillId="0" borderId="7" xfId="0" applyNumberFormat="1" applyFont="1" applyFill="1" applyBorder="1" applyAlignment="1"/>
    <xf numFmtId="0" fontId="25" fillId="2" borderId="0" xfId="0" applyFont="1" applyFill="1"/>
    <xf numFmtId="0" fontId="8" fillId="0" borderId="0" xfId="0" applyFont="1" applyFill="1"/>
    <xf numFmtId="0" fontId="26" fillId="0" borderId="0" xfId="0" quotePrefix="1" applyFont="1" applyAlignment="1">
      <alignment horizontal="left"/>
    </xf>
    <xf numFmtId="0" fontId="25" fillId="2" borderId="0" xfId="0" applyFont="1" applyFill="1" applyAlignment="1">
      <alignment horizontal="center"/>
    </xf>
    <xf numFmtId="0" fontId="0" fillId="0" borderId="0" xfId="0" applyAlignment="1" applyProtection="1">
      <alignment horizontal="right"/>
    </xf>
    <xf numFmtId="0" fontId="0" fillId="2" borderId="0" xfId="0" applyFill="1"/>
    <xf numFmtId="0" fontId="0" fillId="0" borderId="0" xfId="0" applyFill="1" applyProtection="1">
      <protection locked="0"/>
    </xf>
    <xf numFmtId="0" fontId="7" fillId="3" borderId="2" xfId="0" applyFont="1" applyFill="1" applyBorder="1" applyAlignment="1">
      <alignment horizontal="center" vertical="center" wrapText="1"/>
    </xf>
    <xf numFmtId="1" fontId="0" fillId="3" borderId="0" xfId="0" applyNumberFormat="1" applyFill="1"/>
    <xf numFmtId="0" fontId="0" fillId="3" borderId="0" xfId="0" applyFill="1" applyProtection="1">
      <protection locked="0"/>
    </xf>
    <xf numFmtId="0" fontId="0" fillId="3" borderId="8" xfId="0" applyFill="1" applyBorder="1" applyAlignment="1">
      <alignment wrapText="1"/>
    </xf>
    <xf numFmtId="0" fontId="0" fillId="3" borderId="8" xfId="0" applyFill="1" applyBorder="1"/>
    <xf numFmtId="186" fontId="0" fillId="3" borderId="8" xfId="0" applyNumberFormat="1" applyFill="1" applyBorder="1"/>
    <xf numFmtId="2" fontId="0" fillId="3" borderId="8" xfId="0" applyNumberFormat="1" applyFill="1" applyBorder="1"/>
    <xf numFmtId="0" fontId="0" fillId="3" borderId="8" xfId="0" applyFill="1" applyBorder="1" applyProtection="1">
      <protection locked="0"/>
    </xf>
    <xf numFmtId="0" fontId="0" fillId="4" borderId="8" xfId="0" applyFill="1" applyBorder="1"/>
    <xf numFmtId="0" fontId="0" fillId="0" borderId="8" xfId="0" applyBorder="1"/>
    <xf numFmtId="186" fontId="0" fillId="3" borderId="0" xfId="0" applyNumberFormat="1" applyFill="1"/>
    <xf numFmtId="0" fontId="8" fillId="0" borderId="0" xfId="0" applyFont="1" applyFill="1" applyAlignment="1">
      <alignment horizontal="left"/>
    </xf>
    <xf numFmtId="0" fontId="25" fillId="2" borderId="0" xfId="0" applyFont="1" applyFill="1" applyBorder="1" applyAlignment="1">
      <alignment horizontal="left"/>
    </xf>
    <xf numFmtId="1" fontId="7" fillId="3" borderId="9" xfId="0" applyNumberFormat="1" applyFont="1" applyFill="1" applyBorder="1" applyAlignment="1">
      <alignment horizontal="left" vertical="center" wrapText="1"/>
    </xf>
    <xf numFmtId="1" fontId="7" fillId="3" borderId="4" xfId="0" applyNumberFormat="1" applyFont="1" applyFill="1" applyBorder="1" applyAlignment="1">
      <alignment horizontal="left" vertical="center" wrapText="1"/>
    </xf>
    <xf numFmtId="1" fontId="7" fillId="3" borderId="5" xfId="0" applyNumberFormat="1" applyFont="1" applyFill="1" applyBorder="1" applyAlignment="1">
      <alignment horizontal="left" vertical="center" wrapText="1"/>
    </xf>
    <xf numFmtId="1" fontId="7" fillId="3" borderId="6" xfId="0" applyNumberFormat="1" applyFont="1" applyFill="1" applyBorder="1" applyAlignment="1">
      <alignment horizontal="left" vertical="center" wrapText="1"/>
    </xf>
    <xf numFmtId="2" fontId="25" fillId="2" borderId="0" xfId="0" applyNumberFormat="1" applyFont="1" applyFill="1"/>
    <xf numFmtId="2" fontId="15" fillId="2" borderId="0" xfId="0" applyNumberFormat="1" applyFont="1" applyFill="1"/>
    <xf numFmtId="1" fontId="0" fillId="3" borderId="8" xfId="0" applyNumberFormat="1" applyFill="1" applyBorder="1"/>
    <xf numFmtId="0" fontId="8" fillId="3" borderId="8" xfId="0" applyFont="1" applyFill="1" applyBorder="1" applyAlignment="1">
      <alignment horizontal="left" vertical="center"/>
    </xf>
    <xf numFmtId="0" fontId="8" fillId="0" borderId="0" xfId="0" applyFont="1" applyFill="1" applyBorder="1" applyAlignment="1">
      <alignment horizontal="center" vertical="center" wrapText="1"/>
    </xf>
    <xf numFmtId="1" fontId="0" fillId="0" borderId="3" xfId="0" applyNumberFormat="1" applyFill="1" applyBorder="1"/>
    <xf numFmtId="1" fontId="0" fillId="0" borderId="0" xfId="0" applyNumberFormat="1" applyFill="1" applyBorder="1"/>
    <xf numFmtId="1" fontId="0" fillId="0" borderId="1" xfId="0" applyNumberFormat="1" applyFill="1" applyBorder="1"/>
    <xf numFmtId="186" fontId="8" fillId="5" borderId="0" xfId="0" applyNumberFormat="1" applyFont="1" applyFill="1" applyBorder="1" applyAlignment="1">
      <alignment wrapText="1"/>
    </xf>
    <xf numFmtId="186" fontId="8" fillId="5" borderId="1" xfId="0" applyNumberFormat="1" applyFont="1" applyFill="1" applyBorder="1" applyAlignment="1">
      <alignment wrapText="1"/>
    </xf>
    <xf numFmtId="0" fontId="0" fillId="3" borderId="3" xfId="0" applyFill="1" applyBorder="1" applyAlignment="1">
      <alignment wrapText="1"/>
    </xf>
    <xf numFmtId="1" fontId="7" fillId="3" borderId="0" xfId="0" applyNumberFormat="1" applyFont="1" applyFill="1"/>
    <xf numFmtId="0" fontId="8" fillId="4" borderId="0" xfId="0" applyFont="1" applyFill="1" applyBorder="1" applyAlignment="1">
      <alignment horizontal="right" vertical="center" wrapText="1"/>
    </xf>
    <xf numFmtId="2" fontId="8" fillId="4" borderId="0" xfId="0" applyNumberFormat="1" applyFont="1" applyFill="1" applyBorder="1" applyAlignment="1">
      <alignment horizontal="right" vertical="center" wrapText="1"/>
    </xf>
    <xf numFmtId="2" fontId="0" fillId="4" borderId="0" xfId="0" applyNumberFormat="1" applyFill="1" applyAlignment="1">
      <alignment horizontal="right"/>
    </xf>
    <xf numFmtId="2" fontId="0" fillId="4" borderId="1" xfId="0" applyNumberFormat="1" applyFill="1" applyBorder="1" applyAlignment="1">
      <alignment horizontal="right"/>
    </xf>
    <xf numFmtId="0" fontId="0" fillId="0" borderId="0" xfId="0" applyAlignment="1" applyProtection="1">
      <alignment horizontal="left"/>
    </xf>
    <xf numFmtId="192" fontId="0" fillId="0" borderId="0" xfId="0" applyNumberFormat="1" applyProtection="1"/>
    <xf numFmtId="193" fontId="0" fillId="0" borderId="0" xfId="0" applyNumberFormat="1" applyProtection="1"/>
    <xf numFmtId="188" fontId="0" fillId="0" borderId="0" xfId="0" applyNumberFormat="1" applyProtection="1"/>
    <xf numFmtId="0" fontId="23" fillId="0" borderId="0" xfId="0" applyNumberFormat="1" applyFont="1" applyFill="1" applyBorder="1" applyAlignment="1">
      <alignment horizontal="left"/>
    </xf>
    <xf numFmtId="0" fontId="21" fillId="0" borderId="0" xfId="0" applyNumberFormat="1" applyFont="1" applyFill="1" applyBorder="1" applyAlignment="1">
      <alignment horizontal="center" wrapText="1"/>
    </xf>
    <xf numFmtId="0" fontId="21" fillId="0" borderId="0" xfId="0" applyNumberFormat="1" applyFont="1" applyFill="1" applyBorder="1" applyAlignment="1">
      <alignment wrapText="1"/>
    </xf>
    <xf numFmtId="179" fontId="21" fillId="0" borderId="0" xfId="0" applyNumberFormat="1" applyFont="1" applyFill="1" applyBorder="1" applyAlignment="1"/>
    <xf numFmtId="179" fontId="21" fillId="0" borderId="0" xfId="0" applyNumberFormat="1" applyFont="1" applyFill="1" applyBorder="1" applyAlignment="1">
      <alignment horizontal="right"/>
    </xf>
    <xf numFmtId="0" fontId="21" fillId="0" borderId="0" xfId="0" applyNumberFormat="1" applyFont="1" applyFill="1" applyBorder="1" applyAlignment="1">
      <alignment horizontal="right" wrapText="1"/>
    </xf>
    <xf numFmtId="0" fontId="16" fillId="10" borderId="0" xfId="0" applyFont="1" applyFill="1" applyAlignment="1">
      <alignment horizontal="left"/>
    </xf>
    <xf numFmtId="0" fontId="0" fillId="10" borderId="0" xfId="0" applyFill="1"/>
    <xf numFmtId="0" fontId="0" fillId="3" borderId="0" xfId="0" quotePrefix="1" applyFill="1" applyAlignment="1">
      <alignment horizontal="left" wrapText="1"/>
    </xf>
    <xf numFmtId="2" fontId="0" fillId="4" borderId="3" xfId="0" applyNumberFormat="1" applyFill="1" applyBorder="1"/>
    <xf numFmtId="187" fontId="0" fillId="4" borderId="0" xfId="0" applyNumberFormat="1" applyFill="1"/>
    <xf numFmtId="187" fontId="0" fillId="4" borderId="5" xfId="0" applyNumberFormat="1" applyFill="1" applyBorder="1"/>
    <xf numFmtId="0" fontId="0" fillId="3" borderId="0" xfId="0" quotePrefix="1" applyFill="1" applyBorder="1" applyAlignment="1">
      <alignment horizontal="left" wrapText="1"/>
    </xf>
    <xf numFmtId="0" fontId="0" fillId="3" borderId="1" xfId="0" quotePrefix="1" applyFill="1" applyBorder="1" applyAlignment="1">
      <alignment horizontal="left" wrapText="1"/>
    </xf>
    <xf numFmtId="0" fontId="0" fillId="11" borderId="10" xfId="0" applyFill="1" applyBorder="1" applyAlignment="1">
      <alignment wrapText="1"/>
    </xf>
    <xf numFmtId="0" fontId="0" fillId="11" borderId="10" xfId="0" applyFill="1" applyBorder="1"/>
    <xf numFmtId="2" fontId="0" fillId="11" borderId="10" xfId="0" applyNumberFormat="1" applyFill="1" applyBorder="1"/>
    <xf numFmtId="1" fontId="0" fillId="11" borderId="10" xfId="0" applyNumberFormat="1" applyFill="1" applyBorder="1"/>
    <xf numFmtId="186" fontId="0" fillId="11" borderId="10" xfId="0" applyNumberFormat="1" applyFill="1" applyBorder="1"/>
    <xf numFmtId="0" fontId="11" fillId="12" borderId="0" xfId="0" applyFont="1" applyFill="1" applyAlignment="1"/>
    <xf numFmtId="0" fontId="0" fillId="12" borderId="0" xfId="0" applyFill="1"/>
    <xf numFmtId="0" fontId="8" fillId="12" borderId="0" xfId="0" applyFont="1" applyFill="1"/>
    <xf numFmtId="1" fontId="0" fillId="12" borderId="0" xfId="0" applyNumberFormat="1" applyFill="1" applyAlignment="1">
      <alignment horizontal="right" vertical="center"/>
    </xf>
    <xf numFmtId="0" fontId="5" fillId="12" borderId="0" xfId="0" applyFont="1" applyFill="1"/>
    <xf numFmtId="0" fontId="5" fillId="12" borderId="0" xfId="0" applyFont="1" applyFill="1" applyAlignment="1">
      <alignment horizontal="center" vertical="center"/>
    </xf>
    <xf numFmtId="0" fontId="8" fillId="12" borderId="0" xfId="0" applyFont="1" applyFill="1" applyAlignment="1">
      <alignment horizontal="center" vertical="center"/>
    </xf>
    <xf numFmtId="0" fontId="25" fillId="2" borderId="0" xfId="0" applyFont="1" applyFill="1" applyAlignment="1">
      <alignment horizontal="left" vertical="center"/>
    </xf>
    <xf numFmtId="1" fontId="0" fillId="12" borderId="0" xfId="0" applyNumberFormat="1" applyFill="1"/>
    <xf numFmtId="0" fontId="5" fillId="12" borderId="0" xfId="0" applyFont="1" applyFill="1" applyAlignment="1">
      <alignment horizontal="left" vertical="center"/>
    </xf>
    <xf numFmtId="0" fontId="28" fillId="12" borderId="0" xfId="0" applyFont="1" applyFill="1"/>
    <xf numFmtId="0" fontId="0" fillId="12" borderId="0" xfId="0" applyFill="1" applyAlignment="1">
      <alignment horizontal="left"/>
    </xf>
    <xf numFmtId="0" fontId="0" fillId="12" borderId="0" xfId="0" applyFill="1" applyAlignment="1">
      <alignment horizontal="right"/>
    </xf>
    <xf numFmtId="10" fontId="0" fillId="12" borderId="0" xfId="1" applyNumberFormat="1" applyFont="1" applyFill="1"/>
    <xf numFmtId="0" fontId="5" fillId="12" borderId="0" xfId="0" applyFont="1" applyFill="1" applyAlignment="1">
      <alignment wrapText="1"/>
    </xf>
    <xf numFmtId="0" fontId="7" fillId="12" borderId="0" xfId="0" applyFont="1" applyFill="1" applyAlignment="1">
      <alignment horizontal="center" vertical="center" wrapText="1"/>
    </xf>
    <xf numFmtId="0" fontId="5" fillId="12" borderId="0" xfId="0" applyFont="1" applyFill="1" applyAlignment="1">
      <alignment horizontal="right" vertical="center"/>
    </xf>
    <xf numFmtId="0" fontId="6" fillId="12" borderId="0" xfId="0" applyFont="1" applyFill="1"/>
    <xf numFmtId="186" fontId="24" fillId="12" borderId="0" xfId="0" applyNumberFormat="1" applyFont="1" applyFill="1" applyAlignment="1">
      <alignment horizontal="left"/>
    </xf>
    <xf numFmtId="2" fontId="0" fillId="12" borderId="0" xfId="0" applyNumberFormat="1" applyFill="1"/>
    <xf numFmtId="0" fontId="24" fillId="12" borderId="0" xfId="0" applyFont="1" applyFill="1" applyBorder="1"/>
    <xf numFmtId="10" fontId="18" fillId="12" borderId="0" xfId="0" applyNumberFormat="1" applyFont="1" applyFill="1"/>
    <xf numFmtId="0" fontId="0" fillId="12" borderId="0" xfId="0" applyFill="1" applyBorder="1"/>
    <xf numFmtId="2" fontId="0" fillId="12" borderId="0" xfId="0" applyNumberFormat="1" applyFill="1" applyBorder="1"/>
    <xf numFmtId="10" fontId="18" fillId="12" borderId="0" xfId="0" applyNumberFormat="1" applyFont="1" applyFill="1" applyBorder="1"/>
    <xf numFmtId="0" fontId="15" fillId="13" borderId="0" xfId="0" applyFont="1" applyFill="1" applyBorder="1"/>
    <xf numFmtId="0" fontId="24" fillId="12" borderId="0" xfId="0" applyFont="1" applyFill="1"/>
    <xf numFmtId="9" fontId="24" fillId="12" borderId="0" xfId="1" applyFont="1" applyFill="1"/>
    <xf numFmtId="9" fontId="24" fillId="12" borderId="0" xfId="1" applyFont="1" applyFill="1" applyBorder="1"/>
    <xf numFmtId="2" fontId="0" fillId="12" borderId="0" xfId="0" applyNumberFormat="1" applyFill="1" applyAlignment="1">
      <alignment horizontal="right" vertical="center"/>
    </xf>
    <xf numFmtId="186" fontId="0" fillId="10" borderId="0" xfId="0" applyNumberFormat="1" applyFill="1" applyAlignment="1">
      <alignment horizontal="right" vertical="center"/>
    </xf>
    <xf numFmtId="186" fontId="8" fillId="10" borderId="0" xfId="0" applyNumberFormat="1" applyFont="1" applyFill="1" applyAlignment="1">
      <alignment horizontal="right" vertical="center"/>
    </xf>
    <xf numFmtId="186" fontId="0" fillId="10" borderId="0" xfId="0" applyNumberFormat="1" applyFill="1" applyAlignment="1">
      <alignment horizontal="right"/>
    </xf>
    <xf numFmtId="186" fontId="0" fillId="10" borderId="0" xfId="0" applyNumberFormat="1" applyFill="1"/>
    <xf numFmtId="2" fontId="24" fillId="12" borderId="0" xfId="0" applyNumberFormat="1" applyFont="1" applyFill="1" applyAlignment="1">
      <alignment horizontal="left"/>
    </xf>
    <xf numFmtId="0" fontId="0" fillId="12" borderId="0" xfId="0" applyFill="1" applyAlignment="1"/>
    <xf numFmtId="0" fontId="25" fillId="12" borderId="0" xfId="0" applyFont="1" applyFill="1" applyAlignment="1">
      <alignment horizontal="center"/>
    </xf>
    <xf numFmtId="0" fontId="25" fillId="12" borderId="0" xfId="0" applyFont="1" applyFill="1"/>
    <xf numFmtId="0" fontId="15" fillId="12" borderId="0" xfId="0" applyFont="1" applyFill="1"/>
    <xf numFmtId="0" fontId="25" fillId="12" borderId="0" xfId="0" applyFont="1" applyFill="1" applyAlignment="1"/>
    <xf numFmtId="0" fontId="25" fillId="12" borderId="0" xfId="0" applyFont="1" applyFill="1" applyAlignment="1">
      <alignment horizontal="right"/>
    </xf>
    <xf numFmtId="0" fontId="7" fillId="12" borderId="0" xfId="0" applyFont="1" applyFill="1" applyAlignment="1"/>
    <xf numFmtId="0" fontId="6" fillId="12" borderId="0" xfId="0" applyFont="1" applyFill="1" applyAlignment="1"/>
    <xf numFmtId="0" fontId="7" fillId="12" borderId="0" xfId="0" applyFont="1" applyFill="1" applyAlignment="1">
      <alignment wrapText="1"/>
    </xf>
    <xf numFmtId="186" fontId="0" fillId="12" borderId="0" xfId="0" applyNumberFormat="1" applyFill="1" applyAlignment="1">
      <alignment horizontal="right" vertical="center"/>
    </xf>
    <xf numFmtId="186" fontId="8" fillId="12" borderId="0" xfId="0" applyNumberFormat="1" applyFont="1" applyFill="1" applyAlignment="1">
      <alignment horizontal="right" vertical="center"/>
    </xf>
    <xf numFmtId="0" fontId="0" fillId="12" borderId="0" xfId="0" applyFill="1" applyAlignment="1">
      <alignment horizontal="justify" vertical="justify"/>
    </xf>
    <xf numFmtId="0" fontId="0" fillId="12" borderId="0" xfId="0" applyFill="1" applyAlignment="1">
      <alignment vertical="center"/>
    </xf>
    <xf numFmtId="2" fontId="5" fillId="12" borderId="0" xfId="0" applyNumberFormat="1" applyFont="1" applyFill="1"/>
    <xf numFmtId="0" fontId="11" fillId="12" borderId="0" xfId="0" applyFont="1" applyFill="1"/>
    <xf numFmtId="0" fontId="0" fillId="12" borderId="0" xfId="0" applyFill="1" applyBorder="1" applyAlignment="1">
      <alignment horizontal="right"/>
    </xf>
    <xf numFmtId="0" fontId="28" fillId="0" borderId="0" xfId="0" applyFont="1"/>
    <xf numFmtId="0" fontId="29" fillId="0" borderId="0" xfId="0" applyFont="1" applyBorder="1" applyAlignment="1">
      <alignment horizontal="left"/>
    </xf>
    <xf numFmtId="0" fontId="28" fillId="3" borderId="8" xfId="0" applyFont="1" applyFill="1" applyBorder="1"/>
    <xf numFmtId="0" fontId="29" fillId="0" borderId="0" xfId="0" applyFont="1" applyFill="1" applyAlignment="1">
      <alignment horizontal="left"/>
    </xf>
    <xf numFmtId="0" fontId="7" fillId="3" borderId="11" xfId="0" applyFont="1" applyFill="1" applyBorder="1" applyAlignment="1">
      <alignment horizontal="left" vertical="center" wrapText="1"/>
    </xf>
    <xf numFmtId="0" fontId="7" fillId="3" borderId="11" xfId="0" applyFont="1" applyFill="1" applyBorder="1" applyAlignment="1">
      <alignment horizontal="right" vertical="center" wrapText="1"/>
    </xf>
    <xf numFmtId="0" fontId="7" fillId="3" borderId="12" xfId="0" applyFont="1" applyFill="1" applyBorder="1" applyAlignment="1">
      <alignment horizontal="right" vertical="center" wrapText="1"/>
    </xf>
    <xf numFmtId="0" fontId="28" fillId="0" borderId="0" xfId="0" applyFont="1" applyAlignment="1">
      <alignment horizontal="left"/>
    </xf>
    <xf numFmtId="0" fontId="25" fillId="2" borderId="0" xfId="0" applyFont="1" applyFill="1" applyAlignment="1">
      <alignment horizontal="left"/>
    </xf>
    <xf numFmtId="186" fontId="0" fillId="0" borderId="0" xfId="0" applyNumberFormat="1" applyFill="1" applyBorder="1"/>
    <xf numFmtId="0" fontId="5" fillId="0" borderId="0" xfId="0" applyFont="1" applyFill="1" applyBorder="1"/>
    <xf numFmtId="0" fontId="28" fillId="0" borderId="0" xfId="0" applyFont="1" applyFill="1"/>
    <xf numFmtId="0" fontId="30" fillId="0" borderId="0" xfId="0" applyFont="1"/>
    <xf numFmtId="10" fontId="31" fillId="0" borderId="0" xfId="1" applyNumberFormat="1" applyFont="1"/>
    <xf numFmtId="10" fontId="31" fillId="0" borderId="0" xfId="0" applyNumberFormat="1" applyFont="1"/>
    <xf numFmtId="1" fontId="0" fillId="11" borderId="8" xfId="0" applyNumberFormat="1" applyFill="1" applyBorder="1"/>
    <xf numFmtId="0" fontId="15" fillId="12" borderId="0" xfId="0" applyFont="1" applyFill="1" applyBorder="1"/>
    <xf numFmtId="0" fontId="17" fillId="12" borderId="0" xfId="0" applyFont="1" applyFill="1" applyAlignment="1">
      <alignment horizontal="center"/>
    </xf>
    <xf numFmtId="0" fontId="8" fillId="14" borderId="0" xfId="0" applyFont="1" applyFill="1"/>
    <xf numFmtId="0" fontId="8" fillId="15" borderId="0" xfId="0" applyFont="1" applyFill="1"/>
    <xf numFmtId="0" fontId="0" fillId="9" borderId="0" xfId="0" applyFill="1" applyBorder="1"/>
    <xf numFmtId="0" fontId="0" fillId="9" borderId="1" xfId="0" applyFill="1" applyBorder="1"/>
    <xf numFmtId="0" fontId="8" fillId="9" borderId="0" xfId="0" applyFont="1" applyFill="1" applyBorder="1" applyAlignment="1">
      <alignment wrapText="1"/>
    </xf>
    <xf numFmtId="0" fontId="0" fillId="9" borderId="0" xfId="0" applyFill="1" applyAlignment="1"/>
    <xf numFmtId="0" fontId="0" fillId="9" borderId="1" xfId="0" applyFill="1" applyBorder="1" applyAlignment="1"/>
    <xf numFmtId="0" fontId="0" fillId="9" borderId="0" xfId="0" quotePrefix="1" applyFill="1" applyAlignment="1">
      <alignment horizontal="left"/>
    </xf>
    <xf numFmtId="0" fontId="0" fillId="9" borderId="0" xfId="0" quotePrefix="1" applyFill="1" applyBorder="1" applyAlignment="1">
      <alignment horizontal="left"/>
    </xf>
    <xf numFmtId="0" fontId="8" fillId="9" borderId="1" xfId="0" applyFont="1" applyFill="1" applyBorder="1"/>
    <xf numFmtId="0" fontId="8" fillId="9" borderId="0" xfId="0" applyFont="1" applyFill="1" applyBorder="1" applyAlignment="1">
      <alignment horizontal="left" vertical="center" wrapText="1"/>
    </xf>
    <xf numFmtId="0" fontId="0" fillId="9" borderId="1" xfId="0" quotePrefix="1" applyFill="1" applyBorder="1" applyAlignment="1">
      <alignment horizontal="left"/>
    </xf>
    <xf numFmtId="0" fontId="5" fillId="9" borderId="0" xfId="0" applyFont="1" applyFill="1"/>
    <xf numFmtId="0" fontId="5" fillId="9" borderId="0" xfId="0" applyFont="1" applyFill="1" applyBorder="1" applyAlignment="1">
      <alignment horizontal="center"/>
    </xf>
    <xf numFmtId="0" fontId="25" fillId="2" borderId="0" xfId="0" quotePrefix="1" applyFont="1" applyFill="1" applyAlignment="1">
      <alignment horizontal="left"/>
    </xf>
    <xf numFmtId="0" fontId="8" fillId="3" borderId="2" xfId="0" quotePrefix="1" applyFont="1" applyFill="1" applyBorder="1" applyAlignment="1">
      <alignment horizontal="center" vertical="center" wrapText="1"/>
    </xf>
    <xf numFmtId="0" fontId="0" fillId="3" borderId="0" xfId="0" applyFill="1" applyAlignment="1">
      <alignment horizontal="left"/>
    </xf>
    <xf numFmtId="187" fontId="7" fillId="4" borderId="13" xfId="0" applyNumberFormat="1" applyFont="1" applyFill="1" applyBorder="1" applyAlignment="1">
      <alignment horizontal="right"/>
    </xf>
    <xf numFmtId="187" fontId="7" fillId="4" borderId="6" xfId="0" applyNumberFormat="1" applyFont="1" applyFill="1" applyBorder="1" applyAlignment="1">
      <alignment horizontal="right"/>
    </xf>
    <xf numFmtId="187" fontId="7" fillId="4" borderId="9" xfId="0" applyNumberFormat="1" applyFont="1" applyFill="1" applyBorder="1" applyAlignment="1">
      <alignment horizontal="right"/>
    </xf>
    <xf numFmtId="187" fontId="7" fillId="4" borderId="4" xfId="0" applyNumberFormat="1" applyFont="1" applyFill="1" applyBorder="1" applyAlignment="1">
      <alignment horizontal="right"/>
    </xf>
    <xf numFmtId="187" fontId="7" fillId="4" borderId="5" xfId="0" applyNumberFormat="1" applyFont="1" applyFill="1" applyBorder="1" applyAlignment="1">
      <alignment horizontal="right"/>
    </xf>
    <xf numFmtId="0" fontId="19" fillId="3" borderId="2" xfId="0" applyNumberFormat="1" applyFont="1" applyFill="1" applyBorder="1" applyAlignment="1">
      <alignment horizontal="center" vertical="center" wrapText="1"/>
    </xf>
    <xf numFmtId="1" fontId="8" fillId="0" borderId="0" xfId="0" applyNumberFormat="1" applyFont="1"/>
    <xf numFmtId="0" fontId="0" fillId="12" borderId="0" xfId="0" quotePrefix="1" applyFill="1" applyAlignment="1">
      <alignment horizontal="left"/>
    </xf>
    <xf numFmtId="0" fontId="33" fillId="2" borderId="0" xfId="0" applyFont="1" applyFill="1" applyAlignment="1">
      <alignment horizontal="right"/>
    </xf>
    <xf numFmtId="0" fontId="5" fillId="3" borderId="14" xfId="0" applyFont="1" applyFill="1" applyBorder="1"/>
    <xf numFmtId="0" fontId="5" fillId="3" borderId="10" xfId="0" applyFont="1" applyFill="1" applyBorder="1"/>
    <xf numFmtId="0" fontId="5" fillId="3" borderId="15" xfId="0" applyFont="1" applyFill="1" applyBorder="1"/>
    <xf numFmtId="2" fontId="0" fillId="16" borderId="0" xfId="0" applyNumberFormat="1" applyFill="1"/>
    <xf numFmtId="0" fontId="0" fillId="17" borderId="0" xfId="0" applyFill="1"/>
    <xf numFmtId="0" fontId="0" fillId="0" borderId="0" xfId="0" applyAlignment="1">
      <alignment horizontal="center"/>
    </xf>
    <xf numFmtId="0" fontId="0" fillId="17" borderId="0" xfId="0" applyFill="1" applyAlignment="1">
      <alignment horizontal="center"/>
    </xf>
    <xf numFmtId="0" fontId="0" fillId="3" borderId="4" xfId="0" applyFill="1" applyBorder="1"/>
    <xf numFmtId="0" fontId="0" fillId="7" borderId="0" xfId="0" applyFill="1" applyAlignment="1">
      <alignment horizontal="center"/>
    </xf>
    <xf numFmtId="11" fontId="0" fillId="7" borderId="0" xfId="0" applyNumberFormat="1" applyFill="1"/>
    <xf numFmtId="0" fontId="0" fillId="0" borderId="0" xfId="0" applyFill="1" applyAlignment="1">
      <alignment horizontal="center"/>
    </xf>
    <xf numFmtId="195" fontId="0" fillId="10" borderId="0" xfId="0" applyNumberFormat="1" applyFill="1" applyAlignment="1">
      <alignment horizontal="right" vertical="center"/>
    </xf>
    <xf numFmtId="195" fontId="8" fillId="10" borderId="0" xfId="0" applyNumberFormat="1" applyFont="1" applyFill="1" applyAlignment="1">
      <alignment horizontal="right" vertical="center"/>
    </xf>
    <xf numFmtId="195" fontId="0" fillId="10" borderId="0" xfId="0" applyNumberFormat="1" applyFill="1" applyAlignment="1">
      <alignment horizontal="right"/>
    </xf>
    <xf numFmtId="0" fontId="0" fillId="7" borderId="0" xfId="0" applyFill="1" applyAlignment="1">
      <alignment horizontal="left"/>
    </xf>
    <xf numFmtId="0" fontId="0" fillId="4" borderId="10" xfId="0" applyFill="1" applyBorder="1" applyAlignment="1">
      <alignment horizontal="center"/>
    </xf>
    <xf numFmtId="187" fontId="0" fillId="12" borderId="0" xfId="0" applyNumberFormat="1" applyFill="1"/>
    <xf numFmtId="0" fontId="0" fillId="12" borderId="0" xfId="0" applyFill="1" applyAlignment="1">
      <alignment horizontal="center"/>
    </xf>
    <xf numFmtId="187" fontId="0" fillId="0" borderId="0" xfId="0" applyNumberFormat="1"/>
    <xf numFmtId="187" fontId="0" fillId="5" borderId="0" xfId="0" applyNumberFormat="1" applyFill="1"/>
    <xf numFmtId="1" fontId="38" fillId="3" borderId="2" xfId="0" applyNumberFormat="1" applyFont="1" applyFill="1" applyBorder="1" applyAlignment="1">
      <alignment horizontal="right"/>
    </xf>
    <xf numFmtId="0" fontId="27" fillId="3" borderId="0" xfId="0" applyFont="1" applyFill="1"/>
    <xf numFmtId="0" fontId="39" fillId="3" borderId="0" xfId="0" applyFont="1" applyFill="1"/>
    <xf numFmtId="187" fontId="8" fillId="5" borderId="0" xfId="0" applyNumberFormat="1" applyFont="1" applyFill="1" applyAlignment="1">
      <alignment wrapText="1"/>
    </xf>
    <xf numFmtId="2" fontId="0" fillId="18" borderId="0" xfId="0" applyNumberFormat="1" applyFill="1"/>
    <xf numFmtId="0" fontId="0" fillId="17" borderId="4" xfId="0" applyFill="1" applyBorder="1" applyAlignment="1">
      <alignment horizontal="center"/>
    </xf>
    <xf numFmtId="187" fontId="0" fillId="11" borderId="10" xfId="0" applyNumberFormat="1" applyFill="1" applyBorder="1"/>
    <xf numFmtId="0" fontId="0" fillId="9" borderId="0" xfId="0" applyFill="1" applyAlignment="1">
      <alignment horizontal="right"/>
    </xf>
    <xf numFmtId="0" fontId="0" fillId="9" borderId="0" xfId="0" applyFill="1" applyAlignment="1">
      <alignment horizontal="center"/>
    </xf>
    <xf numFmtId="0" fontId="7" fillId="11" borderId="10" xfId="0" applyFont="1" applyFill="1" applyBorder="1"/>
    <xf numFmtId="187" fontId="0" fillId="17" borderId="16" xfId="0" applyNumberFormat="1" applyFill="1" applyBorder="1"/>
    <xf numFmtId="187" fontId="0" fillId="17" borderId="0" xfId="0" applyNumberFormat="1" applyFill="1" applyBorder="1"/>
    <xf numFmtId="187" fontId="0" fillId="17" borderId="9" xfId="0" applyNumberFormat="1" applyFill="1" applyBorder="1"/>
    <xf numFmtId="187" fontId="0" fillId="0" borderId="10" xfId="0" applyNumberFormat="1" applyBorder="1"/>
    <xf numFmtId="1" fontId="38" fillId="3" borderId="7" xfId="0" applyNumberFormat="1" applyFont="1" applyFill="1" applyBorder="1" applyAlignment="1">
      <alignment horizontal="center"/>
    </xf>
    <xf numFmtId="0" fontId="7" fillId="3" borderId="6" xfId="0" applyFont="1" applyFill="1" applyBorder="1" applyAlignment="1">
      <alignment horizontal="center" vertical="center" wrapText="1"/>
    </xf>
    <xf numFmtId="0" fontId="21" fillId="3" borderId="7" xfId="0" applyNumberFormat="1" applyFont="1" applyFill="1" applyBorder="1" applyAlignment="1"/>
    <xf numFmtId="0" fontId="7" fillId="11" borderId="14" xfId="0" applyFont="1" applyFill="1" applyBorder="1"/>
    <xf numFmtId="1" fontId="38" fillId="3" borderId="6" xfId="0" applyNumberFormat="1" applyFont="1" applyFill="1" applyBorder="1" applyAlignment="1">
      <alignment horizontal="center"/>
    </xf>
    <xf numFmtId="0" fontId="7" fillId="11" borderId="17" xfId="0" applyFont="1" applyFill="1" applyBorder="1" applyAlignment="1">
      <alignment horizontal="center"/>
    </xf>
    <xf numFmtId="0" fontId="28" fillId="0" borderId="0" xfId="0" applyFont="1" applyFill="1" applyAlignment="1">
      <alignment horizontal="left"/>
    </xf>
    <xf numFmtId="0" fontId="8" fillId="3" borderId="2" xfId="0" applyFont="1" applyFill="1" applyBorder="1" applyAlignment="1">
      <alignment vertical="center" wrapText="1"/>
    </xf>
    <xf numFmtId="187" fontId="0" fillId="0" borderId="10" xfId="0" applyNumberFormat="1" applyBorder="1" applyAlignment="1">
      <alignment horizontal="center"/>
    </xf>
    <xf numFmtId="187" fontId="0" fillId="17" borderId="4" xfId="0" applyNumberFormat="1" applyFill="1" applyBorder="1" applyAlignment="1">
      <alignment horizontal="center"/>
    </xf>
    <xf numFmtId="187" fontId="0" fillId="17" borderId="5" xfId="0" applyNumberFormat="1" applyFill="1" applyBorder="1" applyAlignment="1">
      <alignment horizontal="center"/>
    </xf>
    <xf numFmtId="0" fontId="0" fillId="0" borderId="8" xfId="0" applyBorder="1" applyAlignment="1">
      <alignment horizontal="center"/>
    </xf>
    <xf numFmtId="0" fontId="8" fillId="3" borderId="18" xfId="0" applyFont="1" applyFill="1" applyBorder="1" applyAlignment="1">
      <alignment horizontal="center" vertical="center" wrapText="1"/>
    </xf>
    <xf numFmtId="1" fontId="0" fillId="3" borderId="16" xfId="0" applyNumberFormat="1" applyFill="1" applyBorder="1"/>
    <xf numFmtId="0" fontId="0" fillId="3" borderId="16" xfId="0" applyFill="1" applyBorder="1"/>
    <xf numFmtId="0" fontId="0" fillId="3" borderId="19" xfId="0" applyFill="1" applyBorder="1"/>
    <xf numFmtId="1" fontId="0" fillId="3" borderId="0" xfId="0" applyNumberFormat="1" applyFill="1" applyBorder="1"/>
    <xf numFmtId="2" fontId="0" fillId="4" borderId="8" xfId="0" applyNumberFormat="1" applyFill="1" applyBorder="1"/>
    <xf numFmtId="0" fontId="5" fillId="3" borderId="2" xfId="0" applyFont="1" applyFill="1" applyBorder="1" applyAlignment="1">
      <alignment horizontal="left"/>
    </xf>
    <xf numFmtId="2" fontId="8" fillId="5" borderId="0" xfId="0" applyNumberFormat="1" applyFont="1" applyFill="1" applyAlignment="1">
      <alignment wrapText="1"/>
    </xf>
    <xf numFmtId="2" fontId="0" fillId="0" borderId="0" xfId="0" applyNumberFormat="1" applyAlignment="1">
      <alignment horizontal="center"/>
    </xf>
    <xf numFmtId="0" fontId="5" fillId="3" borderId="2" xfId="0" applyFont="1" applyFill="1" applyBorder="1" applyAlignment="1"/>
    <xf numFmtId="0" fontId="5" fillId="3" borderId="0" xfId="0" applyFont="1" applyFill="1" applyBorder="1" applyAlignment="1">
      <alignment wrapText="1"/>
    </xf>
    <xf numFmtId="0" fontId="0" fillId="3" borderId="0" xfId="0" applyFill="1" applyAlignment="1" applyProtection="1">
      <alignment horizontal="center"/>
      <protection locked="0"/>
    </xf>
    <xf numFmtId="0" fontId="0" fillId="3" borderId="8" xfId="0" applyFill="1" applyBorder="1" applyAlignment="1" applyProtection="1">
      <alignment horizontal="center"/>
      <protection locked="0"/>
    </xf>
    <xf numFmtId="1" fontId="0" fillId="17" borderId="9" xfId="0" applyNumberFormat="1" applyFill="1" applyBorder="1"/>
    <xf numFmtId="0" fontId="0" fillId="16" borderId="0" xfId="0" applyFill="1"/>
    <xf numFmtId="1" fontId="0" fillId="16" borderId="0" xfId="0" applyNumberFormat="1" applyFill="1"/>
    <xf numFmtId="187" fontId="0" fillId="4" borderId="0" xfId="0" applyNumberFormat="1" applyFill="1" applyBorder="1"/>
    <xf numFmtId="187" fontId="0" fillId="4" borderId="1" xfId="0" applyNumberFormat="1" applyFill="1" applyBorder="1"/>
    <xf numFmtId="186" fontId="0" fillId="3" borderId="0" xfId="0" applyNumberFormat="1" applyFill="1" applyBorder="1"/>
    <xf numFmtId="2" fontId="0" fillId="3" borderId="0" xfId="0" applyNumberFormat="1" applyFill="1" applyBorder="1"/>
    <xf numFmtId="0" fontId="0" fillId="3" borderId="0" xfId="0" applyFill="1" applyBorder="1" applyProtection="1">
      <protection locked="0"/>
    </xf>
    <xf numFmtId="10" fontId="1" fillId="8" borderId="0" xfId="1" applyNumberFormat="1" applyFont="1" applyFill="1"/>
    <xf numFmtId="10" fontId="1" fillId="12" borderId="0" xfId="1" applyNumberFormat="1" applyFont="1" applyFill="1"/>
    <xf numFmtId="0" fontId="0" fillId="4" borderId="0" xfId="0" applyFill="1" applyAlignment="1">
      <alignment horizontal="center"/>
    </xf>
    <xf numFmtId="2" fontId="0" fillId="4" borderId="0" xfId="0" applyNumberFormat="1" applyFill="1" applyAlignment="1">
      <alignment horizontal="center"/>
    </xf>
    <xf numFmtId="0" fontId="30" fillId="0" borderId="0" xfId="0" applyFont="1" applyAlignment="1">
      <alignment horizontal="center"/>
    </xf>
    <xf numFmtId="0" fontId="0" fillId="4" borderId="0" xfId="0" applyFill="1" applyAlignment="1">
      <alignment horizontal="center" wrapText="1"/>
    </xf>
    <xf numFmtId="0" fontId="0" fillId="0" borderId="0" xfId="0" applyFill="1" applyAlignment="1">
      <alignment horizontal="center" wrapText="1"/>
    </xf>
    <xf numFmtId="189" fontId="0" fillId="4" borderId="0" xfId="0" applyNumberFormat="1" applyFill="1" applyAlignment="1">
      <alignment horizontal="center"/>
    </xf>
    <xf numFmtId="189" fontId="7" fillId="4" borderId="0" xfId="0" applyNumberFormat="1" applyFont="1" applyFill="1" applyAlignment="1">
      <alignment horizontal="center"/>
    </xf>
    <xf numFmtId="1" fontId="0" fillId="17" borderId="0" xfId="0" applyNumberFormat="1" applyFill="1"/>
    <xf numFmtId="186" fontId="0" fillId="0" borderId="0" xfId="0" applyNumberFormat="1" applyAlignment="1">
      <alignment horizontal="center"/>
    </xf>
    <xf numFmtId="0" fontId="0" fillId="7" borderId="0" xfId="0" applyFill="1"/>
    <xf numFmtId="2" fontId="0" fillId="3" borderId="0" xfId="0" applyNumberFormat="1" applyFill="1" applyAlignment="1">
      <alignment horizontal="center"/>
    </xf>
    <xf numFmtId="0" fontId="0" fillId="3" borderId="0" xfId="0" applyFill="1" applyAlignment="1">
      <alignment horizontal="center"/>
    </xf>
    <xf numFmtId="186" fontId="0" fillId="7" borderId="0" xfId="0" applyNumberFormat="1" applyFill="1"/>
    <xf numFmtId="1" fontId="0" fillId="3" borderId="0" xfId="0" applyNumberFormat="1" applyFill="1" applyProtection="1">
      <protection locked="0"/>
    </xf>
    <xf numFmtId="1" fontId="0" fillId="3" borderId="0" xfId="0" applyNumberFormat="1" applyFill="1" applyAlignment="1" applyProtection="1">
      <alignment horizontal="center"/>
      <protection locked="0"/>
    </xf>
    <xf numFmtId="187" fontId="0" fillId="0" borderId="0" xfId="0" applyNumberFormat="1" applyFill="1" applyBorder="1"/>
    <xf numFmtId="1" fontId="0" fillId="3" borderId="0" xfId="0" applyNumberFormat="1" applyFill="1" applyAlignment="1">
      <alignment horizontal="center"/>
    </xf>
    <xf numFmtId="0" fontId="0" fillId="3" borderId="8" xfId="0" applyFill="1" applyBorder="1" applyAlignment="1">
      <alignment horizontal="center"/>
    </xf>
    <xf numFmtId="187" fontId="0" fillId="12" borderId="0" xfId="0" applyNumberFormat="1" applyFill="1" applyBorder="1"/>
    <xf numFmtId="187" fontId="39" fillId="4" borderId="0" xfId="0" applyNumberFormat="1" applyFont="1" applyFill="1"/>
    <xf numFmtId="0" fontId="0" fillId="3" borderId="0" xfId="0" applyFill="1" applyAlignment="1"/>
    <xf numFmtId="2" fontId="0" fillId="3" borderId="0" xfId="0" applyNumberFormat="1" applyFill="1" applyProtection="1">
      <protection locked="0"/>
    </xf>
    <xf numFmtId="187" fontId="0" fillId="17" borderId="0" xfId="0" applyNumberFormat="1" applyFill="1"/>
    <xf numFmtId="0" fontId="1" fillId="0" borderId="0" xfId="0" applyFont="1" applyFill="1"/>
    <xf numFmtId="0" fontId="41" fillId="0" borderId="0" xfId="0" applyNumberFormat="1" applyFont="1" applyFill="1" applyBorder="1" applyAlignment="1"/>
    <xf numFmtId="187" fontId="0" fillId="3" borderId="0" xfId="0" applyNumberFormat="1" applyFill="1"/>
    <xf numFmtId="1" fontId="42" fillId="3" borderId="10" xfId="0" applyNumberFormat="1" applyFont="1" applyFill="1" applyBorder="1" applyAlignment="1">
      <alignment horizontal="center"/>
    </xf>
    <xf numFmtId="0" fontId="5" fillId="3" borderId="2" xfId="0" applyFont="1" applyFill="1" applyBorder="1" applyAlignment="1">
      <alignment horizontal="center" wrapText="1"/>
    </xf>
    <xf numFmtId="0" fontId="5" fillId="3" borderId="2" xfId="0" applyFont="1" applyFill="1" applyBorder="1" applyAlignment="1">
      <alignment horizontal="center"/>
    </xf>
    <xf numFmtId="1" fontId="42" fillId="3" borderId="17" xfId="0" applyNumberFormat="1" applyFont="1" applyFill="1" applyBorder="1" applyAlignment="1">
      <alignment horizontal="center"/>
    </xf>
    <xf numFmtId="2" fontId="0" fillId="3" borderId="4" xfId="0" applyNumberFormat="1" applyFill="1" applyBorder="1" applyAlignment="1">
      <alignment horizontal="center"/>
    </xf>
    <xf numFmtId="1" fontId="8" fillId="0" borderId="4" xfId="0" applyNumberFormat="1" applyFont="1" applyBorder="1" applyAlignment="1">
      <alignment horizontal="center"/>
    </xf>
    <xf numFmtId="0" fontId="28" fillId="0" borderId="0" xfId="0" applyFont="1" applyAlignment="1">
      <alignment horizontal="center"/>
    </xf>
    <xf numFmtId="187" fontId="0" fillId="3" borderId="0" xfId="0" applyNumberFormat="1" applyFill="1" applyAlignment="1">
      <alignment horizontal="center"/>
    </xf>
    <xf numFmtId="187" fontId="8" fillId="3" borderId="0" xfId="0" applyNumberFormat="1" applyFont="1" applyFill="1" applyAlignment="1">
      <alignment horizontal="center"/>
    </xf>
    <xf numFmtId="0" fontId="0" fillId="3" borderId="16" xfId="0" applyFill="1" applyBorder="1" applyProtection="1">
      <protection locked="0"/>
    </xf>
    <xf numFmtId="0" fontId="0" fillId="3" borderId="19" xfId="0" applyFill="1" applyBorder="1" applyProtection="1">
      <protection locked="0"/>
    </xf>
    <xf numFmtId="189" fontId="0" fillId="7" borderId="0" xfId="0" applyNumberFormat="1" applyFill="1"/>
    <xf numFmtId="0" fontId="5" fillId="7" borderId="18" xfId="0" applyFont="1" applyFill="1" applyBorder="1" applyAlignment="1">
      <alignment horizontal="center"/>
    </xf>
    <xf numFmtId="2" fontId="0" fillId="7" borderId="16" xfId="0" applyNumberFormat="1" applyFill="1" applyBorder="1" applyAlignment="1">
      <alignment horizontal="center"/>
    </xf>
    <xf numFmtId="0" fontId="0" fillId="7" borderId="16" xfId="0" applyFill="1" applyBorder="1"/>
    <xf numFmtId="1" fontId="0" fillId="3" borderId="16" xfId="0" applyNumberFormat="1" applyFill="1" applyBorder="1" applyAlignment="1" applyProtection="1">
      <alignment horizontal="center"/>
      <protection locked="0"/>
    </xf>
    <xf numFmtId="187" fontId="0" fillId="0" borderId="3" xfId="0" applyNumberFormat="1" applyFill="1" applyBorder="1"/>
    <xf numFmtId="187" fontId="0" fillId="0" borderId="1" xfId="0" applyNumberFormat="1" applyFill="1" applyBorder="1"/>
    <xf numFmtId="0" fontId="0" fillId="3" borderId="0" xfId="0" applyFill="1" applyBorder="1" applyAlignment="1"/>
    <xf numFmtId="0" fontId="0" fillId="3" borderId="1" xfId="0" applyFill="1" applyBorder="1" applyAlignment="1"/>
    <xf numFmtId="0" fontId="0" fillId="3" borderId="0" xfId="0" quotePrefix="1" applyFill="1" applyAlignment="1">
      <alignment horizontal="left"/>
    </xf>
    <xf numFmtId="0" fontId="8" fillId="17" borderId="0" xfId="0" applyFont="1" applyFill="1"/>
    <xf numFmtId="0" fontId="22" fillId="3" borderId="17" xfId="0" applyFont="1" applyFill="1" applyBorder="1"/>
    <xf numFmtId="0" fontId="22" fillId="17" borderId="14" xfId="0" applyFont="1" applyFill="1" applyBorder="1"/>
    <xf numFmtId="0" fontId="8" fillId="3" borderId="0" xfId="0" applyFont="1" applyFill="1" applyBorder="1" applyAlignment="1"/>
    <xf numFmtId="1" fontId="0" fillId="4" borderId="0" xfId="0" applyNumberFormat="1" applyFill="1" applyBorder="1" applyAlignment="1">
      <alignment horizontal="center"/>
    </xf>
    <xf numFmtId="2" fontId="0" fillId="0" borderId="0" xfId="0" applyNumberFormat="1" applyFill="1" applyBorder="1" applyAlignment="1">
      <alignment horizontal="center"/>
    </xf>
    <xf numFmtId="0" fontId="0" fillId="4" borderId="0" xfId="0" applyFill="1" applyBorder="1" applyAlignment="1">
      <alignment horizontal="center"/>
    </xf>
    <xf numFmtId="1" fontId="0" fillId="4" borderId="0" xfId="0" applyNumberFormat="1" applyFill="1" applyAlignment="1">
      <alignment horizontal="center"/>
    </xf>
    <xf numFmtId="2" fontId="0" fillId="4" borderId="0" xfId="0" applyNumberFormat="1" applyFill="1" applyBorder="1" applyAlignment="1">
      <alignment horizontal="center"/>
    </xf>
    <xf numFmtId="1" fontId="0" fillId="0" borderId="0" xfId="0" applyNumberFormat="1" applyFill="1" applyBorder="1" applyAlignment="1">
      <alignment horizontal="center"/>
    </xf>
    <xf numFmtId="2" fontId="0" fillId="0" borderId="1" xfId="0" applyNumberFormat="1" applyFill="1" applyBorder="1" applyAlignment="1">
      <alignment horizontal="center"/>
    </xf>
    <xf numFmtId="0" fontId="0" fillId="4" borderId="1" xfId="0" applyFill="1" applyBorder="1" applyAlignment="1">
      <alignment horizontal="center"/>
    </xf>
    <xf numFmtId="1" fontId="0" fillId="0" borderId="1" xfId="0" applyNumberFormat="1" applyFill="1" applyBorder="1" applyAlignment="1">
      <alignment horizontal="center"/>
    </xf>
    <xf numFmtId="1" fontId="0" fillId="4" borderId="1" xfId="0" applyNumberFormat="1" applyFill="1" applyBorder="1" applyAlignment="1">
      <alignment horizontal="center"/>
    </xf>
    <xf numFmtId="2" fontId="0" fillId="4" borderId="1" xfId="0" applyNumberFormat="1" applyFill="1" applyBorder="1" applyAlignment="1">
      <alignment horizontal="center"/>
    </xf>
    <xf numFmtId="2" fontId="0" fillId="0" borderId="0" xfId="0" applyNumberFormat="1" applyBorder="1" applyAlignment="1">
      <alignment horizontal="center"/>
    </xf>
    <xf numFmtId="2" fontId="0" fillId="11" borderId="10" xfId="0" applyNumberFormat="1" applyFill="1" applyBorder="1" applyAlignment="1">
      <alignment horizontal="center"/>
    </xf>
    <xf numFmtId="1" fontId="0" fillId="11" borderId="10" xfId="0" applyNumberFormat="1" applyFill="1" applyBorder="1" applyAlignment="1">
      <alignment horizontal="center"/>
    </xf>
    <xf numFmtId="187" fontId="0" fillId="4" borderId="0" xfId="0" applyNumberFormat="1" applyFill="1" applyBorder="1" applyAlignment="1">
      <alignment horizontal="center"/>
    </xf>
    <xf numFmtId="0" fontId="8" fillId="3" borderId="0" xfId="0" applyFont="1" applyFill="1" applyBorder="1" applyAlignment="1">
      <alignment horizontal="left" vertical="center"/>
    </xf>
    <xf numFmtId="187" fontId="0" fillId="6" borderId="0" xfId="0" applyNumberFormat="1" applyFill="1"/>
    <xf numFmtId="1" fontId="22" fillId="3" borderId="17" xfId="0" applyNumberFormat="1" applyFont="1" applyFill="1" applyBorder="1"/>
    <xf numFmtId="0" fontId="5" fillId="11" borderId="10" xfId="0" applyFont="1" applyFill="1" applyBorder="1" applyAlignment="1">
      <alignment horizontal="center"/>
    </xf>
    <xf numFmtId="0" fontId="5" fillId="11" borderId="0" xfId="0" applyFont="1" applyFill="1" applyBorder="1" applyAlignment="1">
      <alignment horizontal="center"/>
    </xf>
    <xf numFmtId="0" fontId="19" fillId="11" borderId="10" xfId="0" applyNumberFormat="1" applyFont="1" applyFill="1" applyBorder="1" applyAlignment="1"/>
    <xf numFmtId="0" fontId="39" fillId="11" borderId="0" xfId="0" applyFont="1" applyFill="1" applyAlignment="1">
      <alignment horizontal="center"/>
    </xf>
    <xf numFmtId="0" fontId="0" fillId="3" borderId="3" xfId="0" applyFill="1" applyBorder="1" applyAlignment="1"/>
    <xf numFmtId="0" fontId="0" fillId="3" borderId="0" xfId="0" quotePrefix="1" applyFill="1" applyBorder="1" applyAlignment="1">
      <alignment horizontal="left"/>
    </xf>
    <xf numFmtId="0" fontId="0" fillId="0" borderId="0" xfId="0" applyBorder="1" applyAlignment="1">
      <alignment horizontal="center"/>
    </xf>
    <xf numFmtId="0" fontId="43" fillId="11" borderId="10" xfId="0" applyNumberFormat="1" applyFont="1" applyFill="1" applyBorder="1" applyAlignment="1"/>
    <xf numFmtId="0" fontId="0" fillId="11" borderId="10" xfId="0" applyFill="1" applyBorder="1" applyAlignment="1"/>
    <xf numFmtId="0" fontId="0" fillId="11" borderId="0" xfId="0" applyFill="1"/>
    <xf numFmtId="0" fontId="1" fillId="4" borderId="0" xfId="0" applyFont="1" applyFill="1" applyAlignment="1">
      <alignment wrapText="1"/>
    </xf>
    <xf numFmtId="0" fontId="1" fillId="4" borderId="0" xfId="0" applyFont="1" applyFill="1"/>
    <xf numFmtId="189" fontId="27" fillId="4" borderId="0" xfId="0" applyNumberFormat="1" applyFont="1" applyFill="1" applyAlignment="1">
      <alignment horizontal="center"/>
    </xf>
    <xf numFmtId="189" fontId="39" fillId="4" borderId="0" xfId="0" applyNumberFormat="1" applyFont="1" applyFill="1" applyAlignment="1">
      <alignment horizontal="center"/>
    </xf>
    <xf numFmtId="0" fontId="0" fillId="3" borderId="3" xfId="0" quotePrefix="1" applyFill="1" applyBorder="1" applyAlignment="1">
      <alignment horizontal="left"/>
    </xf>
    <xf numFmtId="0" fontId="0" fillId="3" borderId="0" xfId="0" applyFill="1" applyBorder="1" applyAlignment="1">
      <alignment horizontal="left"/>
    </xf>
    <xf numFmtId="2" fontId="0" fillId="11" borderId="0" xfId="0" applyNumberFormat="1" applyFill="1"/>
    <xf numFmtId="0" fontId="0" fillId="11" borderId="0" xfId="0" applyFill="1" applyAlignment="1">
      <alignment horizontal="center"/>
    </xf>
    <xf numFmtId="187" fontId="0" fillId="11" borderId="0" xfId="0" applyNumberFormat="1" applyFill="1"/>
    <xf numFmtId="0" fontId="8" fillId="11" borderId="0" xfId="0" applyFont="1" applyFill="1" applyAlignment="1">
      <alignment horizontal="center"/>
    </xf>
    <xf numFmtId="0" fontId="5" fillId="11" borderId="10" xfId="0" applyFont="1" applyFill="1" applyBorder="1"/>
    <xf numFmtId="0" fontId="5" fillId="11" borderId="10" xfId="0" applyFont="1" applyFill="1" applyBorder="1" applyAlignment="1">
      <alignment horizontal="centerContinuous" wrapText="1"/>
    </xf>
    <xf numFmtId="0" fontId="44" fillId="11" borderId="10" xfId="0" applyFont="1" applyFill="1" applyBorder="1" applyAlignment="1">
      <alignment horizontal="center"/>
    </xf>
    <xf numFmtId="0" fontId="44" fillId="11" borderId="10" xfId="0" applyFont="1" applyFill="1" applyBorder="1"/>
    <xf numFmtId="0" fontId="43" fillId="11" borderId="8" xfId="0" applyNumberFormat="1" applyFont="1" applyFill="1" applyBorder="1" applyAlignment="1"/>
    <xf numFmtId="0" fontId="0" fillId="11" borderId="8" xfId="0" applyFill="1" applyBorder="1"/>
    <xf numFmtId="2" fontId="0" fillId="11" borderId="8" xfId="0" applyNumberFormat="1" applyFill="1" applyBorder="1"/>
    <xf numFmtId="186" fontId="0" fillId="11" borderId="8" xfId="0" applyNumberFormat="1" applyFill="1" applyBorder="1"/>
    <xf numFmtId="0" fontId="0" fillId="9" borderId="8" xfId="0" applyFill="1" applyBorder="1"/>
    <xf numFmtId="2" fontId="0" fillId="5" borderId="8" xfId="0" applyNumberFormat="1" applyFill="1" applyBorder="1"/>
    <xf numFmtId="2" fontId="8" fillId="4" borderId="8" xfId="0" applyNumberFormat="1" applyFont="1" applyFill="1" applyBorder="1" applyProtection="1">
      <protection locked="0"/>
    </xf>
    <xf numFmtId="2" fontId="0" fillId="0" borderId="8" xfId="0" applyNumberFormat="1" applyBorder="1" applyAlignment="1">
      <alignment horizontal="center"/>
    </xf>
    <xf numFmtId="0" fontId="0" fillId="11" borderId="8" xfId="0" applyFill="1" applyBorder="1" applyAlignment="1"/>
    <xf numFmtId="0" fontId="0" fillId="3" borderId="8" xfId="0" applyFill="1" applyBorder="1" applyAlignment="1"/>
    <xf numFmtId="0" fontId="0" fillId="3" borderId="8" xfId="0" applyFill="1" applyBorder="1" applyAlignment="1">
      <alignment horizontal="left"/>
    </xf>
    <xf numFmtId="0" fontId="0" fillId="11" borderId="20" xfId="0" applyFill="1" applyBorder="1"/>
    <xf numFmtId="0" fontId="0" fillId="4" borderId="17" xfId="0" applyFill="1" applyBorder="1" applyAlignment="1">
      <alignment horizontal="center"/>
    </xf>
    <xf numFmtId="2" fontId="0" fillId="0" borderId="1" xfId="0" applyNumberFormat="1" applyBorder="1" applyAlignment="1">
      <alignment horizontal="center"/>
    </xf>
    <xf numFmtId="2" fontId="0" fillId="0" borderId="1" xfId="0" applyNumberFormat="1" applyBorder="1"/>
    <xf numFmtId="187" fontId="0" fillId="0" borderId="0" xfId="0" applyNumberFormat="1" applyFill="1"/>
    <xf numFmtId="187" fontId="0" fillId="11" borderId="8" xfId="0" applyNumberFormat="1" applyFill="1" applyBorder="1"/>
    <xf numFmtId="0" fontId="8" fillId="11" borderId="0" xfId="0" applyFont="1" applyFill="1" applyAlignment="1">
      <alignment horizontal="center" vertical="center" wrapText="1"/>
    </xf>
    <xf numFmtId="0" fontId="0" fillId="9" borderId="2" xfId="0" applyFill="1" applyBorder="1"/>
    <xf numFmtId="0" fontId="0" fillId="3" borderId="2" xfId="0" applyFill="1" applyBorder="1" applyAlignment="1">
      <alignment wrapText="1"/>
    </xf>
    <xf numFmtId="0" fontId="0" fillId="3" borderId="2" xfId="0" applyFill="1" applyBorder="1"/>
    <xf numFmtId="2" fontId="0" fillId="5" borderId="2" xfId="0" applyNumberFormat="1" applyFill="1" applyBorder="1"/>
    <xf numFmtId="2" fontId="8" fillId="4" borderId="2" xfId="0" applyNumberFormat="1" applyFont="1" applyFill="1" applyBorder="1" applyProtection="1">
      <protection locked="0"/>
    </xf>
    <xf numFmtId="2" fontId="0" fillId="0" borderId="2" xfId="0" applyNumberFormat="1" applyBorder="1" applyAlignment="1">
      <alignment horizontal="center"/>
    </xf>
    <xf numFmtId="0" fontId="0" fillId="4" borderId="2" xfId="0" applyFill="1" applyBorder="1"/>
    <xf numFmtId="186" fontId="0" fillId="0" borderId="2" xfId="0" applyNumberFormat="1" applyBorder="1"/>
    <xf numFmtId="2" fontId="0" fillId="0" borderId="2" xfId="0" applyNumberFormat="1" applyBorder="1"/>
    <xf numFmtId="2" fontId="0" fillId="0" borderId="2" xfId="0" applyNumberFormat="1" applyFill="1" applyBorder="1"/>
    <xf numFmtId="1" fontId="0" fillId="0" borderId="2" xfId="0" applyNumberFormat="1" applyFill="1" applyBorder="1"/>
    <xf numFmtId="1" fontId="0" fillId="4" borderId="2" xfId="0" applyNumberFormat="1" applyFill="1" applyBorder="1"/>
    <xf numFmtId="187" fontId="0" fillId="4" borderId="2" xfId="0" applyNumberFormat="1" applyFill="1" applyBorder="1"/>
    <xf numFmtId="2" fontId="0" fillId="4" borderId="2" xfId="0" applyNumberFormat="1" applyFill="1" applyBorder="1"/>
    <xf numFmtId="2" fontId="0" fillId="11" borderId="20" xfId="0" applyNumberFormat="1" applyFill="1" applyBorder="1"/>
    <xf numFmtId="186" fontId="0" fillId="11" borderId="20" xfId="0" applyNumberFormat="1" applyFill="1" applyBorder="1"/>
    <xf numFmtId="1" fontId="0" fillId="11" borderId="20" xfId="0" applyNumberFormat="1" applyFill="1" applyBorder="1"/>
    <xf numFmtId="187" fontId="8" fillId="4" borderId="0" xfId="0" applyNumberFormat="1" applyFont="1" applyFill="1" applyBorder="1" applyAlignment="1">
      <alignment horizontal="right" vertical="center" wrapText="1"/>
    </xf>
    <xf numFmtId="187" fontId="0" fillId="4" borderId="0" xfId="0" applyNumberFormat="1" applyFill="1" applyAlignment="1">
      <alignment horizontal="right"/>
    </xf>
    <xf numFmtId="187" fontId="0" fillId="4" borderId="1" xfId="0" applyNumberFormat="1" applyFill="1" applyBorder="1" applyAlignment="1">
      <alignment horizontal="right"/>
    </xf>
    <xf numFmtId="0" fontId="0" fillId="4" borderId="0" xfId="0" applyFill="1" applyAlignment="1" applyProtection="1">
      <alignment horizontal="center"/>
      <protection locked="0"/>
    </xf>
    <xf numFmtId="0" fontId="0" fillId="4" borderId="1" xfId="0" applyFill="1" applyBorder="1" applyAlignment="1" applyProtection="1">
      <alignment horizontal="center"/>
      <protection locked="0"/>
    </xf>
    <xf numFmtId="2" fontId="0" fillId="7" borderId="0" xfId="0" applyNumberFormat="1" applyFill="1" applyAlignment="1">
      <alignment horizontal="center"/>
    </xf>
    <xf numFmtId="0" fontId="32" fillId="17" borderId="0" xfId="0" applyFont="1" applyFill="1"/>
    <xf numFmtId="0" fontId="40" fillId="11" borderId="0" xfId="0" applyFont="1" applyFill="1"/>
    <xf numFmtId="0" fontId="32" fillId="11" borderId="0" xfId="0" applyFont="1" applyFill="1"/>
    <xf numFmtId="0" fontId="32" fillId="3" borderId="0" xfId="0" applyFont="1" applyFill="1"/>
    <xf numFmtId="0" fontId="8" fillId="3" borderId="2" xfId="0" applyFont="1" applyFill="1" applyBorder="1" applyAlignment="1">
      <alignment horizontal="center" vertical="center"/>
    </xf>
    <xf numFmtId="2" fontId="0" fillId="0" borderId="0" xfId="0" applyNumberFormat="1" applyFill="1" applyAlignment="1">
      <alignment horizontal="center"/>
    </xf>
    <xf numFmtId="187" fontId="0" fillId="4" borderId="0" xfId="0" applyNumberFormat="1" applyFill="1" applyAlignment="1">
      <alignment horizontal="center"/>
    </xf>
    <xf numFmtId="186" fontId="0" fillId="0" borderId="8" xfId="0" applyNumberFormat="1" applyBorder="1" applyAlignment="1">
      <alignment horizontal="center"/>
    </xf>
    <xf numFmtId="2" fontId="0" fillId="0" borderId="8" xfId="0" applyNumberFormat="1" applyFill="1" applyBorder="1" applyAlignment="1">
      <alignment horizontal="center"/>
    </xf>
    <xf numFmtId="0" fontId="0" fillId="4" borderId="8" xfId="0" applyFill="1" applyBorder="1" applyAlignment="1">
      <alignment horizontal="center"/>
    </xf>
    <xf numFmtId="1" fontId="0" fillId="0" borderId="8" xfId="0" applyNumberFormat="1" applyFill="1" applyBorder="1" applyAlignment="1">
      <alignment horizontal="center"/>
    </xf>
    <xf numFmtId="1" fontId="0" fillId="4" borderId="8" xfId="0" applyNumberFormat="1" applyFill="1" applyBorder="1" applyAlignment="1">
      <alignment horizontal="center"/>
    </xf>
    <xf numFmtId="187" fontId="0" fillId="4" borderId="8" xfId="0" applyNumberFormat="1" applyFill="1" applyBorder="1" applyAlignment="1">
      <alignment horizontal="center"/>
    </xf>
    <xf numFmtId="2" fontId="0" fillId="4" borderId="8" xfId="0" applyNumberFormat="1" applyFill="1" applyBorder="1" applyAlignment="1">
      <alignment horizontal="center"/>
    </xf>
    <xf numFmtId="2" fontId="0" fillId="11" borderId="8" xfId="0" applyNumberFormat="1" applyFill="1" applyBorder="1" applyAlignment="1">
      <alignment horizontal="center"/>
    </xf>
    <xf numFmtId="186" fontId="0" fillId="11" borderId="8" xfId="0" applyNumberFormat="1" applyFill="1" applyBorder="1" applyAlignment="1">
      <alignment horizontal="center"/>
    </xf>
    <xf numFmtId="0" fontId="0" fillId="11" borderId="8" xfId="0" applyFill="1" applyBorder="1" applyAlignment="1">
      <alignment horizontal="center"/>
    </xf>
    <xf numFmtId="1" fontId="0" fillId="11" borderId="8" xfId="0" applyNumberFormat="1" applyFill="1" applyBorder="1" applyAlignment="1">
      <alignment horizontal="center"/>
    </xf>
    <xf numFmtId="186" fontId="0" fillId="0" borderId="1" xfId="0" applyNumberFormat="1" applyBorder="1" applyAlignment="1">
      <alignment horizontal="center"/>
    </xf>
    <xf numFmtId="0" fontId="40" fillId="3" borderId="0" xfId="0" applyFont="1" applyFill="1"/>
    <xf numFmtId="0" fontId="5" fillId="11" borderId="0" xfId="0" applyFont="1" applyFill="1"/>
    <xf numFmtId="2" fontId="0" fillId="11" borderId="14" xfId="0" applyNumberFormat="1" applyFill="1" applyBorder="1"/>
    <xf numFmtId="2" fontId="0" fillId="11" borderId="15" xfId="0" applyNumberFormat="1" applyFill="1" applyBorder="1"/>
    <xf numFmtId="1" fontId="0" fillId="3" borderId="16" xfId="0" applyNumberFormat="1" applyFill="1" applyBorder="1" applyAlignment="1">
      <alignment horizontal="center"/>
    </xf>
    <xf numFmtId="0" fontId="0" fillId="3" borderId="16" xfId="0" applyFill="1" applyBorder="1" applyAlignment="1">
      <alignment horizontal="center"/>
    </xf>
    <xf numFmtId="0" fontId="0" fillId="3" borderId="19" xfId="0" applyFill="1" applyBorder="1" applyAlignment="1">
      <alignment horizontal="center"/>
    </xf>
    <xf numFmtId="0" fontId="45" fillId="3" borderId="8" xfId="0" applyFont="1" applyFill="1" applyBorder="1"/>
    <xf numFmtId="0" fontId="46" fillId="3" borderId="8" xfId="0" applyFont="1" applyFill="1" applyBorder="1"/>
    <xf numFmtId="0" fontId="27" fillId="3" borderId="8" xfId="0" applyFont="1" applyFill="1" applyBorder="1"/>
    <xf numFmtId="186" fontId="8" fillId="4" borderId="0" xfId="0" applyNumberFormat="1" applyFont="1" applyFill="1" applyBorder="1" applyAlignment="1">
      <alignment wrapText="1"/>
    </xf>
    <xf numFmtId="2" fontId="0" fillId="11" borderId="0" xfId="0" applyNumberFormat="1" applyFill="1" applyAlignment="1">
      <alignment horizontal="center"/>
    </xf>
    <xf numFmtId="1" fontId="0" fillId="11" borderId="0" xfId="0" applyNumberFormat="1" applyFill="1" applyAlignment="1">
      <alignment horizontal="center"/>
    </xf>
    <xf numFmtId="1" fontId="0" fillId="11" borderId="0" xfId="0" applyNumberFormat="1" applyFill="1" applyBorder="1" applyAlignment="1">
      <alignment horizontal="center"/>
    </xf>
    <xf numFmtId="0" fontId="27" fillId="3" borderId="2" xfId="0" applyFont="1" applyFill="1" applyBorder="1" applyAlignment="1">
      <alignment horizontal="center" wrapText="1"/>
    </xf>
    <xf numFmtId="2" fontId="0" fillId="17" borderId="0" xfId="0" applyNumberFormat="1" applyFill="1" applyBorder="1" applyAlignment="1">
      <alignment horizontal="center"/>
    </xf>
    <xf numFmtId="1" fontId="0" fillId="17" borderId="0" xfId="0" applyNumberFormat="1" applyFill="1" applyBorder="1" applyAlignment="1">
      <alignment horizontal="center"/>
    </xf>
    <xf numFmtId="0" fontId="0" fillId="17" borderId="0" xfId="0" applyFill="1" applyBorder="1"/>
    <xf numFmtId="0" fontId="27" fillId="3" borderId="18" xfId="0" applyFont="1" applyFill="1" applyBorder="1" applyAlignment="1">
      <alignment horizontal="center" wrapText="1"/>
    </xf>
    <xf numFmtId="0" fontId="27" fillId="3" borderId="11" xfId="0" applyFont="1" applyFill="1" applyBorder="1" applyAlignment="1">
      <alignment horizontal="center" wrapText="1"/>
    </xf>
    <xf numFmtId="2" fontId="0" fillId="17" borderId="0" xfId="0" applyNumberFormat="1" applyFill="1" applyAlignment="1">
      <alignment horizontal="center"/>
    </xf>
    <xf numFmtId="0" fontId="0" fillId="17" borderId="0" xfId="0" applyFill="1" applyBorder="1" applyAlignment="1">
      <alignment horizontal="center"/>
    </xf>
    <xf numFmtId="0" fontId="0" fillId="11" borderId="2" xfId="0" applyFill="1" applyBorder="1" applyAlignment="1">
      <alignment horizontal="center"/>
    </xf>
    <xf numFmtId="187" fontId="0" fillId="3" borderId="8" xfId="0" applyNumberFormat="1" applyFill="1" applyBorder="1"/>
    <xf numFmtId="2" fontId="0" fillId="3" borderId="8" xfId="0" applyNumberFormat="1" applyFill="1" applyBorder="1" applyAlignment="1">
      <alignment horizontal="center"/>
    </xf>
    <xf numFmtId="0" fontId="0" fillId="3" borderId="4" xfId="0" applyFill="1" applyBorder="1" applyAlignment="1">
      <alignment horizontal="center"/>
    </xf>
    <xf numFmtId="1" fontId="0" fillId="3" borderId="0" xfId="0" applyNumberFormat="1" applyFill="1" applyBorder="1" applyAlignment="1">
      <alignment horizontal="center"/>
    </xf>
    <xf numFmtId="0" fontId="0" fillId="3" borderId="0" xfId="0" applyFill="1" applyBorder="1" applyAlignment="1">
      <alignment horizontal="center"/>
    </xf>
    <xf numFmtId="187" fontId="0" fillId="3" borderId="0" xfId="0" applyNumberFormat="1" applyFill="1" applyBorder="1" applyAlignment="1">
      <alignment horizontal="center"/>
    </xf>
    <xf numFmtId="2" fontId="0" fillId="3" borderId="0" xfId="0" applyNumberFormat="1" applyFill="1" applyBorder="1" applyAlignment="1">
      <alignment horizontal="center"/>
    </xf>
    <xf numFmtId="186" fontId="0" fillId="3" borderId="0" xfId="0" applyNumberFormat="1" applyFill="1" applyBorder="1" applyAlignment="1">
      <alignment horizontal="center"/>
    </xf>
    <xf numFmtId="187" fontId="0" fillId="7" borderId="0" xfId="0" applyNumberFormat="1" applyFill="1" applyAlignment="1">
      <alignment horizontal="center"/>
    </xf>
    <xf numFmtId="9" fontId="0" fillId="4" borderId="0" xfId="1" applyFont="1" applyFill="1" applyAlignment="1">
      <alignment horizontal="center"/>
    </xf>
    <xf numFmtId="191" fontId="0" fillId="4" borderId="0" xfId="1" applyNumberFormat="1" applyFont="1" applyFill="1" applyAlignment="1">
      <alignment horizontal="center"/>
    </xf>
    <xf numFmtId="1" fontId="0" fillId="3" borderId="8" xfId="0" applyNumberFormat="1" applyFill="1" applyBorder="1" applyAlignment="1">
      <alignment horizontal="center"/>
    </xf>
    <xf numFmtId="0" fontId="0" fillId="3" borderId="10" xfId="0" applyFill="1" applyBorder="1"/>
    <xf numFmtId="0" fontId="0" fillId="3" borderId="10" xfId="0" applyFill="1" applyBorder="1" applyAlignment="1">
      <alignment wrapText="1"/>
    </xf>
    <xf numFmtId="1" fontId="0" fillId="3" borderId="10" xfId="0" applyNumberFormat="1" applyFill="1" applyBorder="1"/>
    <xf numFmtId="186" fontId="0" fillId="3" borderId="10" xfId="0" applyNumberFormat="1" applyFill="1" applyBorder="1"/>
    <xf numFmtId="2" fontId="0" fillId="3" borderId="10" xfId="0" applyNumberFormat="1" applyFill="1" applyBorder="1" applyAlignment="1">
      <alignment horizontal="center"/>
    </xf>
    <xf numFmtId="0" fontId="0" fillId="3" borderId="10" xfId="0" applyFill="1" applyBorder="1" applyAlignment="1" applyProtection="1">
      <alignment horizontal="center"/>
      <protection locked="0"/>
    </xf>
    <xf numFmtId="0" fontId="0" fillId="4" borderId="10" xfId="0" applyFill="1" applyBorder="1"/>
    <xf numFmtId="1" fontId="0" fillId="3" borderId="10" xfId="0" applyNumberFormat="1" applyFill="1" applyBorder="1" applyAlignment="1">
      <alignment horizontal="center"/>
    </xf>
    <xf numFmtId="0" fontId="0" fillId="4" borderId="16" xfId="0" applyFill="1" applyBorder="1"/>
    <xf numFmtId="1" fontId="0" fillId="17" borderId="16" xfId="0" applyNumberFormat="1" applyFill="1" applyBorder="1" applyAlignment="1">
      <alignment horizontal="center"/>
    </xf>
    <xf numFmtId="0" fontId="5" fillId="17" borderId="0" xfId="0" applyFont="1" applyFill="1"/>
    <xf numFmtId="0" fontId="0" fillId="17" borderId="10" xfId="0" applyFill="1" applyBorder="1"/>
    <xf numFmtId="0" fontId="0" fillId="17" borderId="10" xfId="0" applyFill="1" applyBorder="1" applyAlignment="1">
      <alignment horizontal="center"/>
    </xf>
    <xf numFmtId="187" fontId="0" fillId="3" borderId="8" xfId="0" applyNumberFormat="1" applyFill="1" applyBorder="1" applyAlignment="1">
      <alignment horizontal="center"/>
    </xf>
    <xf numFmtId="2" fontId="5" fillId="3" borderId="0" xfId="0" applyNumberFormat="1" applyFont="1" applyFill="1" applyAlignment="1"/>
    <xf numFmtId="2" fontId="5" fillId="3" borderId="0" xfId="0" applyNumberFormat="1" applyFont="1" applyFill="1" applyBorder="1" applyAlignment="1">
      <alignment wrapText="1"/>
    </xf>
    <xf numFmtId="2" fontId="8" fillId="7" borderId="0" xfId="0" applyNumberFormat="1" applyFont="1" applyFill="1" applyBorder="1" applyAlignment="1">
      <alignment horizontal="center" wrapText="1"/>
    </xf>
    <xf numFmtId="0" fontId="8" fillId="7" borderId="0" xfId="0" applyFont="1" applyFill="1" applyBorder="1" applyAlignment="1">
      <alignment horizontal="center" wrapText="1"/>
    </xf>
    <xf numFmtId="187" fontId="0" fillId="7" borderId="0" xfId="0" applyNumberFormat="1" applyFill="1" applyAlignment="1">
      <alignment horizontal="right" vertical="center"/>
    </xf>
    <xf numFmtId="187" fontId="0" fillId="7" borderId="0" xfId="0" applyNumberFormat="1" applyFill="1"/>
    <xf numFmtId="0" fontId="5" fillId="6" borderId="21" xfId="0" applyFont="1" applyFill="1" applyBorder="1" applyAlignment="1">
      <alignment horizontal="center" vertical="center" wrapText="1"/>
    </xf>
    <xf numFmtId="187" fontId="8" fillId="3" borderId="17" xfId="0" applyNumberFormat="1" applyFont="1" applyFill="1" applyBorder="1" applyAlignment="1">
      <alignment horizontal="center"/>
    </xf>
    <xf numFmtId="187" fontId="0" fillId="3" borderId="17" xfId="0" applyNumberFormat="1" applyFill="1" applyBorder="1"/>
    <xf numFmtId="187" fontId="19" fillId="3" borderId="17" xfId="0" applyNumberFormat="1" applyFont="1" applyFill="1" applyBorder="1" applyAlignment="1"/>
    <xf numFmtId="1" fontId="8" fillId="3" borderId="17" xfId="0" applyNumberFormat="1" applyFont="1" applyFill="1" applyBorder="1" applyAlignment="1">
      <alignment horizontal="left"/>
    </xf>
    <xf numFmtId="0" fontId="0" fillId="3" borderId="17" xfId="0" applyFill="1" applyBorder="1"/>
    <xf numFmtId="0" fontId="8" fillId="3" borderId="17" xfId="0" applyFont="1" applyFill="1" applyBorder="1" applyAlignment="1">
      <alignment horizontal="left" vertical="center" wrapText="1"/>
    </xf>
    <xf numFmtId="0" fontId="5" fillId="6" borderId="14" xfId="0" applyFont="1" applyFill="1" applyBorder="1" applyAlignment="1">
      <alignment horizontal="center" vertical="center" wrapText="1"/>
    </xf>
    <xf numFmtId="1" fontId="39" fillId="3" borderId="0" xfId="0" applyNumberFormat="1" applyFont="1" applyFill="1"/>
    <xf numFmtId="0" fontId="19" fillId="11" borderId="8" xfId="0" applyNumberFormat="1" applyFont="1" applyFill="1" applyBorder="1" applyAlignment="1"/>
    <xf numFmtId="0" fontId="0" fillId="11" borderId="10" xfId="0" applyFill="1" applyBorder="1" applyAlignment="1">
      <alignment horizontal="center"/>
    </xf>
    <xf numFmtId="186" fontId="0" fillId="17" borderId="0" xfId="0" applyNumberFormat="1" applyFill="1" applyBorder="1"/>
    <xf numFmtId="189" fontId="0" fillId="17" borderId="16" xfId="0" applyNumberFormat="1" applyFill="1" applyBorder="1"/>
    <xf numFmtId="186" fontId="0" fillId="17" borderId="0" xfId="0" applyNumberFormat="1" applyFill="1"/>
    <xf numFmtId="186" fontId="0" fillId="17" borderId="16" xfId="0" applyNumberFormat="1" applyFill="1" applyBorder="1"/>
    <xf numFmtId="0" fontId="0" fillId="17" borderId="6" xfId="0" applyFill="1" applyBorder="1" applyAlignment="1">
      <alignment horizontal="center"/>
    </xf>
    <xf numFmtId="0" fontId="0" fillId="17" borderId="16" xfId="0" applyFill="1" applyBorder="1"/>
    <xf numFmtId="186" fontId="0" fillId="17" borderId="0" xfId="0" applyNumberFormat="1" applyFill="1" applyAlignment="1">
      <alignment horizontal="center"/>
    </xf>
    <xf numFmtId="187" fontId="0" fillId="17" borderId="0" xfId="0" applyNumberFormat="1" applyFill="1" applyAlignment="1">
      <alignment horizontal="center"/>
    </xf>
    <xf numFmtId="0" fontId="0" fillId="17" borderId="16" xfId="0" applyFill="1" applyBorder="1" applyAlignment="1">
      <alignment horizontal="center"/>
    </xf>
    <xf numFmtId="2" fontId="0" fillId="17" borderId="16" xfId="0" applyNumberFormat="1" applyFill="1" applyBorder="1" applyAlignment="1">
      <alignment horizontal="center"/>
    </xf>
    <xf numFmtId="0" fontId="0" fillId="17" borderId="16" xfId="0" applyFill="1" applyBorder="1" applyAlignment="1"/>
    <xf numFmtId="0" fontId="0" fillId="17" borderId="21" xfId="0" applyFill="1" applyBorder="1"/>
    <xf numFmtId="0" fontId="0" fillId="17" borderId="7" xfId="0" applyFill="1" applyBorder="1"/>
    <xf numFmtId="0" fontId="49" fillId="0" borderId="0" xfId="0" applyFont="1"/>
    <xf numFmtId="0" fontId="0" fillId="0" borderId="0" xfId="0" applyProtection="1">
      <protection hidden="1"/>
    </xf>
    <xf numFmtId="0" fontId="0" fillId="3" borderId="14" xfId="0" applyFill="1" applyBorder="1" applyProtection="1">
      <protection hidden="1"/>
    </xf>
    <xf numFmtId="0" fontId="0" fillId="3" borderId="17" xfId="0" applyFill="1" applyBorder="1" applyAlignment="1" applyProtection="1">
      <alignment horizontal="center"/>
      <protection hidden="1"/>
    </xf>
    <xf numFmtId="0" fontId="0" fillId="3" borderId="15" xfId="0" applyFill="1" applyBorder="1" applyProtection="1">
      <protection hidden="1"/>
    </xf>
    <xf numFmtId="0" fontId="0" fillId="3" borderId="14" xfId="0" applyFill="1" applyBorder="1" applyAlignment="1" applyProtection="1">
      <alignment horizontal="right"/>
      <protection hidden="1"/>
    </xf>
    <xf numFmtId="0" fontId="0" fillId="4" borderId="10" xfId="0" applyFill="1" applyBorder="1" applyAlignment="1" applyProtection="1">
      <alignment horizontal="center"/>
      <protection hidden="1"/>
    </xf>
    <xf numFmtId="0" fontId="34" fillId="2" borderId="0" xfId="0" quotePrefix="1" applyFont="1" applyFill="1" applyAlignment="1" applyProtection="1">
      <alignment horizontal="left"/>
      <protection hidden="1"/>
    </xf>
    <xf numFmtId="0" fontId="5" fillId="3" borderId="10" xfId="0" applyFont="1" applyFill="1" applyBorder="1" applyProtection="1">
      <protection hidden="1"/>
    </xf>
    <xf numFmtId="0" fontId="5" fillId="3" borderId="10" xfId="0" applyFont="1" applyFill="1" applyBorder="1" applyAlignment="1" applyProtection="1">
      <alignment horizontal="center"/>
      <protection hidden="1"/>
    </xf>
    <xf numFmtId="199" fontId="5" fillId="3" borderId="10" xfId="0" applyNumberFormat="1" applyFont="1" applyFill="1" applyBorder="1" applyAlignment="1" applyProtection="1">
      <alignment horizontal="center"/>
      <protection hidden="1"/>
    </xf>
    <xf numFmtId="0" fontId="5" fillId="0" borderId="17" xfId="0" applyFont="1" applyBorder="1" applyAlignment="1" applyProtection="1">
      <alignment horizontal="center"/>
      <protection hidden="1"/>
    </xf>
    <xf numFmtId="0" fontId="5" fillId="3" borderId="17" xfId="0" applyFont="1" applyFill="1" applyBorder="1" applyAlignment="1" applyProtection="1">
      <alignment horizontal="center"/>
      <protection hidden="1"/>
    </xf>
    <xf numFmtId="0" fontId="0" fillId="6" borderId="0" xfId="0" applyFill="1" applyProtection="1">
      <protection hidden="1"/>
    </xf>
    <xf numFmtId="0" fontId="0" fillId="17" borderId="0" xfId="0" applyFill="1" applyProtection="1">
      <protection hidden="1"/>
    </xf>
    <xf numFmtId="0" fontId="0" fillId="17" borderId="0" xfId="0" applyFill="1" applyAlignment="1" applyProtection="1">
      <alignment horizontal="center"/>
      <protection hidden="1"/>
    </xf>
    <xf numFmtId="199" fontId="0" fillId="17" borderId="0" xfId="0" applyNumberFormat="1" applyFill="1" applyProtection="1">
      <protection hidden="1"/>
    </xf>
    <xf numFmtId="2" fontId="0" fillId="0" borderId="4" xfId="0" applyNumberFormat="1" applyBorder="1" applyAlignment="1" applyProtection="1">
      <alignment horizontal="center"/>
      <protection hidden="1"/>
    </xf>
    <xf numFmtId="0" fontId="0" fillId="3" borderId="4" xfId="0" applyFill="1" applyBorder="1" applyProtection="1">
      <protection hidden="1"/>
    </xf>
    <xf numFmtId="0" fontId="0" fillId="0" borderId="0" xfId="0" applyFill="1" applyProtection="1">
      <protection hidden="1"/>
    </xf>
    <xf numFmtId="0" fontId="0" fillId="0" borderId="0" xfId="0" applyFill="1" applyAlignment="1" applyProtection="1">
      <alignment horizontal="center"/>
      <protection hidden="1"/>
    </xf>
    <xf numFmtId="199" fontId="0" fillId="0" borderId="0" xfId="0" applyNumberFormat="1" applyFill="1" applyProtection="1">
      <protection hidden="1"/>
    </xf>
    <xf numFmtId="0" fontId="0" fillId="0" borderId="0" xfId="0" applyAlignment="1" applyProtection="1">
      <alignment horizontal="center"/>
      <protection hidden="1"/>
    </xf>
    <xf numFmtId="199" fontId="0" fillId="0" borderId="0" xfId="0" applyNumberFormat="1" applyProtection="1">
      <protection hidden="1"/>
    </xf>
    <xf numFmtId="186" fontId="0" fillId="3" borderId="4" xfId="0" applyNumberFormat="1" applyFill="1" applyBorder="1" applyProtection="1">
      <protection hidden="1"/>
    </xf>
    <xf numFmtId="0" fontId="0" fillId="0" borderId="4" xfId="0" applyBorder="1" applyAlignment="1" applyProtection="1">
      <alignment horizontal="center"/>
      <protection hidden="1"/>
    </xf>
    <xf numFmtId="0" fontId="5" fillId="3" borderId="0" xfId="0" applyFont="1" applyFill="1" applyBorder="1" applyAlignment="1" applyProtection="1">
      <alignment horizontal="center"/>
      <protection hidden="1"/>
    </xf>
    <xf numFmtId="186" fontId="5" fillId="3" borderId="17" xfId="0" applyNumberFormat="1" applyFont="1" applyFill="1" applyBorder="1" applyAlignment="1" applyProtection="1">
      <alignment horizontal="center"/>
      <protection hidden="1"/>
    </xf>
    <xf numFmtId="2" fontId="0" fillId="0" borderId="0" xfId="0" applyNumberFormat="1" applyProtection="1">
      <protection hidden="1"/>
    </xf>
    <xf numFmtId="186" fontId="0" fillId="0" borderId="0" xfId="0" applyNumberFormat="1" applyProtection="1">
      <protection hidden="1"/>
    </xf>
    <xf numFmtId="0" fontId="50" fillId="3" borderId="0" xfId="0" applyFont="1" applyFill="1" applyAlignment="1">
      <alignment horizontal="right"/>
    </xf>
    <xf numFmtId="0" fontId="7" fillId="0" borderId="0" xfId="0" quotePrefix="1" applyFont="1" applyAlignment="1">
      <alignment horizontal="left"/>
    </xf>
    <xf numFmtId="191" fontId="1" fillId="4" borderId="0" xfId="1" applyNumberFormat="1" applyFill="1" applyAlignment="1">
      <alignment horizontal="center"/>
    </xf>
    <xf numFmtId="9" fontId="1" fillId="4" borderId="0" xfId="1" applyFill="1" applyAlignment="1">
      <alignment horizontal="center"/>
    </xf>
  </cellXfs>
  <cellStyles count="2">
    <cellStyle name="Normal" xfId="0" builtinId="0"/>
    <cellStyle name="Percent" xfId="1" builtinId="5"/>
  </cellStyles>
  <dxfs count="4">
    <dxf>
      <font>
        <condense val="0"/>
        <extend val="0"/>
        <color indexed="23"/>
      </font>
    </dxf>
    <dxf>
      <font>
        <condense val="0"/>
        <extend val="0"/>
        <color indexed="23"/>
      </font>
    </dxf>
    <dxf>
      <font>
        <condense val="0"/>
        <extend val="0"/>
        <color indexed="23"/>
      </font>
    </dxf>
    <dxf>
      <font>
        <condense val="0"/>
        <extend val="0"/>
        <color indexed="23"/>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0.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2.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35.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36.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38.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printerSettings" Target="../printerSettings/printerSettings39.bin"/></Relationships>
</file>

<file path=xl/worksheets/_rels/sheet47.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printerSettings" Target="../printerSettings/printerSettings40.bin"/></Relationships>
</file>

<file path=xl/worksheets/_rels/sheet48.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sheet1.xml><?xml version="1.0" encoding="utf-8"?>
<worksheet xmlns="http://schemas.openxmlformats.org/spreadsheetml/2006/main" xmlns:r="http://schemas.openxmlformats.org/officeDocument/2006/relationships">
  <sheetPr>
    <pageSetUpPr fitToPage="1"/>
  </sheetPr>
  <dimension ref="A1:BN244"/>
  <sheetViews>
    <sheetView showZeros="0" topLeftCell="A160" zoomScale="75" workbookViewId="0">
      <selection activeCell="B73" sqref="B73"/>
    </sheetView>
  </sheetViews>
  <sheetFormatPr defaultColWidth="11.42578125" defaultRowHeight="12.75"/>
  <cols>
    <col min="1" max="1" width="17.85546875" customWidth="1"/>
    <col min="2" max="7" width="8.7109375" customWidth="1"/>
    <col min="8" max="8" width="13.28515625" customWidth="1"/>
    <col min="9" max="9" width="8.7109375" customWidth="1"/>
    <col min="10" max="10" width="10" customWidth="1"/>
    <col min="11" max="14" width="9.140625" customWidth="1"/>
    <col min="15" max="15" width="11" customWidth="1"/>
    <col min="16" max="16" width="9.85546875" customWidth="1"/>
  </cols>
  <sheetData>
    <row r="1" spans="1:22" ht="15.75">
      <c r="A1" s="194" t="s">
        <v>395</v>
      </c>
      <c r="B1" s="195"/>
      <c r="C1" s="195"/>
      <c r="D1" s="195"/>
      <c r="E1" s="204" t="s">
        <v>370</v>
      </c>
      <c r="F1" s="59" t="s">
        <v>115</v>
      </c>
      <c r="G1" s="195"/>
      <c r="H1" s="204" t="s">
        <v>373</v>
      </c>
      <c r="I1" s="59" t="s">
        <v>380</v>
      </c>
      <c r="J1" s="195"/>
      <c r="K1" s="195"/>
      <c r="L1" s="49" t="s">
        <v>396</v>
      </c>
      <c r="M1" s="49"/>
      <c r="N1" s="195"/>
      <c r="O1" s="195"/>
      <c r="P1" s="297" t="s">
        <v>714</v>
      </c>
      <c r="Q1" s="297" t="str">
        <f ca="1">MID(CELL("filename",P1),FIND("VT_",CELL("filename",P1))+3,3)</f>
        <v>FI_</v>
      </c>
      <c r="R1" s="297" t="s">
        <v>715</v>
      </c>
      <c r="S1" s="298">
        <v>1.0000000000000001E-9</v>
      </c>
    </row>
    <row r="2" spans="1:22">
      <c r="A2" s="195"/>
      <c r="B2" s="195"/>
      <c r="C2" s="195"/>
      <c r="D2" s="195"/>
      <c r="E2" s="204" t="s">
        <v>371</v>
      </c>
      <c r="F2" s="18">
        <v>2010</v>
      </c>
      <c r="G2" s="195"/>
      <c r="H2" s="204" t="s">
        <v>425</v>
      </c>
      <c r="I2" s="59">
        <v>1</v>
      </c>
      <c r="J2" s="195"/>
      <c r="K2" s="195"/>
      <c r="L2" s="50" t="s">
        <v>397</v>
      </c>
      <c r="M2" s="50"/>
      <c r="N2" s="195"/>
      <c r="O2" s="195"/>
      <c r="P2" s="303" t="s">
        <v>719</v>
      </c>
      <c r="Q2" s="297">
        <f ca="1">MATCH("RH1",OFFSET(CalibData!$C$3,1,0,200),0)-3</f>
        <v>73</v>
      </c>
    </row>
    <row r="3" spans="1:22">
      <c r="A3" s="195"/>
      <c r="B3" s="195"/>
      <c r="C3" s="195"/>
      <c r="D3" s="195"/>
      <c r="E3" s="204" t="s">
        <v>372</v>
      </c>
      <c r="F3" s="18">
        <v>4.1868000000000002E-2</v>
      </c>
      <c r="G3" s="195"/>
      <c r="H3" s="204" t="s">
        <v>424</v>
      </c>
      <c r="I3" s="59">
        <v>1</v>
      </c>
      <c r="J3" s="195"/>
      <c r="K3" s="195"/>
      <c r="L3" s="51" t="s">
        <v>398</v>
      </c>
      <c r="M3" s="51"/>
      <c r="N3" s="195"/>
      <c r="O3" s="195"/>
      <c r="P3" s="195"/>
    </row>
    <row r="4" spans="1:22">
      <c r="A4" s="195"/>
      <c r="B4" s="195"/>
      <c r="C4" s="195"/>
      <c r="D4" s="195"/>
      <c r="E4" s="195"/>
      <c r="F4" s="195"/>
      <c r="G4" s="195"/>
      <c r="H4" s="204" t="s">
        <v>48</v>
      </c>
      <c r="I4" s="18">
        <v>1</v>
      </c>
      <c r="J4" s="195"/>
      <c r="K4" s="195"/>
      <c r="L4" s="263" t="s">
        <v>399</v>
      </c>
      <c r="M4" s="263"/>
      <c r="N4" s="195"/>
      <c r="O4" s="195"/>
      <c r="P4" s="195"/>
    </row>
    <row r="5" spans="1:22">
      <c r="A5" s="203"/>
      <c r="B5" s="195"/>
      <c r="C5" s="195"/>
      <c r="D5" s="195"/>
      <c r="E5" s="195"/>
      <c r="F5" s="195"/>
      <c r="G5" s="206"/>
      <c r="H5" s="195"/>
      <c r="I5" s="195"/>
      <c r="J5" s="195"/>
      <c r="K5" s="195"/>
      <c r="L5" s="12" t="s">
        <v>400</v>
      </c>
      <c r="M5" s="12"/>
      <c r="N5" s="195"/>
      <c r="O5" s="195"/>
      <c r="P5" s="195"/>
    </row>
    <row r="6" spans="1:22" ht="15.75">
      <c r="A6" s="194" t="s">
        <v>518</v>
      </c>
      <c r="B6" s="195"/>
      <c r="C6" s="195"/>
      <c r="D6" s="195"/>
      <c r="E6" s="195"/>
      <c r="F6" s="195"/>
      <c r="G6" s="206"/>
      <c r="H6" s="195"/>
      <c r="I6" s="195"/>
      <c r="J6" s="195"/>
      <c r="K6" s="195"/>
      <c r="L6" s="48" t="s">
        <v>401</v>
      </c>
      <c r="M6" s="48"/>
      <c r="N6" s="195"/>
      <c r="O6" s="195"/>
      <c r="P6" s="195"/>
    </row>
    <row r="7" spans="1:22" ht="18">
      <c r="A7" s="204"/>
      <c r="B7" s="131" t="s">
        <v>231</v>
      </c>
      <c r="C7" s="98"/>
      <c r="D7" s="136"/>
      <c r="E7" s="195" t="s">
        <v>250</v>
      </c>
      <c r="F7" s="195"/>
      <c r="H7" s="195"/>
      <c r="I7" s="195"/>
      <c r="J7" s="195"/>
      <c r="K7" s="195"/>
      <c r="L7" s="264" t="s">
        <v>402</v>
      </c>
      <c r="M7" s="264"/>
      <c r="N7" s="195"/>
      <c r="O7" s="195"/>
      <c r="P7" s="195"/>
    </row>
    <row r="8" spans="1:22" ht="18">
      <c r="A8" s="196" t="s">
        <v>374</v>
      </c>
      <c r="B8" s="200" t="s">
        <v>368</v>
      </c>
      <c r="C8" s="196"/>
      <c r="D8" s="196"/>
      <c r="F8" s="201" t="s">
        <v>232</v>
      </c>
      <c r="G8" s="131"/>
      <c r="H8" s="131"/>
      <c r="I8" s="288" t="s">
        <v>377</v>
      </c>
      <c r="J8" s="195"/>
      <c r="K8" s="195"/>
      <c r="L8" s="195"/>
      <c r="M8" s="195"/>
      <c r="N8" s="195"/>
      <c r="O8" s="195"/>
      <c r="P8" s="195"/>
    </row>
    <row r="9" spans="1:22">
      <c r="A9" s="195" t="s">
        <v>403</v>
      </c>
      <c r="B9" s="47">
        <v>1.4583190680000002</v>
      </c>
      <c r="C9" s="202">
        <v>1.4583190680000002</v>
      </c>
      <c r="D9" s="75" t="s">
        <v>436</v>
      </c>
      <c r="E9" s="195"/>
      <c r="F9" s="43" t="s">
        <v>244</v>
      </c>
      <c r="G9" s="44">
        <f>B9+B10+B11+B24</f>
        <v>1.4583190680000002</v>
      </c>
      <c r="H9" s="76" t="s">
        <v>415</v>
      </c>
      <c r="I9" s="202">
        <f>G9+G190</f>
        <v>1.8523904040000003</v>
      </c>
      <c r="J9" s="195"/>
      <c r="K9" s="195"/>
      <c r="L9" s="195"/>
      <c r="M9" s="195"/>
      <c r="N9" s="195"/>
      <c r="O9" s="195"/>
      <c r="P9" s="195"/>
    </row>
    <row r="10" spans="1:22">
      <c r="A10" s="205" t="s">
        <v>182</v>
      </c>
      <c r="B10" s="47">
        <v>0</v>
      </c>
      <c r="C10" s="202">
        <v>0</v>
      </c>
      <c r="D10" s="75" t="s">
        <v>440</v>
      </c>
      <c r="E10" s="195"/>
      <c r="F10" s="43" t="s">
        <v>413</v>
      </c>
      <c r="G10" s="44">
        <f>B12+B15+B16+B23</f>
        <v>21.462425010740613</v>
      </c>
      <c r="H10" s="76" t="s">
        <v>416</v>
      </c>
      <c r="I10" s="202">
        <f>G10+G191</f>
        <v>39.513817458740618</v>
      </c>
      <c r="J10" s="195"/>
      <c r="K10" s="195"/>
      <c r="L10" s="195"/>
      <c r="M10" s="195"/>
      <c r="N10" s="195"/>
      <c r="O10" s="195"/>
      <c r="P10" s="195"/>
    </row>
    <row r="11" spans="1:22">
      <c r="A11" s="205" t="s">
        <v>183</v>
      </c>
      <c r="B11" s="47">
        <v>0</v>
      </c>
      <c r="C11" s="202">
        <v>0</v>
      </c>
      <c r="D11" s="75" t="s">
        <v>441</v>
      </c>
      <c r="E11" s="195"/>
      <c r="F11" s="43" t="s">
        <v>574</v>
      </c>
      <c r="G11" s="44">
        <f>B13</f>
        <v>0.35998106400000007</v>
      </c>
      <c r="H11" s="76" t="s">
        <v>575</v>
      </c>
      <c r="I11" s="202">
        <f t="shared" ref="I11:I19" si="0">G11+G193</f>
        <v>3.19997124</v>
      </c>
      <c r="J11" s="195"/>
      <c r="K11" s="195"/>
      <c r="L11" s="195"/>
      <c r="M11" s="195"/>
      <c r="N11" s="195"/>
      <c r="O11" s="195"/>
      <c r="P11" s="195"/>
    </row>
    <row r="12" spans="1:22">
      <c r="A12" s="195" t="s">
        <v>411</v>
      </c>
      <c r="B12" s="47">
        <v>21.020843214740612</v>
      </c>
      <c r="C12" s="202">
        <v>21.020843214740612</v>
      </c>
      <c r="D12" s="75" t="s">
        <v>221</v>
      </c>
      <c r="E12" s="195"/>
      <c r="F12" s="43" t="s">
        <v>576</v>
      </c>
      <c r="G12" s="44">
        <f>B14</f>
        <v>0</v>
      </c>
      <c r="H12" s="76" t="s">
        <v>577</v>
      </c>
      <c r="I12" s="202">
        <f t="shared" si="0"/>
        <v>0</v>
      </c>
      <c r="J12" s="195"/>
      <c r="K12" s="195"/>
      <c r="L12" s="195"/>
      <c r="M12" s="195"/>
      <c r="N12" s="195"/>
      <c r="O12" s="195"/>
      <c r="P12" s="195"/>
    </row>
    <row r="13" spans="1:22">
      <c r="A13" s="195" t="s">
        <v>410</v>
      </c>
      <c r="B13" s="47">
        <v>0.35998106400000007</v>
      </c>
      <c r="C13" s="202">
        <v>0.35998106400000007</v>
      </c>
      <c r="D13" s="75" t="s">
        <v>217</v>
      </c>
      <c r="E13" s="195"/>
      <c r="F13" s="43" t="s">
        <v>1015</v>
      </c>
      <c r="G13" s="44">
        <f>B17+B18+B19</f>
        <v>0.540055332</v>
      </c>
      <c r="H13" s="76" t="s">
        <v>1016</v>
      </c>
      <c r="I13" s="202">
        <f t="shared" si="0"/>
        <v>1.4290385759999999</v>
      </c>
      <c r="J13" s="195"/>
      <c r="K13" s="195"/>
      <c r="L13" s="197"/>
      <c r="M13" s="197"/>
      <c r="N13" s="197"/>
      <c r="O13" s="202"/>
      <c r="P13" s="197"/>
    </row>
    <row r="14" spans="1:22">
      <c r="A14" s="195" t="s">
        <v>409</v>
      </c>
      <c r="B14" s="47">
        <v>0</v>
      </c>
      <c r="C14" s="202">
        <v>0</v>
      </c>
      <c r="D14" s="75" t="s">
        <v>219</v>
      </c>
      <c r="E14" s="195"/>
      <c r="F14" s="43" t="s">
        <v>405</v>
      </c>
      <c r="G14" s="44">
        <f>B20</f>
        <v>0.413990784</v>
      </c>
      <c r="H14" s="76" t="s">
        <v>418</v>
      </c>
      <c r="I14" s="202">
        <f t="shared" si="0"/>
        <v>0.59800064399999997</v>
      </c>
      <c r="J14" s="195"/>
      <c r="K14" s="195"/>
      <c r="L14" s="195"/>
      <c r="M14" s="195"/>
      <c r="N14" s="199"/>
      <c r="O14" s="223"/>
      <c r="P14" s="223"/>
      <c r="Q14" s="102"/>
      <c r="V14" s="171"/>
    </row>
    <row r="15" spans="1:22">
      <c r="A15" s="195" t="s">
        <v>426</v>
      </c>
      <c r="B15" s="47">
        <v>0</v>
      </c>
      <c r="C15" s="195">
        <v>0</v>
      </c>
      <c r="D15" s="76" t="s">
        <v>220</v>
      </c>
      <c r="E15" s="195"/>
      <c r="F15" s="43" t="s">
        <v>588</v>
      </c>
      <c r="G15" s="44">
        <f>B21+B22+B25+B26</f>
        <v>58.263323163949302</v>
      </c>
      <c r="H15" s="76" t="s">
        <v>419</v>
      </c>
      <c r="I15" s="202">
        <f t="shared" si="0"/>
        <v>64.2297702039493</v>
      </c>
      <c r="J15" s="195"/>
      <c r="K15" s="195"/>
      <c r="L15" s="195"/>
      <c r="M15" s="195"/>
      <c r="N15" s="195"/>
      <c r="O15" s="195"/>
      <c r="P15" s="195"/>
      <c r="Q15" s="102"/>
      <c r="V15" s="171"/>
    </row>
    <row r="16" spans="1:22">
      <c r="A16" s="205" t="s">
        <v>184</v>
      </c>
      <c r="B16" s="47">
        <v>0</v>
      </c>
      <c r="C16" s="195">
        <v>0</v>
      </c>
      <c r="D16" s="75" t="s">
        <v>647</v>
      </c>
      <c r="E16" s="195"/>
      <c r="F16" s="43" t="s">
        <v>247</v>
      </c>
      <c r="G16" s="44">
        <f>B27</f>
        <v>71.610622156281423</v>
      </c>
      <c r="H16" s="76" t="s">
        <v>420</v>
      </c>
      <c r="I16" s="202">
        <f t="shared" si="0"/>
        <v>76.938154156281428</v>
      </c>
      <c r="J16" s="195"/>
      <c r="K16" s="195"/>
      <c r="L16" s="195"/>
      <c r="M16" s="195"/>
      <c r="N16" s="195"/>
      <c r="O16" s="195"/>
      <c r="P16" s="195"/>
      <c r="Q16" s="102"/>
    </row>
    <row r="17" spans="1:45">
      <c r="A17" s="205" t="s">
        <v>375</v>
      </c>
      <c r="B17" s="47">
        <v>0</v>
      </c>
      <c r="C17" s="202">
        <v>0</v>
      </c>
      <c r="D17" s="75" t="s">
        <v>437</v>
      </c>
      <c r="E17" s="195"/>
      <c r="F17" s="43" t="s">
        <v>414</v>
      </c>
      <c r="G17" s="44">
        <f>B28</f>
        <v>50.929559999999995</v>
      </c>
      <c r="H17" s="76" t="s">
        <v>421</v>
      </c>
      <c r="I17" s="202">
        <f t="shared" si="0"/>
        <v>51.433559999999993</v>
      </c>
      <c r="J17" s="195"/>
      <c r="K17" s="195"/>
      <c r="L17" s="195"/>
      <c r="M17" s="195"/>
      <c r="N17" s="195"/>
      <c r="O17" s="195"/>
      <c r="P17" s="195"/>
      <c r="Q17" s="102"/>
    </row>
    <row r="18" spans="1:45">
      <c r="A18" s="287" t="s">
        <v>376</v>
      </c>
      <c r="B18" s="47">
        <v>0.540055332</v>
      </c>
      <c r="C18" s="202">
        <v>0.540055332</v>
      </c>
      <c r="D18" s="75" t="s">
        <v>438</v>
      </c>
      <c r="E18" s="195"/>
      <c r="F18" s="43" t="s">
        <v>245</v>
      </c>
      <c r="G18" s="44">
        <f>B29</f>
        <v>0</v>
      </c>
      <c r="H18" s="76" t="s">
        <v>581</v>
      </c>
      <c r="I18" s="202">
        <f t="shared" si="0"/>
        <v>0</v>
      </c>
      <c r="J18" s="195"/>
      <c r="K18" s="195"/>
      <c r="L18" s="195"/>
      <c r="M18" s="195"/>
      <c r="N18" s="195"/>
      <c r="O18" s="195"/>
      <c r="P18" s="195"/>
      <c r="Q18" s="102"/>
    </row>
    <row r="19" spans="1:45">
      <c r="A19" s="205" t="s">
        <v>185</v>
      </c>
      <c r="B19" s="47">
        <v>0</v>
      </c>
      <c r="C19" s="202">
        <v>0</v>
      </c>
      <c r="D19" s="75" t="s">
        <v>439</v>
      </c>
      <c r="E19" s="195"/>
      <c r="F19" s="43" t="s">
        <v>246</v>
      </c>
      <c r="G19" s="44">
        <f>B30</f>
        <v>3.8979108000000005E-2</v>
      </c>
      <c r="H19" s="76" t="s">
        <v>582</v>
      </c>
      <c r="I19" s="202">
        <f t="shared" si="0"/>
        <v>3.8979108000000005E-2</v>
      </c>
      <c r="J19" s="195"/>
      <c r="K19" s="195"/>
      <c r="L19" s="195"/>
      <c r="M19" s="195"/>
      <c r="N19" s="195"/>
      <c r="O19" s="195"/>
      <c r="P19" s="195"/>
      <c r="Q19" s="102"/>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row>
    <row r="20" spans="1:45">
      <c r="A20" s="195" t="s">
        <v>405</v>
      </c>
      <c r="B20" s="47">
        <v>0.413990784</v>
      </c>
      <c r="C20" s="202">
        <v>0.413990784</v>
      </c>
      <c r="D20" s="75" t="s">
        <v>110</v>
      </c>
      <c r="E20" s="195"/>
      <c r="J20" s="195"/>
      <c r="K20" s="195"/>
      <c r="L20" s="195"/>
      <c r="M20" s="195"/>
      <c r="N20" s="195"/>
      <c r="O20" s="195"/>
      <c r="P20" s="195"/>
      <c r="Q20" s="102"/>
    </row>
    <row r="21" spans="1:45">
      <c r="A21" s="195" t="s">
        <v>585</v>
      </c>
      <c r="B21" s="47">
        <v>58.263323163949302</v>
      </c>
      <c r="C21" s="202">
        <v>58.263323163949302</v>
      </c>
      <c r="D21" s="75" t="s">
        <v>53</v>
      </c>
      <c r="E21" s="195"/>
      <c r="F21" s="195"/>
      <c r="G21" s="195"/>
      <c r="H21" s="195"/>
      <c r="I21" s="195"/>
      <c r="J21" s="195"/>
      <c r="K21" s="195"/>
      <c r="L21" s="195"/>
      <c r="M21" s="195"/>
      <c r="N21" s="195"/>
      <c r="O21" s="195"/>
      <c r="P21" s="195"/>
      <c r="Q21" s="102"/>
    </row>
    <row r="22" spans="1:45">
      <c r="A22" s="195" t="s">
        <v>586</v>
      </c>
      <c r="B22" s="47">
        <v>0</v>
      </c>
      <c r="C22" s="202">
        <v>0</v>
      </c>
      <c r="D22" s="75" t="s">
        <v>589</v>
      </c>
      <c r="E22" s="195"/>
      <c r="F22" s="195"/>
      <c r="G22" s="195"/>
      <c r="H22" s="195"/>
      <c r="I22" s="195"/>
      <c r="J22" s="195"/>
      <c r="K22" s="195"/>
      <c r="L22" s="195"/>
      <c r="M22" s="195"/>
      <c r="N22" s="195"/>
      <c r="O22" s="195"/>
      <c r="P22" s="195"/>
      <c r="Q22" s="102"/>
      <c r="V22" s="171"/>
    </row>
    <row r="23" spans="1:45">
      <c r="A23" s="195" t="s">
        <v>966</v>
      </c>
      <c r="B23" s="47">
        <v>0.44158179600000003</v>
      </c>
      <c r="C23" s="202">
        <v>0.44158179600000003</v>
      </c>
      <c r="D23" s="75" t="s">
        <v>742</v>
      </c>
      <c r="E23" s="195"/>
      <c r="F23" s="195"/>
      <c r="G23" s="195"/>
      <c r="H23" s="195"/>
      <c r="I23" s="195"/>
      <c r="J23" s="195"/>
      <c r="K23" s="195"/>
      <c r="L23" s="195"/>
      <c r="M23" s="195"/>
      <c r="N23" s="195"/>
      <c r="O23" s="195"/>
      <c r="P23" s="195"/>
      <c r="Q23" s="102"/>
    </row>
    <row r="24" spans="1:45">
      <c r="A24" s="195" t="s">
        <v>967</v>
      </c>
      <c r="B24" s="47">
        <v>0</v>
      </c>
      <c r="C24" s="202">
        <v>0</v>
      </c>
      <c r="D24" s="75" t="s">
        <v>43</v>
      </c>
      <c r="E24" s="195"/>
      <c r="F24" s="195"/>
      <c r="G24" s="195"/>
      <c r="H24" s="195"/>
      <c r="I24" s="195"/>
      <c r="J24" s="195"/>
      <c r="K24" s="195"/>
      <c r="L24" s="195"/>
      <c r="M24" s="195"/>
      <c r="N24" s="195"/>
      <c r="O24" s="195"/>
      <c r="P24" s="195"/>
      <c r="Q24" s="102"/>
      <c r="V24" s="171"/>
    </row>
    <row r="25" spans="1:45">
      <c r="A25" s="205" t="s">
        <v>367</v>
      </c>
      <c r="B25" s="47">
        <v>0</v>
      </c>
      <c r="C25" s="202">
        <v>0</v>
      </c>
      <c r="D25" s="75" t="s">
        <v>54</v>
      </c>
      <c r="E25" s="195"/>
      <c r="F25" s="195"/>
      <c r="G25" s="195"/>
      <c r="H25" s="195"/>
      <c r="I25" s="195"/>
      <c r="J25" s="195"/>
      <c r="K25" s="195"/>
      <c r="L25" s="195"/>
      <c r="M25" s="195"/>
      <c r="N25" s="195"/>
      <c r="O25" s="195"/>
      <c r="P25" s="195"/>
      <c r="Q25" s="102"/>
      <c r="V25" s="171"/>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row>
    <row r="26" spans="1:45">
      <c r="A26" s="195" t="s">
        <v>587</v>
      </c>
      <c r="B26" s="47">
        <v>0</v>
      </c>
      <c r="C26" s="202">
        <v>0</v>
      </c>
      <c r="D26" s="75" t="s">
        <v>55</v>
      </c>
      <c r="E26" s="195"/>
      <c r="F26" s="195"/>
      <c r="G26" s="195"/>
      <c r="H26" s="195"/>
      <c r="I26" s="195"/>
      <c r="J26" s="195"/>
      <c r="K26" s="195"/>
      <c r="L26" s="195"/>
      <c r="M26" s="195"/>
      <c r="N26" s="195"/>
      <c r="O26" s="195"/>
      <c r="P26" s="195"/>
      <c r="Q26" s="102"/>
      <c r="V26" s="171"/>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row>
    <row r="27" spans="1:45">
      <c r="A27" s="195" t="s">
        <v>404</v>
      </c>
      <c r="B27" s="47">
        <v>71.610622156281423</v>
      </c>
      <c r="C27" s="202">
        <v>71.610622156281423</v>
      </c>
      <c r="D27" s="75" t="s">
        <v>106</v>
      </c>
      <c r="E27" s="195"/>
      <c r="F27" s="195"/>
      <c r="G27" s="195"/>
      <c r="H27" s="195"/>
      <c r="I27" s="195"/>
      <c r="J27" s="195"/>
      <c r="K27" s="195"/>
      <c r="L27" s="195"/>
      <c r="M27" s="195"/>
      <c r="N27" s="195"/>
      <c r="O27" s="195"/>
      <c r="P27" s="195"/>
      <c r="Q27" s="102"/>
      <c r="V27" s="171"/>
      <c r="W27" s="172"/>
      <c r="X27" s="172"/>
      <c r="Y27" s="172"/>
      <c r="Z27" s="172"/>
      <c r="AA27" s="172"/>
      <c r="AB27" s="172"/>
      <c r="AC27" s="172"/>
      <c r="AD27" s="172"/>
      <c r="AE27" s="172"/>
      <c r="AF27" s="172"/>
      <c r="AG27" s="172"/>
      <c r="AH27" s="172"/>
      <c r="AI27" s="172"/>
      <c r="AJ27" s="172"/>
      <c r="AK27" s="172"/>
      <c r="AL27" s="172"/>
      <c r="AM27" s="172"/>
      <c r="AN27" s="172"/>
      <c r="AO27" s="172"/>
      <c r="AP27" s="172"/>
      <c r="AQ27" s="172"/>
      <c r="AR27" s="172"/>
      <c r="AS27" s="172"/>
    </row>
    <row r="28" spans="1:45">
      <c r="A28" s="195" t="s">
        <v>408</v>
      </c>
      <c r="B28" s="45">
        <v>50.929559999999995</v>
      </c>
      <c r="C28" s="202">
        <v>50.929559999999995</v>
      </c>
      <c r="D28" s="75" t="s">
        <v>573</v>
      </c>
      <c r="E28" s="195"/>
      <c r="F28" s="195"/>
      <c r="G28" s="195"/>
      <c r="H28" s="195"/>
      <c r="I28" s="195"/>
      <c r="J28" s="195"/>
      <c r="K28" s="195"/>
      <c r="L28" s="195"/>
      <c r="M28" s="195"/>
      <c r="N28" s="195"/>
      <c r="O28" s="195"/>
      <c r="P28" s="195"/>
      <c r="Q28" s="102"/>
      <c r="V28" s="171"/>
      <c r="W28" s="172"/>
      <c r="X28" s="172"/>
      <c r="Y28" s="172"/>
      <c r="Z28" s="172"/>
      <c r="AA28" s="172"/>
      <c r="AB28" s="172"/>
      <c r="AC28" s="172"/>
      <c r="AD28" s="172"/>
      <c r="AE28" s="172"/>
      <c r="AF28" s="172"/>
      <c r="AG28" s="172"/>
      <c r="AH28" s="172"/>
      <c r="AI28" s="172"/>
      <c r="AJ28" s="172"/>
      <c r="AK28" s="172"/>
      <c r="AL28" s="172"/>
      <c r="AM28" s="172"/>
      <c r="AN28" s="172"/>
      <c r="AO28" s="172"/>
      <c r="AP28" s="172"/>
      <c r="AQ28" s="172"/>
      <c r="AR28" s="172"/>
      <c r="AS28" s="172"/>
    </row>
    <row r="29" spans="1:45">
      <c r="A29" s="195" t="s">
        <v>578</v>
      </c>
      <c r="B29" s="45">
        <v>0</v>
      </c>
      <c r="C29" s="202">
        <v>0</v>
      </c>
      <c r="D29" s="75" t="s">
        <v>579</v>
      </c>
      <c r="E29" s="195"/>
      <c r="F29" s="195"/>
      <c r="G29" s="195"/>
      <c r="H29" s="195"/>
      <c r="I29" s="195"/>
      <c r="J29" s="195"/>
      <c r="K29" s="195"/>
      <c r="L29" s="195"/>
      <c r="M29" s="195"/>
      <c r="N29" s="195"/>
      <c r="O29" s="195"/>
      <c r="P29" s="195"/>
      <c r="Q29" s="102"/>
      <c r="V29" s="171"/>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row>
    <row r="30" spans="1:45">
      <c r="A30" s="195" t="s">
        <v>602</v>
      </c>
      <c r="B30" s="45">
        <v>3.8979108000000005E-2</v>
      </c>
      <c r="C30" s="202">
        <v>3.8979108000000005E-2</v>
      </c>
      <c r="D30" s="75" t="s">
        <v>580</v>
      </c>
      <c r="E30" s="195"/>
      <c r="F30" s="195"/>
      <c r="G30" s="195"/>
      <c r="H30" s="195"/>
      <c r="I30" s="195"/>
      <c r="J30" s="195"/>
      <c r="K30" s="195"/>
      <c r="L30" s="195"/>
      <c r="M30" s="195"/>
      <c r="N30" s="195"/>
      <c r="O30" s="195"/>
      <c r="P30" s="195"/>
      <c r="Q30" s="102"/>
      <c r="V30" s="171"/>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row>
    <row r="31" spans="1:45">
      <c r="A31" s="195" t="s">
        <v>406</v>
      </c>
      <c r="B31" s="47">
        <v>205.07725568697131</v>
      </c>
      <c r="C31" s="202">
        <v>205.07725568697131</v>
      </c>
      <c r="D31" s="356">
        <f>(B31-C31)/B31</f>
        <v>0</v>
      </c>
      <c r="E31" s="195"/>
      <c r="F31" s="195"/>
      <c r="G31" s="195"/>
      <c r="H31" s="195"/>
      <c r="I31" s="195"/>
      <c r="J31" s="195"/>
      <c r="K31" s="195"/>
      <c r="L31" s="195"/>
      <c r="M31" s="195"/>
      <c r="N31" s="195"/>
      <c r="O31" s="195"/>
      <c r="P31" s="195"/>
      <c r="Q31" s="102"/>
      <c r="V31" s="171"/>
      <c r="W31" s="172"/>
      <c r="X31" s="172"/>
      <c r="Y31" s="172"/>
      <c r="Z31" s="172"/>
      <c r="AA31" s="172"/>
      <c r="AB31" s="172"/>
      <c r="AC31" s="172"/>
      <c r="AD31" s="172"/>
      <c r="AE31" s="172"/>
      <c r="AF31" s="172"/>
      <c r="AG31" s="172"/>
      <c r="AH31" s="172"/>
      <c r="AI31" s="172"/>
      <c r="AJ31" s="172"/>
      <c r="AK31" s="172"/>
      <c r="AL31" s="172"/>
      <c r="AM31" s="172"/>
      <c r="AN31" s="172"/>
      <c r="AO31" s="172"/>
      <c r="AP31" s="172"/>
      <c r="AQ31" s="172"/>
      <c r="AR31" s="172"/>
      <c r="AS31" s="172"/>
    </row>
    <row r="32" spans="1:45">
      <c r="A32" s="195"/>
      <c r="B32" s="197"/>
      <c r="C32" s="202"/>
      <c r="D32" s="357"/>
      <c r="E32" s="195"/>
      <c r="F32" s="195"/>
      <c r="G32" s="195"/>
      <c r="H32" s="195"/>
      <c r="I32" s="195"/>
      <c r="J32" s="195"/>
      <c r="K32" s="195"/>
      <c r="L32" s="195"/>
      <c r="M32" s="195"/>
      <c r="N32" s="195"/>
      <c r="O32" s="195"/>
      <c r="P32" s="195"/>
    </row>
    <row r="33" spans="1:45" ht="18">
      <c r="A33" s="131" t="s">
        <v>519</v>
      </c>
      <c r="B33" s="98"/>
      <c r="C33" s="98"/>
      <c r="D33" s="98"/>
      <c r="E33" s="98"/>
      <c r="F33" s="98"/>
      <c r="G33" s="98"/>
      <c r="H33" s="181" t="s">
        <v>522</v>
      </c>
      <c r="I33" s="182"/>
      <c r="J33" s="182"/>
      <c r="K33" s="182"/>
      <c r="L33" s="195"/>
      <c r="M33" s="195"/>
      <c r="N33" s="195"/>
      <c r="O33" s="195"/>
      <c r="P33" s="195"/>
      <c r="V33" s="171"/>
      <c r="W33" s="172"/>
      <c r="X33" s="172"/>
      <c r="Y33" s="172"/>
      <c r="Z33" s="172"/>
      <c r="AA33" s="172"/>
      <c r="AB33" s="172"/>
      <c r="AC33" s="172"/>
      <c r="AD33" s="172"/>
      <c r="AE33" s="172"/>
      <c r="AF33" s="172"/>
      <c r="AG33" s="172"/>
      <c r="AH33" s="172"/>
      <c r="AI33" s="172"/>
      <c r="AJ33" s="172"/>
      <c r="AK33" s="172"/>
      <c r="AL33" s="172"/>
      <c r="AM33" s="172"/>
      <c r="AN33" s="172"/>
      <c r="AO33" s="172"/>
      <c r="AP33" s="172"/>
      <c r="AQ33" s="172"/>
      <c r="AR33" s="172"/>
      <c r="AS33" s="172"/>
    </row>
    <row r="34" spans="1:45" ht="33.75">
      <c r="A34" s="208"/>
      <c r="B34" s="209" t="s">
        <v>213</v>
      </c>
      <c r="C34" s="209" t="s">
        <v>105</v>
      </c>
      <c r="D34" s="209" t="s">
        <v>179</v>
      </c>
      <c r="E34" s="209" t="s">
        <v>90</v>
      </c>
      <c r="F34" s="209" t="s">
        <v>93</v>
      </c>
      <c r="G34" s="209" t="s">
        <v>95</v>
      </c>
      <c r="H34" s="209" t="s">
        <v>269</v>
      </c>
      <c r="I34" s="209" t="s">
        <v>97</v>
      </c>
      <c r="J34" s="209" t="s">
        <v>268</v>
      </c>
      <c r="K34" s="209" t="s">
        <v>636</v>
      </c>
      <c r="L34" s="209" t="s">
        <v>104</v>
      </c>
      <c r="M34" s="195" t="s">
        <v>248</v>
      </c>
      <c r="N34" s="195"/>
      <c r="O34" s="195"/>
      <c r="P34" s="195"/>
      <c r="V34" s="171"/>
      <c r="W34" s="172"/>
      <c r="X34" s="172"/>
      <c r="Y34" s="172"/>
      <c r="Z34" s="172"/>
      <c r="AA34" s="172"/>
      <c r="AB34" s="172"/>
      <c r="AC34" s="172"/>
      <c r="AD34" s="172"/>
      <c r="AE34" s="172"/>
      <c r="AF34" s="172"/>
      <c r="AG34" s="172"/>
      <c r="AH34" s="172"/>
      <c r="AI34" s="172"/>
      <c r="AJ34" s="172"/>
      <c r="AK34" s="172"/>
      <c r="AL34" s="172"/>
      <c r="AM34" s="172"/>
      <c r="AN34" s="172"/>
      <c r="AO34" s="172"/>
      <c r="AP34" s="172"/>
      <c r="AQ34" s="172"/>
      <c r="AR34" s="172"/>
      <c r="AS34" s="172"/>
    </row>
    <row r="35" spans="1:45">
      <c r="A35" s="195"/>
      <c r="B35" s="210" t="s">
        <v>127</v>
      </c>
      <c r="C35" s="210" t="s">
        <v>128</v>
      </c>
      <c r="D35" s="210" t="s">
        <v>44</v>
      </c>
      <c r="E35" s="210" t="s">
        <v>91</v>
      </c>
      <c r="F35" s="210" t="s">
        <v>94</v>
      </c>
      <c r="G35" s="210" t="s">
        <v>129</v>
      </c>
      <c r="H35" s="210" t="s">
        <v>96</v>
      </c>
      <c r="I35" s="210" t="s">
        <v>92</v>
      </c>
      <c r="J35" s="210" t="s">
        <v>637</v>
      </c>
      <c r="K35" s="210" t="s">
        <v>642</v>
      </c>
      <c r="L35" s="210" t="s">
        <v>130</v>
      </c>
      <c r="M35" s="195"/>
      <c r="N35" s="195"/>
      <c r="O35" s="195"/>
      <c r="P35" s="195"/>
      <c r="V35" s="171"/>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row>
    <row r="36" spans="1:45" ht="18" customHeight="1">
      <c r="A36" s="211" t="s">
        <v>244</v>
      </c>
      <c r="B36" s="41">
        <f t="shared" ref="B36:B46" ca="1" si="1">1-SUM(C36:L36)</f>
        <v>0.71474445829494337</v>
      </c>
      <c r="C36" s="41">
        <f ca="1">SUMIF(OFFSET(CalibData!$M$3,1,0,$Q$2),ROW()+COLUMN()/100,OFFSET(CalibData!$N$3,1,0,$Q$2))</f>
        <v>0</v>
      </c>
      <c r="D36" s="41">
        <f ca="1">SUMIF(OFFSET(CalibData!$M$3,1,0,$Q$2),ROW()+COLUMN()/100,OFFSET(CalibData!$N$3,1,0,$Q$2))</f>
        <v>0.22281990136035987</v>
      </c>
      <c r="E36" s="224"/>
      <c r="F36" s="41">
        <f ca="1">SUMIF(OFFSET(CalibData!$M$3,1,0,$Q$2),ROW()+COLUMN()/100,OFFSET(CalibData!$N$3,1,0,$Q$2))</f>
        <v>0</v>
      </c>
      <c r="G36" s="41">
        <f ca="1">SUMIF(OFFSET(CalibData!$M$3,1,0,$Q$2),ROW()+COLUMN()/100,OFFSET(CalibData!$N$3,1,0,$Q$2))</f>
        <v>6.2435640344696799E-2</v>
      </c>
      <c r="H36" s="224"/>
      <c r="I36" s="224"/>
      <c r="J36" s="41">
        <f ca="1">SUMIF(OFFSET(CalibData!$M$3,1,0,$Q$2),ROW()+COLUMN()/100,OFFSET(CalibData!$N$3,1,0,$Q$2))</f>
        <v>0</v>
      </c>
      <c r="K36" s="224"/>
      <c r="L36" s="224"/>
      <c r="M36" s="212">
        <f t="shared" ref="M36:M46" ca="1" si="2">SUM(B36:L36)</f>
        <v>1</v>
      </c>
      <c r="N36" s="195"/>
      <c r="O36" s="195"/>
      <c r="P36" s="195"/>
      <c r="V36" s="171"/>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row>
    <row r="37" spans="1:45">
      <c r="A37" s="211" t="s">
        <v>663</v>
      </c>
      <c r="B37" s="41">
        <f t="shared" ca="1" si="1"/>
        <v>0.78</v>
      </c>
      <c r="C37" s="300"/>
      <c r="D37" s="41">
        <f ca="1">SUMIF(OFFSET(CalibData!$M$3,1,0,$Q$2),ROW()+COLUMN()/100,OFFSET(CalibData!$N$3,1,0,$Q$2))</f>
        <v>0.22</v>
      </c>
      <c r="E37" s="224"/>
      <c r="F37" s="224"/>
      <c r="G37" s="41">
        <f ca="1">SUMIF(OFFSET(CalibData!$M$3,1,0,$Q$2),ROW()+COLUMN()/100,OFFSET(CalibData!$N$3,1,0,$Q$2))</f>
        <v>0</v>
      </c>
      <c r="H37" s="224"/>
      <c r="I37" s="224"/>
      <c r="J37" s="41">
        <f ca="1">SUMIF(OFFSET(CalibData!$M$3,1,0,$Q$2),ROW()+COLUMN()/100,OFFSET(CalibData!$N$3,1,0,$Q$2))</f>
        <v>0</v>
      </c>
      <c r="K37" s="224"/>
      <c r="L37" s="224"/>
      <c r="M37" s="212">
        <f t="shared" ca="1" si="2"/>
        <v>1</v>
      </c>
      <c r="N37" s="195"/>
      <c r="O37" s="195"/>
      <c r="P37" s="195"/>
    </row>
    <row r="38" spans="1:45">
      <c r="A38" s="211" t="s">
        <v>574</v>
      </c>
      <c r="B38" s="70">
        <f t="shared" ca="1" si="1"/>
        <v>0.77</v>
      </c>
      <c r="C38" s="301"/>
      <c r="D38" s="41">
        <f ca="1">SUMIF(OFFSET(CalibData!$M$3,1,0,$Q$2),ROW()+COLUMN()/100,OFFSET(CalibData!$N$3,1,0,$Q$2))</f>
        <v>0.23</v>
      </c>
      <c r="E38" s="225"/>
      <c r="F38" s="225"/>
      <c r="G38" s="225"/>
      <c r="H38" s="225"/>
      <c r="I38" s="225"/>
      <c r="J38" s="41">
        <f ca="1">SUMIF(OFFSET(CalibData!$M$3,1,0,$Q$2),ROW()+COLUMN()/100,OFFSET(CalibData!$N$3,1,0,$Q$2))</f>
        <v>0</v>
      </c>
      <c r="K38" s="225"/>
      <c r="L38" s="225"/>
      <c r="M38" s="212">
        <f t="shared" ca="1" si="2"/>
        <v>1</v>
      </c>
      <c r="N38" s="195"/>
      <c r="O38" s="195"/>
      <c r="P38" s="195"/>
      <c r="V38" s="171"/>
    </row>
    <row r="39" spans="1:45">
      <c r="A39" s="211" t="s">
        <v>576</v>
      </c>
      <c r="B39" s="70">
        <f t="shared" ca="1" si="1"/>
        <v>0.3899999999999999</v>
      </c>
      <c r="C39" s="301"/>
      <c r="D39" s="41">
        <f ca="1">SUMIF(OFFSET(CalibData!$M$3,1,0,$Q$2),ROW()+COLUMN()/100,OFFSET(CalibData!$N$3,1,0,$Q$2))</f>
        <v>0.11</v>
      </c>
      <c r="E39" s="225"/>
      <c r="F39" s="225"/>
      <c r="G39" s="41">
        <f ca="1">SUMIF(OFFSET(CalibData!$M$3,1,0,$Q$2),ROW()+COLUMN()/100,OFFSET(CalibData!$N$3,1,0,$Q$2))</f>
        <v>0.1</v>
      </c>
      <c r="H39" s="225"/>
      <c r="I39" s="225"/>
      <c r="J39" s="41">
        <f ca="1">SUMIF(OFFSET(CalibData!$M$3,1,0,$Q$2),ROW()+COLUMN()/100,OFFSET(CalibData!$N$3,1,0,$Q$2))</f>
        <v>0.4</v>
      </c>
      <c r="K39" s="225"/>
      <c r="L39" s="41">
        <f ca="1">SUMIF(OFFSET(CalibData!$M$3,1,0,$Q$2),ROW()+COLUMN()/100,OFFSET(CalibData!$N$3,1,0,$Q$2))</f>
        <v>0</v>
      </c>
      <c r="M39" s="212">
        <f t="shared" ca="1" si="2"/>
        <v>0.99999999999999989</v>
      </c>
      <c r="N39" s="195"/>
      <c r="O39" s="195"/>
      <c r="P39" s="195"/>
      <c r="V39" s="171"/>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row>
    <row r="40" spans="1:45">
      <c r="A40" s="211" t="s">
        <v>664</v>
      </c>
      <c r="B40" s="70">
        <f t="shared" ca="1" si="1"/>
        <v>0.78</v>
      </c>
      <c r="C40" s="301"/>
      <c r="D40" s="41">
        <f ca="1">SUMIF(OFFSET(CalibData!$M$3,1,0,$Q$2),ROW()+COLUMN()/100,OFFSET(CalibData!$N$3,1,0,$Q$2))</f>
        <v>0.22</v>
      </c>
      <c r="E40" s="225"/>
      <c r="F40" s="225"/>
      <c r="G40" s="41">
        <f ca="1">SUMIF(OFFSET(CalibData!$M$3,1,0,$Q$2),ROW()+COLUMN()/100,OFFSET(CalibData!$N$3,1,0,$Q$2))</f>
        <v>0</v>
      </c>
      <c r="H40" s="225"/>
      <c r="I40" s="225"/>
      <c r="J40" s="41">
        <f ca="1">SUMIF(OFFSET(CalibData!$M$3,1,0,$Q$2),ROW()+COLUMN()/100,OFFSET(CalibData!$N$3,1,0,$Q$2))</f>
        <v>0</v>
      </c>
      <c r="K40" s="225"/>
      <c r="L40" s="225"/>
      <c r="M40" s="212">
        <f t="shared" ca="1" si="2"/>
        <v>1</v>
      </c>
      <c r="N40" s="195"/>
      <c r="O40" s="195"/>
      <c r="P40" s="195"/>
      <c r="V40" s="171"/>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row>
    <row r="41" spans="1:45">
      <c r="A41" s="211" t="s">
        <v>665</v>
      </c>
      <c r="B41" s="70">
        <f t="shared" ca="1" si="1"/>
        <v>0.3899999999999999</v>
      </c>
      <c r="C41" s="301"/>
      <c r="D41" s="41">
        <f ca="1">SUMIF(OFFSET(CalibData!$M$3,1,0,$Q$2),ROW()+COLUMN()/100,OFFSET(CalibData!$N$3,1,0,$Q$2))</f>
        <v>0.3</v>
      </c>
      <c r="E41" s="225"/>
      <c r="F41" s="225"/>
      <c r="G41" s="41">
        <f ca="1">SUMIF(OFFSET(CalibData!$M$3,1,0,$Q$2),ROW()+COLUMN()/100,OFFSET(CalibData!$N$3,1,0,$Q$2))</f>
        <v>0.16826644943977975</v>
      </c>
      <c r="H41" s="225"/>
      <c r="I41" s="225"/>
      <c r="J41" s="41">
        <f ca="1">SUMIF(OFFSET(CalibData!$M$3,1,0,$Q$2),ROW()+COLUMN()/100,OFFSET(CalibData!$N$3,1,0,$Q$2))</f>
        <v>0.1417335505602203</v>
      </c>
      <c r="K41" s="225"/>
      <c r="L41" s="225"/>
      <c r="M41" s="212">
        <f t="shared" ca="1" si="2"/>
        <v>1</v>
      </c>
      <c r="N41" s="195"/>
      <c r="O41" s="195"/>
      <c r="P41" s="195"/>
      <c r="V41" s="171"/>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row>
    <row r="42" spans="1:45">
      <c r="A42" s="211" t="s">
        <v>588</v>
      </c>
      <c r="B42" s="70">
        <f t="shared" ca="1" si="1"/>
        <v>0.755</v>
      </c>
      <c r="C42" s="301"/>
      <c r="D42" s="41">
        <f ca="1">SUMIF(OFFSET(CalibData!$M$3,1,0,$Q$2),ROW()+COLUMN()/100,OFFSET(CalibData!$N$3,1,0,$Q$2))</f>
        <v>0.125</v>
      </c>
      <c r="E42" s="225"/>
      <c r="F42" s="225"/>
      <c r="G42" s="41">
        <f ca="1">SUMIF(OFFSET(CalibData!$M$3,1,0,$Q$2),ROW()+COLUMN()/100,OFFSET(CalibData!$N$3,1,0,$Q$2))</f>
        <v>0.01</v>
      </c>
      <c r="H42" s="225"/>
      <c r="I42" s="225"/>
      <c r="J42" s="41">
        <f ca="1">SUMIF(OFFSET(CalibData!$M$3,1,0,$Q$2),ROW()+COLUMN()/100,OFFSET(CalibData!$N$3,1,0,$Q$2))</f>
        <v>0.11</v>
      </c>
      <c r="K42" s="225"/>
      <c r="L42" s="225"/>
      <c r="M42" s="212">
        <f t="shared" ca="1" si="2"/>
        <v>1</v>
      </c>
      <c r="N42" s="195"/>
      <c r="O42" s="195"/>
      <c r="P42" s="195"/>
      <c r="V42" s="171"/>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row>
    <row r="43" spans="1:45">
      <c r="A43" s="211" t="s">
        <v>247</v>
      </c>
      <c r="B43" s="70">
        <f t="shared" ca="1" si="1"/>
        <v>0.4282072257063323</v>
      </c>
      <c r="C43" s="41">
        <f ca="1">SUMIF(OFFSET(CalibData!$M$3,1,0,$Q$2),ROW()+COLUMN()/100,OFFSET(CalibData!$N$3,1,0,$Q$2))</f>
        <v>2.8987267241292192E-3</v>
      </c>
      <c r="D43" s="41">
        <f ca="1">SUMIF(OFFSET(CalibData!$M$3,1,0,$Q$2),ROW()+COLUMN()/100,OFFSET(CalibData!$N$3,1,0,$Q$2))</f>
        <v>0.13459175548621022</v>
      </c>
      <c r="E43" s="41">
        <f ca="1">SUMIF(OFFSET(CalibData!$M$3,1,0,$Q$2),ROW()+COLUMN()/100,OFFSET(CalibData!$N$3,1,0,$Q$2))</f>
        <v>5.8850826667426803E-2</v>
      </c>
      <c r="F43" s="41">
        <f ca="1">SUMIF(OFFSET(CalibData!$M$3,1,0,$Q$2),ROW()+COLUMN()/100,OFFSET(CalibData!$N$3,1,0,$Q$2))</f>
        <v>7.2462129592431104E-3</v>
      </c>
      <c r="G43" s="41">
        <f ca="1">SUMIF(OFFSET(CalibData!$M$3,1,0,$Q$2),ROW()+COLUMN()/100,OFFSET(CalibData!$N$3,1,0,$Q$2))</f>
        <v>2.6179717063723199E-2</v>
      </c>
      <c r="H43" s="41">
        <f ca="1">SUMIF(OFFSET(CalibData!$M$3,1,0,$Q$2),ROW()+COLUMN()/100,OFFSET(CalibData!$N$3,1,0,$Q$2))</f>
        <v>1.0466752052240048E-2</v>
      </c>
      <c r="I43" s="41">
        <f ca="1">SUMIF(OFFSET(CalibData!$M$3,1,0,$Q$2),ROW()+COLUMN()/100,OFFSET(CalibData!$N$3,1,0,$Q$2))</f>
        <v>1.4894993305110838E-2</v>
      </c>
      <c r="J43" s="225"/>
      <c r="K43" s="41">
        <f ca="1">SUMIF(OFFSET(CalibData!$M$3,1,0,$Q$2),ROW()+COLUMN()/100,OFFSET(CalibData!$N$3,1,0,$Q$2))</f>
        <v>0.21558387156214198</v>
      </c>
      <c r="L43" s="41">
        <f ca="1">SUMIF(OFFSET(CalibData!$M$3,1,0,$Q$2),ROW()+COLUMN()/100,OFFSET(CalibData!$N$3,1,0,$Q$2))</f>
        <v>0.10107991847344228</v>
      </c>
      <c r="M43" s="212">
        <f t="shared" ca="1" si="2"/>
        <v>1</v>
      </c>
      <c r="N43" s="195"/>
      <c r="O43" s="195"/>
      <c r="P43" s="195"/>
      <c r="V43" s="171"/>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row>
    <row r="44" spans="1:45">
      <c r="A44" s="211" t="s">
        <v>414</v>
      </c>
      <c r="B44" s="42">
        <f t="shared" ca="1" si="1"/>
        <v>0.77</v>
      </c>
      <c r="C44" s="302"/>
      <c r="D44" s="41">
        <f ca="1">SUMIF(OFFSET(CalibData!$M$3,1,0,$Q$2),ROW()+COLUMN()/100,OFFSET(CalibData!$N$3,1,0,$Q$2))</f>
        <v>0.23</v>
      </c>
      <c r="E44" s="226"/>
      <c r="F44" s="226"/>
      <c r="G44" s="226"/>
      <c r="H44" s="226"/>
      <c r="I44" s="226"/>
      <c r="J44" s="41">
        <f ca="1">SUMIF(OFFSET(CalibData!$M$3,1,0,$Q$2),ROW()+COLUMN()/100,OFFSET(CalibData!$N$3,1,0,$Q$2))</f>
        <v>0</v>
      </c>
      <c r="K44" s="226"/>
      <c r="L44" s="226"/>
      <c r="M44" s="212">
        <f t="shared" ca="1" si="2"/>
        <v>1</v>
      </c>
      <c r="N44" s="195"/>
      <c r="O44" s="195"/>
      <c r="P44" s="195"/>
      <c r="V44" s="171"/>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row>
    <row r="45" spans="1:45">
      <c r="A45" s="211" t="s">
        <v>245</v>
      </c>
      <c r="B45" s="70">
        <f t="shared" ca="1" si="1"/>
        <v>1</v>
      </c>
      <c r="C45" s="41">
        <f ca="1">SUMIF(OFFSET(CalibData!$M$3,1,0,$Q$2),ROW()+COLUMN()/100,OFFSET(CalibData!$N$3,1,0,$Q$2))</f>
        <v>0</v>
      </c>
      <c r="D45" s="41">
        <f ca="1">SUMIF(OFFSET(CalibData!$M$3,1,0,$Q$2),ROW()+COLUMN()/100,OFFSET(CalibData!$N$3,1,0,$Q$2))</f>
        <v>0</v>
      </c>
      <c r="E45" s="225"/>
      <c r="F45" s="225"/>
      <c r="G45" s="225"/>
      <c r="H45" s="225"/>
      <c r="I45" s="225"/>
      <c r="J45" s="41">
        <f ca="1">SUMIF(OFFSET(CalibData!$M$3,1,0,$Q$2),ROW()+COLUMN()/100,OFFSET(CalibData!$N$3,1,0,$Q$2))</f>
        <v>0</v>
      </c>
      <c r="K45" s="225"/>
      <c r="L45" s="225"/>
      <c r="M45" s="212">
        <f t="shared" ca="1" si="2"/>
        <v>1</v>
      </c>
      <c r="N45" s="195"/>
      <c r="O45" s="195"/>
      <c r="P45" s="195"/>
      <c r="V45" s="171"/>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row>
    <row r="46" spans="1:45">
      <c r="A46" s="211" t="s">
        <v>246</v>
      </c>
      <c r="B46" s="225">
        <f t="shared" ca="1" si="1"/>
        <v>1</v>
      </c>
      <c r="C46" s="301"/>
      <c r="D46" s="41">
        <f ca="1">SUMIF(OFFSET(CalibData!$M$3,1,0,$Q$2),ROW()+COLUMN()/100,OFFSET(CalibData!$N$3,1,0,$Q$2))</f>
        <v>0</v>
      </c>
      <c r="E46" s="225"/>
      <c r="F46" s="225"/>
      <c r="G46" s="41">
        <f ca="1">SUMIF(OFFSET(CalibData!$M$3,1,0,$Q$2),ROW()+COLUMN()/100,OFFSET(CalibData!$N$3,1,0,$Q$2))</f>
        <v>0</v>
      </c>
      <c r="H46" s="225"/>
      <c r="I46" s="225"/>
      <c r="J46" s="41">
        <f ca="1">SUMIF(OFFSET(CalibData!$M$3,1,0,$Q$2),ROW()+COLUMN()/100,OFFSET(CalibData!$N$3,1,0,$Q$2))</f>
        <v>0</v>
      </c>
      <c r="K46" s="225"/>
      <c r="L46" s="225"/>
      <c r="M46" s="212">
        <f t="shared" ca="1" si="2"/>
        <v>1</v>
      </c>
      <c r="N46" s="195"/>
      <c r="O46" s="195"/>
      <c r="P46" s="195"/>
      <c r="V46" s="171"/>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row>
    <row r="47" spans="1:45">
      <c r="A47" s="195"/>
      <c r="B47" s="195"/>
      <c r="C47" s="195"/>
      <c r="D47" s="195"/>
      <c r="E47" s="195"/>
      <c r="F47" s="195"/>
      <c r="G47" s="195"/>
      <c r="H47" s="216"/>
      <c r="I47" s="216"/>
      <c r="J47" s="216"/>
      <c r="K47" s="216"/>
      <c r="L47" s="216"/>
      <c r="M47" s="216"/>
      <c r="N47" s="195"/>
      <c r="O47" s="195"/>
      <c r="P47" s="195"/>
      <c r="V47" s="171"/>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row>
    <row r="48" spans="1:45" ht="18">
      <c r="A48" s="131" t="s">
        <v>520</v>
      </c>
      <c r="B48" s="98"/>
      <c r="C48" s="98"/>
      <c r="D48" s="98"/>
      <c r="E48" s="98"/>
      <c r="F48" s="98"/>
      <c r="G48" s="98"/>
      <c r="H48" s="216"/>
      <c r="I48" s="216"/>
      <c r="J48" s="216"/>
      <c r="K48" s="216"/>
      <c r="L48" s="216"/>
      <c r="M48" s="216"/>
      <c r="N48" s="195"/>
      <c r="O48" s="195"/>
      <c r="P48" s="195"/>
      <c r="V48" s="171"/>
      <c r="W48" s="172"/>
      <c r="X48" s="172"/>
      <c r="Y48" s="172"/>
      <c r="Z48" s="172"/>
      <c r="AA48" s="172"/>
      <c r="AB48" s="172"/>
      <c r="AC48" s="172"/>
      <c r="AD48" s="172"/>
      <c r="AE48" s="172"/>
      <c r="AF48" s="172"/>
      <c r="AG48" s="172"/>
      <c r="AH48" s="172"/>
      <c r="AI48" s="172"/>
      <c r="AJ48" s="172"/>
      <c r="AK48" s="172"/>
      <c r="AL48" s="172"/>
      <c r="AM48" s="172"/>
      <c r="AN48" s="172"/>
      <c r="AO48" s="172"/>
      <c r="AP48" s="172"/>
      <c r="AQ48" s="172"/>
      <c r="AR48" s="172"/>
      <c r="AS48" s="172"/>
    </row>
    <row r="49" spans="1:45">
      <c r="A49" s="195"/>
      <c r="B49" s="62" t="s">
        <v>458</v>
      </c>
      <c r="C49" s="62" t="s">
        <v>720</v>
      </c>
      <c r="D49" s="62" t="s">
        <v>721</v>
      </c>
      <c r="E49" s="62" t="s">
        <v>722</v>
      </c>
      <c r="F49" s="195"/>
      <c r="G49" s="195"/>
      <c r="H49" s="216"/>
      <c r="I49" s="216"/>
      <c r="J49" s="216">
        <v>0.9</v>
      </c>
      <c r="K49" s="216"/>
      <c r="L49" s="216"/>
      <c r="M49" s="216"/>
      <c r="N49" s="216"/>
      <c r="O49" s="216"/>
      <c r="P49" s="216"/>
      <c r="V49" s="171"/>
      <c r="W49" s="172"/>
      <c r="X49" s="172"/>
      <c r="Y49" s="172"/>
      <c r="Z49" s="172"/>
      <c r="AA49" s="172"/>
      <c r="AB49" s="172"/>
      <c r="AC49" s="172"/>
      <c r="AD49" s="172"/>
      <c r="AE49" s="172"/>
      <c r="AF49" s="172"/>
      <c r="AG49" s="172"/>
      <c r="AH49" s="172"/>
      <c r="AI49" s="172"/>
      <c r="AJ49" s="172"/>
      <c r="AK49" s="172"/>
      <c r="AL49" s="172"/>
      <c r="AM49" s="172"/>
      <c r="AN49" s="172"/>
      <c r="AO49" s="172"/>
      <c r="AP49" s="172"/>
      <c r="AQ49" s="172"/>
      <c r="AR49" s="172"/>
      <c r="AS49" s="172"/>
    </row>
    <row r="50" spans="1:45">
      <c r="A50" s="198" t="s">
        <v>282</v>
      </c>
      <c r="B50" s="195"/>
      <c r="C50" s="195"/>
      <c r="D50" s="195"/>
      <c r="E50" s="195"/>
      <c r="F50" s="195"/>
      <c r="G50" s="198" t="s">
        <v>886</v>
      </c>
      <c r="H50" s="195"/>
      <c r="I50" s="195"/>
      <c r="J50" s="198" t="s">
        <v>887</v>
      </c>
      <c r="K50" s="195"/>
      <c r="L50" s="195"/>
      <c r="M50" s="216"/>
      <c r="N50" s="244"/>
      <c r="O50" s="216"/>
      <c r="P50" s="216"/>
      <c r="V50" s="171"/>
      <c r="W50" s="172"/>
      <c r="X50" s="172"/>
      <c r="Y50" s="172"/>
      <c r="Z50" s="172"/>
      <c r="AA50" s="172"/>
      <c r="AB50" s="172"/>
      <c r="AC50" s="172"/>
      <c r="AD50" s="172"/>
      <c r="AE50" s="172"/>
      <c r="AF50" s="172"/>
      <c r="AG50" s="172"/>
      <c r="AH50" s="172"/>
      <c r="AI50" s="172"/>
      <c r="AJ50" s="172"/>
      <c r="AK50" s="172"/>
      <c r="AL50" s="172"/>
      <c r="AM50" s="172"/>
      <c r="AN50" s="172"/>
      <c r="AO50" s="172"/>
      <c r="AP50" s="172"/>
      <c r="AQ50" s="172"/>
      <c r="AR50" s="172"/>
      <c r="AS50" s="172"/>
    </row>
    <row r="51" spans="1:45">
      <c r="A51" s="198"/>
      <c r="B51" s="198" t="str">
        <f>B$49</f>
        <v>Region1</v>
      </c>
      <c r="C51" s="198" t="str">
        <f>C$49</f>
        <v>Region2</v>
      </c>
      <c r="D51" s="198" t="str">
        <f>D$49</f>
        <v>Region3</v>
      </c>
      <c r="E51" s="198" t="str">
        <f>E$49</f>
        <v>Region4</v>
      </c>
      <c r="F51" s="195" t="s">
        <v>248</v>
      </c>
      <c r="G51" s="198"/>
      <c r="H51" s="198" t="str">
        <f>B49</f>
        <v>Region1</v>
      </c>
      <c r="I51" s="198" t="str">
        <f>C49</f>
        <v>Region2</v>
      </c>
      <c r="J51" s="198" t="str">
        <f>H51</f>
        <v>Region1</v>
      </c>
      <c r="K51" s="198" t="str">
        <f>I51</f>
        <v>Region2</v>
      </c>
      <c r="L51" s="195" t="s">
        <v>248</v>
      </c>
      <c r="M51" s="216"/>
      <c r="N51" s="216"/>
      <c r="O51" s="244"/>
      <c r="P51" s="216"/>
      <c r="V51" s="171"/>
      <c r="W51" s="172"/>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2"/>
    </row>
    <row r="52" spans="1:45">
      <c r="A52" s="195" t="s">
        <v>244</v>
      </c>
      <c r="B52" s="41">
        <f t="shared" ref="B52:B62" ca="1" si="3">MAX(0,1-SUM(C52:E52))</f>
        <v>0.11844315419791129</v>
      </c>
      <c r="C52" s="41">
        <f ca="1">SUMIF(OFFSET(CalibData!$M$3,1,0,$Q$2),ROW()+COLUMN()/100,OFFSET(CalibData!$N$3,1,0,$Q$2))</f>
        <v>0.88155684580208871</v>
      </c>
      <c r="D52" s="41">
        <f ca="1">SUMIF(OFFSET(CalibData!$M$3,1,0,$Q$2),ROW()+COLUMN()/100,OFFSET(CalibData!$N$3,1,0,$Q$2))</f>
        <v>0</v>
      </c>
      <c r="E52" s="41">
        <f ca="1">SUMIF(OFFSET(CalibData!$M$3,1,0,$Q$2),ROW()+COLUMN()/100,OFFSET(CalibData!$N$3,1,0,$Q$2))</f>
        <v>0</v>
      </c>
      <c r="F52" s="228">
        <f t="shared" ref="F52:F62" ca="1" si="4">SUM(B52:E52)</f>
        <v>1</v>
      </c>
      <c r="G52" s="195" t="s">
        <v>244</v>
      </c>
      <c r="H52" s="41">
        <f t="shared" ref="H52:H62" ca="1" si="5">MAX(0,1-I52)</f>
        <v>1</v>
      </c>
      <c r="I52" s="41">
        <f ca="1">SUMIF(OFFSET(CalibData!$M$3,1,0,$Q$2),ROW()+COLUMN()/100,OFFSET(CalibData!$N$3,1,0,$Q$2))</f>
        <v>0</v>
      </c>
      <c r="J52" s="40">
        <f t="shared" ref="J52:J62" ca="1" si="6">1-K52</f>
        <v>0.14353061402417755</v>
      </c>
      <c r="K52" s="40">
        <f t="shared" ref="K52:K59" ca="1" si="7">MIN(D36,IF(C$60,K$60*D$44/(C$60*B$44),0.25)*C52*B36)/IF(D36,D36,1)</f>
        <v>0.85646938597582245</v>
      </c>
      <c r="L52" s="228">
        <f t="shared" ref="L52:L62" ca="1" si="8">SUM(H52:I52)</f>
        <v>1</v>
      </c>
      <c r="M52" s="216"/>
      <c r="N52" s="216"/>
      <c r="O52" s="244"/>
      <c r="P52" s="216"/>
    </row>
    <row r="53" spans="1:45">
      <c r="A53" s="195" t="s">
        <v>663</v>
      </c>
      <c r="B53" s="41">
        <f t="shared" ca="1" si="3"/>
        <v>0.82490851460631598</v>
      </c>
      <c r="C53" s="41">
        <f ca="1">SUMIF(OFFSET(CalibData!$M$3,1,0,$Q$2),ROW()+COLUMN()/100,OFFSET(CalibData!$N$3,1,0,$Q$2))</f>
        <v>0.17509148539368405</v>
      </c>
      <c r="D53" s="41">
        <f ca="1">SUMIF(OFFSET(CalibData!$M$3,1,0,$Q$2),ROW()+COLUMN()/100,OFFSET(CalibData!$N$3,1,0,$Q$2))</f>
        <v>0</v>
      </c>
      <c r="E53" s="41">
        <f ca="1">SUMIF(OFFSET(CalibData!$M$3,1,0,$Q$2),ROW()+COLUMN()/100,OFFSET(CalibData!$N$3,1,0,$Q$2))</f>
        <v>0</v>
      </c>
      <c r="F53" s="228">
        <f t="shared" ca="1" si="4"/>
        <v>1</v>
      </c>
      <c r="G53" s="195" t="s">
        <v>663</v>
      </c>
      <c r="H53" s="41">
        <f t="shared" ca="1" si="5"/>
        <v>1</v>
      </c>
      <c r="I53" s="41">
        <f ca="1">SUMIF(OFFSET(CalibData!$M$3,1,0,$Q$2),ROW()+COLUMN()/100,OFFSET(CalibData!$N$3,1,0,$Q$2))</f>
        <v>0</v>
      </c>
      <c r="J53" s="40">
        <f t="shared" ca="1" si="6"/>
        <v>0.81198103769455998</v>
      </c>
      <c r="K53" s="40">
        <f t="shared" ca="1" si="7"/>
        <v>0.18801896230543999</v>
      </c>
      <c r="L53" s="228">
        <f t="shared" ca="1" si="8"/>
        <v>1</v>
      </c>
      <c r="M53" s="216"/>
      <c r="N53" s="216"/>
      <c r="O53" s="244"/>
      <c r="P53" s="216"/>
      <c r="V53" s="171"/>
    </row>
    <row r="54" spans="1:45">
      <c r="A54" s="195" t="s">
        <v>574</v>
      </c>
      <c r="B54" s="41">
        <f t="shared" ca="1" si="3"/>
        <v>0</v>
      </c>
      <c r="C54" s="41">
        <f ca="1">SUMIF(OFFSET(CalibData!$M$3,1,0,$Q$2),ROW()+COLUMN()/100,OFFSET(CalibData!$N$3,1,0,$Q$2))</f>
        <v>1</v>
      </c>
      <c r="D54" s="41">
        <f ca="1">SUMIF(OFFSET(CalibData!$M$3,1,0,$Q$2),ROW()+COLUMN()/100,OFFSET(CalibData!$N$3,1,0,$Q$2))</f>
        <v>0</v>
      </c>
      <c r="E54" s="41">
        <f ca="1">SUMIF(OFFSET(CalibData!$M$3,1,0,$Q$2),ROW()+COLUMN()/100,OFFSET(CalibData!$N$3,1,0,$Q$2))</f>
        <v>0</v>
      </c>
      <c r="F54" s="228">
        <f t="shared" ca="1" si="4"/>
        <v>1</v>
      </c>
      <c r="G54" s="195" t="s">
        <v>574</v>
      </c>
      <c r="H54" s="41">
        <f t="shared" ca="1" si="5"/>
        <v>1</v>
      </c>
      <c r="I54" s="41">
        <f ca="1">SUMIF(OFFSET(CalibData!$M$3,1,0,$Q$2),ROW()+COLUMN()/100,OFFSET(CalibData!$N$3,1,0,$Q$2))</f>
        <v>0</v>
      </c>
      <c r="J54" s="40">
        <f t="shared" ca="1" si="6"/>
        <v>0</v>
      </c>
      <c r="K54" s="40">
        <f t="shared" ca="1" si="7"/>
        <v>1</v>
      </c>
      <c r="L54" s="228">
        <f t="shared" ca="1" si="8"/>
        <v>1</v>
      </c>
      <c r="M54" s="216"/>
      <c r="N54" s="216"/>
      <c r="O54" s="244"/>
      <c r="P54" s="216"/>
      <c r="V54" s="171"/>
      <c r="W54" s="172"/>
      <c r="X54" s="172"/>
      <c r="Y54" s="172"/>
      <c r="Z54" s="172"/>
      <c r="AA54" s="172"/>
      <c r="AB54" s="172"/>
      <c r="AC54" s="172"/>
      <c r="AD54" s="172"/>
      <c r="AE54" s="172"/>
      <c r="AF54" s="172"/>
      <c r="AG54" s="172"/>
      <c r="AH54" s="172"/>
      <c r="AI54" s="172"/>
      <c r="AJ54" s="172"/>
      <c r="AK54" s="172"/>
      <c r="AL54" s="172"/>
      <c r="AM54" s="172"/>
      <c r="AN54" s="172"/>
      <c r="AO54" s="172"/>
      <c r="AP54" s="172"/>
      <c r="AQ54" s="172"/>
      <c r="AR54" s="172"/>
      <c r="AS54" s="172"/>
    </row>
    <row r="55" spans="1:45">
      <c r="A55" s="195" t="s">
        <v>576</v>
      </c>
      <c r="B55" s="41">
        <f t="shared" ca="1" si="3"/>
        <v>1</v>
      </c>
      <c r="C55" s="41">
        <f ca="1">SUMIF(OFFSET(CalibData!$M$3,1,0,$Q$2),ROW()+COLUMN()/100,OFFSET(CalibData!$N$3,1,0,$Q$2))</f>
        <v>0</v>
      </c>
      <c r="D55" s="41">
        <f ca="1">SUMIF(OFFSET(CalibData!$M$3,1,0,$Q$2),ROW()+COLUMN()/100,OFFSET(CalibData!$N$3,1,0,$Q$2))</f>
        <v>0</v>
      </c>
      <c r="E55" s="41">
        <f ca="1">SUMIF(OFFSET(CalibData!$M$3,1,0,$Q$2),ROW()+COLUMN()/100,OFFSET(CalibData!$N$3,1,0,$Q$2))</f>
        <v>0</v>
      </c>
      <c r="F55" s="228">
        <f t="shared" ca="1" si="4"/>
        <v>1</v>
      </c>
      <c r="G55" s="195" t="s">
        <v>576</v>
      </c>
      <c r="H55" s="41">
        <f t="shared" ca="1" si="5"/>
        <v>1</v>
      </c>
      <c r="I55" s="41">
        <f ca="1">SUMIF(OFFSET(CalibData!$M$3,1,0,$Q$2),ROW()+COLUMN()/100,OFFSET(CalibData!$N$3,1,0,$Q$2))</f>
        <v>0</v>
      </c>
      <c r="J55" s="40">
        <f t="shared" ca="1" si="6"/>
        <v>1</v>
      </c>
      <c r="K55" s="40">
        <f t="shared" ca="1" si="7"/>
        <v>0</v>
      </c>
      <c r="L55" s="228">
        <f t="shared" ca="1" si="8"/>
        <v>1</v>
      </c>
      <c r="M55" s="216"/>
      <c r="N55" s="216"/>
      <c r="O55" s="244"/>
      <c r="P55" s="216"/>
      <c r="V55" s="171"/>
      <c r="W55" s="172"/>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2"/>
    </row>
    <row r="56" spans="1:45" ht="12.6" customHeight="1">
      <c r="A56" s="195" t="s">
        <v>664</v>
      </c>
      <c r="B56" s="41">
        <f t="shared" ca="1" si="3"/>
        <v>0.9072847682119205</v>
      </c>
      <c r="C56" s="41">
        <f ca="1">SUMIF(OFFSET(CalibData!$M$3,1,0,$Q$2),ROW()+COLUMN()/100,OFFSET(CalibData!$N$3,1,0,$Q$2))</f>
        <v>9.2715231788079472E-2</v>
      </c>
      <c r="D56" s="41">
        <f ca="1">SUMIF(OFFSET(CalibData!$M$3,1,0,$Q$2),ROW()+COLUMN()/100,OFFSET(CalibData!$N$3,1,0,$Q$2))</f>
        <v>0</v>
      </c>
      <c r="E56" s="41">
        <f ca="1">SUMIF(OFFSET(CalibData!$M$3,1,0,$Q$2),ROW()+COLUMN()/100,OFFSET(CalibData!$N$3,1,0,$Q$2))</f>
        <v>0</v>
      </c>
      <c r="F56" s="228">
        <f t="shared" ca="1" si="4"/>
        <v>1</v>
      </c>
      <c r="G56" s="195" t="s">
        <v>664</v>
      </c>
      <c r="H56" s="41">
        <f t="shared" ca="1" si="5"/>
        <v>1</v>
      </c>
      <c r="I56" s="41">
        <f ca="1">SUMIF(OFFSET(CalibData!$M$3,1,0,$Q$2),ROW()+COLUMN()/100,OFFSET(CalibData!$N$3,1,0,$Q$2))</f>
        <v>0</v>
      </c>
      <c r="J56" s="40">
        <f t="shared" ca="1" si="6"/>
        <v>0.90043935242477602</v>
      </c>
      <c r="K56" s="40">
        <f t="shared" ca="1" si="7"/>
        <v>9.9560647575223926E-2</v>
      </c>
      <c r="L56" s="228">
        <f t="shared" ca="1" si="8"/>
        <v>1</v>
      </c>
      <c r="M56" s="216"/>
      <c r="N56" s="216"/>
      <c r="O56" s="244"/>
      <c r="P56" s="216"/>
      <c r="V56" s="171"/>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row>
    <row r="57" spans="1:45" ht="13.5" customHeight="1">
      <c r="A57" s="195" t="s">
        <v>665</v>
      </c>
      <c r="B57" s="41">
        <f t="shared" ca="1" si="3"/>
        <v>1</v>
      </c>
      <c r="C57" s="41">
        <f ca="1">SUMIF(OFFSET(CalibData!$M$3,1,0,$Q$2),ROW()+COLUMN()/100,OFFSET(CalibData!$N$3,1,0,$Q$2))</f>
        <v>0</v>
      </c>
      <c r="D57" s="41">
        <f ca="1">SUMIF(OFFSET(CalibData!$M$3,1,0,$Q$2),ROW()+COLUMN()/100,OFFSET(CalibData!$N$3,1,0,$Q$2))</f>
        <v>0</v>
      </c>
      <c r="E57" s="41">
        <f ca="1">SUMIF(OFFSET(CalibData!$M$3,1,0,$Q$2),ROW()+COLUMN()/100,OFFSET(CalibData!$N$3,1,0,$Q$2))</f>
        <v>0</v>
      </c>
      <c r="F57" s="228">
        <f t="shared" ca="1" si="4"/>
        <v>1</v>
      </c>
      <c r="G57" s="195" t="s">
        <v>665</v>
      </c>
      <c r="H57" s="41">
        <f t="shared" ca="1" si="5"/>
        <v>1</v>
      </c>
      <c r="I57" s="41">
        <f ca="1">SUMIF(OFFSET(CalibData!$M$3,1,0,$Q$2),ROW()+COLUMN()/100,OFFSET(CalibData!$N$3,1,0,$Q$2))</f>
        <v>0</v>
      </c>
      <c r="J57" s="40">
        <f t="shared" ca="1" si="6"/>
        <v>1</v>
      </c>
      <c r="K57" s="40">
        <f t="shared" ca="1" si="7"/>
        <v>0</v>
      </c>
      <c r="L57" s="228">
        <f t="shared" ca="1" si="8"/>
        <v>1</v>
      </c>
      <c r="M57" s="216"/>
      <c r="N57" s="216"/>
      <c r="O57" s="216"/>
      <c r="P57" s="216"/>
      <c r="V57" s="171"/>
      <c r="W57" s="172"/>
      <c r="X57" s="172"/>
      <c r="Y57" s="172"/>
      <c r="Z57" s="172"/>
      <c r="AA57" s="172"/>
      <c r="AB57" s="172"/>
      <c r="AC57" s="172"/>
      <c r="AD57" s="172"/>
      <c r="AE57" s="172"/>
      <c r="AF57" s="172"/>
      <c r="AG57" s="172"/>
      <c r="AH57" s="172"/>
      <c r="AI57" s="172"/>
      <c r="AJ57" s="172"/>
      <c r="AK57" s="172"/>
      <c r="AL57" s="172"/>
      <c r="AM57" s="172"/>
      <c r="AN57" s="172"/>
      <c r="AO57" s="172"/>
      <c r="AP57" s="172"/>
      <c r="AQ57" s="172"/>
      <c r="AR57" s="172"/>
      <c r="AS57" s="172"/>
    </row>
    <row r="58" spans="1:45">
      <c r="A58" s="196" t="s">
        <v>588</v>
      </c>
      <c r="B58" s="41">
        <f t="shared" ca="1" si="3"/>
        <v>0.98547166288007471</v>
      </c>
      <c r="C58" s="41">
        <f ca="1">SUMIF(OFFSET(CalibData!$M$3,1,0,$Q$2),ROW()+COLUMN()/100,OFFSET(CalibData!$N$3,1,0,$Q$2))</f>
        <v>1.4528337119925291E-2</v>
      </c>
      <c r="D58" s="41">
        <f ca="1">SUMIF(OFFSET(CalibData!$M$3,1,0,$Q$2),ROW()+COLUMN()/100,OFFSET(CalibData!$N$3,1,0,$Q$2))</f>
        <v>0</v>
      </c>
      <c r="E58" s="41">
        <f ca="1">SUMIF(OFFSET(CalibData!$M$3,1,0,$Q$2),ROW()+COLUMN()/100,OFFSET(CalibData!$N$3,1,0,$Q$2))</f>
        <v>0</v>
      </c>
      <c r="F58" s="228">
        <f t="shared" ca="1" si="4"/>
        <v>1</v>
      </c>
      <c r="G58" s="196" t="s">
        <v>588</v>
      </c>
      <c r="H58" s="41">
        <f t="shared" ca="1" si="5"/>
        <v>1</v>
      </c>
      <c r="I58" s="41">
        <f ca="1">SUMIF(OFFSET(CalibData!$M$3,1,0,$Q$2),ROW()+COLUMN()/100,OFFSET(CalibData!$N$3,1,0,$Q$2))</f>
        <v>0</v>
      </c>
      <c r="J58" s="40">
        <f t="shared" ca="1" si="6"/>
        <v>0.97342229051711482</v>
      </c>
      <c r="K58" s="40">
        <f t="shared" ca="1" si="7"/>
        <v>2.6577709482885167E-2</v>
      </c>
      <c r="L58" s="228">
        <f t="shared" ca="1" si="8"/>
        <v>1</v>
      </c>
      <c r="M58" s="216"/>
      <c r="N58" s="216"/>
      <c r="O58" s="216"/>
      <c r="P58" s="216"/>
      <c r="V58" s="171"/>
      <c r="W58" s="172"/>
      <c r="X58" s="172"/>
      <c r="Y58" s="172"/>
      <c r="Z58" s="172"/>
      <c r="AA58" s="172"/>
      <c r="AB58" s="172"/>
      <c r="AC58" s="172"/>
      <c r="AD58" s="172"/>
      <c r="AE58" s="172"/>
      <c r="AF58" s="172"/>
      <c r="AG58" s="172"/>
      <c r="AH58" s="172"/>
      <c r="AI58" s="172"/>
      <c r="AJ58" s="172"/>
      <c r="AK58" s="172"/>
      <c r="AL58" s="172"/>
      <c r="AM58" s="172"/>
      <c r="AN58" s="172"/>
      <c r="AO58" s="172"/>
      <c r="AP58" s="172"/>
      <c r="AQ58" s="172"/>
      <c r="AR58" s="172"/>
      <c r="AS58" s="172"/>
    </row>
    <row r="59" spans="1:45">
      <c r="A59" s="195" t="s">
        <v>247</v>
      </c>
      <c r="B59" s="41">
        <f t="shared" ca="1" si="3"/>
        <v>0.79390123084415154</v>
      </c>
      <c r="C59" s="41">
        <f ca="1">SUMIF(OFFSET(CalibData!$M$3,1,0,$Q$2),ROW()+COLUMN()/100,OFFSET(CalibData!$N$3,1,0,$Q$2))</f>
        <v>0.2060987691558484</v>
      </c>
      <c r="D59" s="41">
        <f ca="1">SUMIF(OFFSET(CalibData!$M$3,1,0,$Q$2),ROW()+COLUMN()/100,OFFSET(CalibData!$N$3,1,0,$Q$2))</f>
        <v>0</v>
      </c>
      <c r="E59" s="41">
        <f ca="1">SUMIF(OFFSET(CalibData!$M$3,1,0,$Q$2),ROW()+COLUMN()/100,OFFSET(CalibData!$N$3,1,0,$Q$2))</f>
        <v>0</v>
      </c>
      <c r="F59" s="228">
        <f t="shared" ca="1" si="4"/>
        <v>1</v>
      </c>
      <c r="G59" s="195" t="s">
        <v>247</v>
      </c>
      <c r="H59" s="41">
        <f t="shared" ca="1" si="5"/>
        <v>1</v>
      </c>
      <c r="I59" s="41">
        <f ca="1">SUMIF(OFFSET(CalibData!$M$3,1,0,$Q$2),ROW()+COLUMN()/100,OFFSET(CalibData!$N$3,1,0,$Q$2))</f>
        <v>0</v>
      </c>
      <c r="J59" s="40">
        <f t="shared" ca="1" si="6"/>
        <v>0.80140165072150693</v>
      </c>
      <c r="K59" s="40">
        <f t="shared" ca="1" si="7"/>
        <v>0.19859834927849301</v>
      </c>
      <c r="L59" s="228">
        <f t="shared" ca="1" si="8"/>
        <v>1</v>
      </c>
      <c r="M59" s="216"/>
      <c r="N59" s="216"/>
      <c r="O59" s="216"/>
      <c r="P59" s="216"/>
      <c r="V59" s="171"/>
      <c r="W59" s="172"/>
      <c r="X59" s="172"/>
      <c r="Y59" s="172"/>
      <c r="Z59" s="172"/>
      <c r="AA59" s="172"/>
      <c r="AB59" s="172"/>
      <c r="AC59" s="172"/>
      <c r="AD59" s="172"/>
      <c r="AE59" s="172"/>
      <c r="AF59" s="172"/>
      <c r="AG59" s="172"/>
      <c r="AH59" s="172"/>
      <c r="AI59" s="172"/>
      <c r="AJ59" s="172"/>
      <c r="AK59" s="172"/>
      <c r="AL59" s="172"/>
      <c r="AM59" s="172"/>
      <c r="AN59" s="172"/>
      <c r="AO59" s="172"/>
      <c r="AP59" s="172"/>
      <c r="AQ59" s="172"/>
      <c r="AR59" s="172"/>
      <c r="AS59" s="172"/>
    </row>
    <row r="60" spans="1:45">
      <c r="A60" s="195" t="s">
        <v>646</v>
      </c>
      <c r="B60" s="41">
        <f t="shared" ca="1" si="3"/>
        <v>0.13783172787766418</v>
      </c>
      <c r="C60" s="41">
        <f ca="1">SUMIF(OFFSET(CalibData!$M$3,1,0,$Q$2),ROW()+COLUMN()/100,OFFSET(CalibData!$N$3,1,0,$Q$2))</f>
        <v>0.86216827212233582</v>
      </c>
      <c r="D60" s="41">
        <f ca="1">SUMIF(OFFSET(CalibData!$M$3,1,0,$Q$2),ROW()+COLUMN()/100,OFFSET(CalibData!$N$3,1,0,$Q$2))</f>
        <v>0</v>
      </c>
      <c r="E60" s="41">
        <f ca="1">SUMIF(OFFSET(CalibData!$M$3,1,0,$Q$2),ROW()+COLUMN()/100,OFFSET(CalibData!$N$3,1,0,$Q$2))</f>
        <v>0</v>
      </c>
      <c r="F60" s="228">
        <f t="shared" ca="1" si="4"/>
        <v>1</v>
      </c>
      <c r="G60" s="195" t="s">
        <v>646</v>
      </c>
      <c r="H60" s="41">
        <f t="shared" ca="1" si="5"/>
        <v>1</v>
      </c>
      <c r="I60" s="41">
        <f ca="1">SUMIF(OFFSET(CalibData!$M$3,1,0,$Q$2),ROW()+COLUMN()/100,OFFSET(CalibData!$N$3,1,0,$Q$2))</f>
        <v>0</v>
      </c>
      <c r="J60" s="40">
        <f t="shared" ca="1" si="6"/>
        <v>0.12578223334573313</v>
      </c>
      <c r="K60" s="40">
        <f ca="1">IF(B60,1-1/(1+C60/(B60*$J$49)),1)</f>
        <v>0.87421776665426687</v>
      </c>
      <c r="L60" s="228">
        <f t="shared" ca="1" si="8"/>
        <v>1</v>
      </c>
      <c r="M60" s="216"/>
      <c r="N60" s="216"/>
      <c r="O60" s="216"/>
      <c r="P60" s="216"/>
      <c r="V60" s="171"/>
      <c r="W60" s="172"/>
      <c r="X60" s="172"/>
      <c r="Y60" s="172"/>
      <c r="Z60" s="172"/>
      <c r="AA60" s="172"/>
      <c r="AB60" s="172"/>
      <c r="AC60" s="172"/>
      <c r="AD60" s="172"/>
      <c r="AE60" s="172"/>
      <c r="AF60" s="172"/>
      <c r="AG60" s="172"/>
      <c r="AH60" s="172"/>
      <c r="AI60" s="172"/>
      <c r="AJ60" s="172"/>
      <c r="AK60" s="172"/>
      <c r="AL60" s="172"/>
      <c r="AM60" s="172"/>
      <c r="AN60" s="172"/>
      <c r="AO60" s="172"/>
      <c r="AP60" s="172"/>
      <c r="AQ60" s="172"/>
      <c r="AR60" s="172"/>
      <c r="AS60" s="172"/>
    </row>
    <row r="61" spans="1:45">
      <c r="A61" s="195" t="s">
        <v>245</v>
      </c>
      <c r="B61" s="41">
        <f t="shared" ca="1" si="3"/>
        <v>1</v>
      </c>
      <c r="C61" s="41">
        <f ca="1">SUMIF(OFFSET(CalibData!$M$3,1,0,$Q$2),ROW()+COLUMN()/100,OFFSET(CalibData!$N$3,1,0,$Q$2))</f>
        <v>0</v>
      </c>
      <c r="D61" s="41">
        <f ca="1">SUMIF(OFFSET(CalibData!$M$3,1,0,$Q$2),ROW()+COLUMN()/100,OFFSET(CalibData!$N$3,1,0,$Q$2))</f>
        <v>0</v>
      </c>
      <c r="E61" s="41">
        <f ca="1">SUMIF(OFFSET(CalibData!$M$3,1,0,$Q$2),ROW()+COLUMN()/100,OFFSET(CalibData!$N$3,1,0,$Q$2))</f>
        <v>0</v>
      </c>
      <c r="F61" s="228">
        <f t="shared" ca="1" si="4"/>
        <v>1</v>
      </c>
      <c r="G61" s="195" t="s">
        <v>245</v>
      </c>
      <c r="H61" s="41">
        <f t="shared" ca="1" si="5"/>
        <v>1</v>
      </c>
      <c r="I61" s="41">
        <f ca="1">SUMIF(OFFSET(CalibData!$M$3,1,0,$Q$2),ROW()+COLUMN()/100,OFFSET(CalibData!$N$3,1,0,$Q$2))</f>
        <v>0</v>
      </c>
      <c r="J61" s="40">
        <f t="shared" ca="1" si="6"/>
        <v>1</v>
      </c>
      <c r="K61" s="40">
        <f ca="1">MIN(D45,IF(C$60,K$60*D$44/(C$60*B$44),0.25)*C61*B45)/IF(D45,D45,1)</f>
        <v>0</v>
      </c>
      <c r="L61" s="228">
        <f t="shared" ca="1" si="8"/>
        <v>1</v>
      </c>
      <c r="M61" s="195"/>
      <c r="N61" s="195"/>
      <c r="O61" s="195"/>
      <c r="P61" s="195"/>
      <c r="V61" s="171"/>
      <c r="W61" s="172"/>
      <c r="X61" s="172"/>
      <c r="Y61" s="172"/>
      <c r="Z61" s="172"/>
      <c r="AA61" s="172"/>
      <c r="AB61" s="172"/>
      <c r="AC61" s="172"/>
      <c r="AD61" s="172"/>
      <c r="AE61" s="172"/>
      <c r="AF61" s="172"/>
      <c r="AG61" s="172"/>
      <c r="AH61" s="172"/>
      <c r="AI61" s="172"/>
      <c r="AJ61" s="172"/>
      <c r="AK61" s="172"/>
      <c r="AL61" s="172"/>
      <c r="AM61" s="172"/>
      <c r="AN61" s="172"/>
      <c r="AO61" s="172"/>
      <c r="AP61" s="172"/>
      <c r="AQ61" s="172"/>
      <c r="AR61" s="172"/>
      <c r="AS61" s="172"/>
    </row>
    <row r="62" spans="1:45">
      <c r="A62" s="195" t="s">
        <v>246</v>
      </c>
      <c r="B62" s="41">
        <f t="shared" ca="1" si="3"/>
        <v>1</v>
      </c>
      <c r="C62" s="41">
        <f ca="1">SUMIF(OFFSET(CalibData!$M$3,1,0,$Q$2),ROW()+COLUMN()/100,OFFSET(CalibData!$N$3,1,0,$Q$2))</f>
        <v>0</v>
      </c>
      <c r="D62" s="41">
        <f ca="1">SUMIF(OFFSET(CalibData!$M$3,1,0,$Q$2),ROW()+COLUMN()/100,OFFSET(CalibData!$N$3,1,0,$Q$2))</f>
        <v>0</v>
      </c>
      <c r="E62" s="41">
        <f ca="1">SUMIF(OFFSET(CalibData!$M$3,1,0,$Q$2),ROW()+COLUMN()/100,OFFSET(CalibData!$N$3,1,0,$Q$2))</f>
        <v>0</v>
      </c>
      <c r="F62" s="228">
        <f t="shared" ca="1" si="4"/>
        <v>1</v>
      </c>
      <c r="G62" s="195" t="s">
        <v>246</v>
      </c>
      <c r="H62" s="41">
        <f t="shared" ca="1" si="5"/>
        <v>1</v>
      </c>
      <c r="I62" s="41">
        <f ca="1">SUMIF(OFFSET(CalibData!$M$3,1,0,$Q$2),ROW()+COLUMN()/100,OFFSET(CalibData!$N$3,1,0,$Q$2))</f>
        <v>0</v>
      </c>
      <c r="J62" s="40">
        <f t="shared" ca="1" si="6"/>
        <v>1</v>
      </c>
      <c r="K62" s="40">
        <f ca="1">MIN(D46,IF(C$60,K$60*D$44/(C$60*B$44),0.25)*C62*B46)/IF(D46,D46,1)</f>
        <v>0</v>
      </c>
      <c r="L62" s="228">
        <f t="shared" ca="1" si="8"/>
        <v>1</v>
      </c>
      <c r="M62" s="195"/>
      <c r="N62" s="195"/>
      <c r="O62" s="195"/>
      <c r="P62" s="195"/>
      <c r="V62" s="171"/>
      <c r="W62" s="172"/>
      <c r="X62" s="172"/>
      <c r="Y62" s="172"/>
      <c r="Z62" s="172"/>
      <c r="AA62" s="172"/>
      <c r="AB62" s="172"/>
      <c r="AC62" s="172"/>
      <c r="AD62" s="172"/>
      <c r="AE62" s="172"/>
      <c r="AF62" s="172"/>
      <c r="AG62" s="172"/>
      <c r="AH62" s="172"/>
      <c r="AI62" s="172"/>
      <c r="AJ62" s="172"/>
      <c r="AK62" s="172"/>
      <c r="AL62" s="172"/>
      <c r="AM62" s="172"/>
      <c r="AN62" s="172"/>
      <c r="AO62" s="172"/>
      <c r="AP62" s="172"/>
      <c r="AQ62" s="172"/>
      <c r="AR62" s="172"/>
      <c r="AS62" s="172"/>
    </row>
    <row r="63" spans="1:45">
      <c r="A63" s="195"/>
      <c r="B63" s="195"/>
      <c r="C63" s="195"/>
      <c r="D63" s="195"/>
      <c r="E63" s="195"/>
      <c r="F63" s="205"/>
      <c r="G63" s="195"/>
      <c r="H63" s="195"/>
      <c r="I63" s="195"/>
      <c r="J63" s="195"/>
      <c r="K63" s="195"/>
      <c r="L63" s="195"/>
      <c r="M63" s="195"/>
      <c r="N63" s="195"/>
      <c r="O63" s="195"/>
      <c r="P63" s="195"/>
      <c r="V63" s="171"/>
      <c r="W63" s="172"/>
      <c r="X63" s="172"/>
      <c r="Y63" s="172"/>
      <c r="Z63" s="172"/>
      <c r="AA63" s="172"/>
      <c r="AB63" s="172"/>
      <c r="AC63" s="172"/>
      <c r="AD63" s="172"/>
      <c r="AE63" s="172"/>
      <c r="AF63" s="172"/>
      <c r="AG63" s="172"/>
      <c r="AH63" s="172"/>
      <c r="AI63" s="172"/>
      <c r="AJ63" s="172"/>
      <c r="AK63" s="172"/>
      <c r="AL63" s="172"/>
      <c r="AM63" s="172"/>
      <c r="AN63" s="172"/>
      <c r="AO63" s="172"/>
      <c r="AP63" s="172"/>
      <c r="AQ63" s="172"/>
      <c r="AR63" s="172"/>
      <c r="AS63" s="172"/>
    </row>
    <row r="64" spans="1:45">
      <c r="A64" s="198" t="s">
        <v>283</v>
      </c>
      <c r="B64" s="195"/>
      <c r="C64" s="195"/>
      <c r="D64" s="195"/>
      <c r="E64" s="195"/>
      <c r="F64" s="205"/>
      <c r="G64" s="198" t="s">
        <v>11</v>
      </c>
      <c r="H64" s="195"/>
      <c r="I64" s="195"/>
      <c r="J64" s="195"/>
      <c r="K64" s="195"/>
      <c r="L64" s="195"/>
      <c r="M64" s="195"/>
      <c r="N64" s="195"/>
      <c r="O64" s="195"/>
      <c r="P64" s="195"/>
      <c r="V64" s="171"/>
      <c r="W64" s="172"/>
      <c r="X64" s="172"/>
      <c r="Y64" s="172"/>
      <c r="Z64" s="172"/>
      <c r="AA64" s="172"/>
      <c r="AB64" s="172"/>
      <c r="AC64" s="172"/>
      <c r="AD64" s="172"/>
      <c r="AE64" s="172"/>
      <c r="AF64" s="172"/>
      <c r="AG64" s="172"/>
      <c r="AH64" s="172"/>
      <c r="AI64" s="172"/>
      <c r="AJ64" s="172"/>
      <c r="AK64" s="172"/>
      <c r="AL64" s="172"/>
      <c r="AM64" s="172"/>
      <c r="AN64" s="172"/>
      <c r="AO64" s="172"/>
      <c r="AP64" s="172"/>
      <c r="AQ64" s="172"/>
      <c r="AR64" s="172"/>
      <c r="AS64" s="172"/>
    </row>
    <row r="65" spans="1:45">
      <c r="A65" s="198"/>
      <c r="B65" s="198" t="str">
        <f>B$49</f>
        <v>Region1</v>
      </c>
      <c r="C65" s="198" t="str">
        <f>C$49</f>
        <v>Region2</v>
      </c>
      <c r="D65" s="198" t="str">
        <f>D$49</f>
        <v>Region3</v>
      </c>
      <c r="E65" s="198" t="str">
        <f>E$49</f>
        <v>Region4</v>
      </c>
      <c r="F65" s="205" t="s">
        <v>248</v>
      </c>
      <c r="G65" s="198"/>
      <c r="H65" s="198" t="str">
        <f>B49</f>
        <v>Region1</v>
      </c>
      <c r="I65" s="198" t="str">
        <f>C49</f>
        <v>Region2</v>
      </c>
      <c r="J65" s="198"/>
      <c r="K65" s="198"/>
      <c r="L65" s="195" t="s">
        <v>248</v>
      </c>
      <c r="M65" s="195"/>
      <c r="N65" s="195"/>
      <c r="O65" s="195"/>
      <c r="P65" s="195"/>
      <c r="V65" s="171"/>
      <c r="W65" s="172"/>
      <c r="X65" s="172"/>
      <c r="Y65" s="172"/>
      <c r="Z65" s="172"/>
      <c r="AA65" s="172"/>
      <c r="AB65" s="172"/>
      <c r="AC65" s="172"/>
      <c r="AD65" s="172"/>
      <c r="AE65" s="172"/>
      <c r="AF65" s="172"/>
      <c r="AG65" s="172"/>
      <c r="AH65" s="172"/>
      <c r="AI65" s="172"/>
      <c r="AJ65" s="172"/>
      <c r="AK65" s="172"/>
      <c r="AL65" s="172"/>
      <c r="AM65" s="172"/>
      <c r="AN65" s="172"/>
      <c r="AO65" s="172"/>
      <c r="AP65" s="172"/>
      <c r="AQ65" s="172"/>
      <c r="AR65" s="172"/>
      <c r="AS65" s="172"/>
    </row>
    <row r="66" spans="1:45">
      <c r="A66" s="195" t="s">
        <v>244</v>
      </c>
      <c r="B66" s="41">
        <f t="shared" ref="B66:B76" ca="1" si="9">MAX(0,1-SUM(C66:E66))</f>
        <v>1</v>
      </c>
      <c r="C66" s="41">
        <f ca="1">SUMIF(OFFSET(CalibData!$M$3,1,0,$Q$2),ROW()+COLUMN()/100,OFFSET(CalibData!$N$3,1,0,$Q$2))</f>
        <v>0</v>
      </c>
      <c r="D66" s="41">
        <f ca="1">SUMIF(OFFSET(CalibData!$M$3,1,0,$Q$2),ROW()+COLUMN()/100,OFFSET(CalibData!$N$3,1,0,$Q$2))</f>
        <v>0</v>
      </c>
      <c r="E66" s="41">
        <f ca="1">SUMIF(OFFSET(CalibData!$M$3,1,0,$Q$2),ROW()+COLUMN()/100,OFFSET(CalibData!$N$3,1,0,$Q$2))</f>
        <v>0</v>
      </c>
      <c r="F66" s="228">
        <f t="shared" ref="F66:F76" ca="1" si="10">SUM(B66:E66)</f>
        <v>1</v>
      </c>
      <c r="G66" s="195" t="s">
        <v>244</v>
      </c>
      <c r="H66" s="41">
        <f t="shared" ref="H66:H76" ca="1" si="11">MAX(0,1-I66)</f>
        <v>1</v>
      </c>
      <c r="I66" s="41">
        <f ca="1">SUMIF(OFFSET(CalibData!$M$3,1,0,$Q$2),ROW()+COLUMN()/100,OFFSET(CalibData!$N$3,1,0,$Q$2))</f>
        <v>0</v>
      </c>
      <c r="J66" s="40">
        <v>0</v>
      </c>
      <c r="K66" s="40">
        <v>0</v>
      </c>
      <c r="L66" s="228">
        <f t="shared" ref="L66:L76" ca="1" si="12">SUM(H66:K66)</f>
        <v>1</v>
      </c>
      <c r="M66" s="195"/>
      <c r="N66" s="195"/>
      <c r="O66" s="195"/>
      <c r="P66" s="195"/>
      <c r="V66" s="171"/>
      <c r="W66" s="172"/>
      <c r="X66" s="172"/>
      <c r="Y66" s="172"/>
      <c r="Z66" s="172"/>
      <c r="AA66" s="172"/>
      <c r="AB66" s="172"/>
      <c r="AC66" s="172"/>
      <c r="AD66" s="172"/>
      <c r="AE66" s="172"/>
      <c r="AF66" s="172"/>
      <c r="AG66" s="172"/>
      <c r="AH66" s="172"/>
      <c r="AI66" s="172"/>
      <c r="AJ66" s="172"/>
      <c r="AK66" s="172"/>
      <c r="AL66" s="172"/>
      <c r="AM66" s="172"/>
      <c r="AN66" s="172"/>
      <c r="AO66" s="172"/>
      <c r="AP66" s="172"/>
      <c r="AQ66" s="172"/>
      <c r="AR66" s="172"/>
      <c r="AS66" s="172"/>
    </row>
    <row r="67" spans="1:45">
      <c r="A67" s="195" t="s">
        <v>663</v>
      </c>
      <c r="B67" s="41">
        <f t="shared" ca="1" si="9"/>
        <v>1</v>
      </c>
      <c r="C67" s="41">
        <f ca="1">SUMIF(OFFSET(CalibData!$M$3,1,0,$Q$2),ROW()+COLUMN()/100,OFFSET(CalibData!$N$3,1,0,$Q$2))</f>
        <v>0</v>
      </c>
      <c r="D67" s="41">
        <f ca="1">SUMIF(OFFSET(CalibData!$M$3,1,0,$Q$2),ROW()+COLUMN()/100,OFFSET(CalibData!$N$3,1,0,$Q$2))</f>
        <v>0</v>
      </c>
      <c r="E67" s="41">
        <f ca="1">SUMIF(OFFSET(CalibData!$M$3,1,0,$Q$2),ROW()+COLUMN()/100,OFFSET(CalibData!$N$3,1,0,$Q$2))</f>
        <v>0</v>
      </c>
      <c r="F67" s="228">
        <f t="shared" ca="1" si="10"/>
        <v>1</v>
      </c>
      <c r="G67" s="195" t="s">
        <v>663</v>
      </c>
      <c r="H67" s="41">
        <f t="shared" ca="1" si="11"/>
        <v>1</v>
      </c>
      <c r="I67" s="41">
        <f ca="1">SUMIF(OFFSET(CalibData!$M$3,1,0,$Q$2),ROW()+COLUMN()/100,OFFSET(CalibData!$N$3,1,0,$Q$2))</f>
        <v>0</v>
      </c>
      <c r="J67" s="40">
        <v>0</v>
      </c>
      <c r="K67" s="40">
        <v>0</v>
      </c>
      <c r="L67" s="228">
        <f t="shared" ca="1" si="12"/>
        <v>1</v>
      </c>
      <c r="M67" s="195"/>
      <c r="N67" s="195"/>
      <c r="O67" s="195"/>
      <c r="P67" s="195"/>
      <c r="V67" s="171"/>
      <c r="W67" s="172"/>
      <c r="X67" s="172"/>
      <c r="Y67" s="172"/>
      <c r="Z67" s="172"/>
      <c r="AA67" s="172"/>
      <c r="AB67" s="172"/>
      <c r="AC67" s="172"/>
      <c r="AD67" s="172"/>
      <c r="AE67" s="172"/>
      <c r="AF67" s="172"/>
      <c r="AG67" s="172"/>
      <c r="AH67" s="172"/>
      <c r="AI67" s="172"/>
      <c r="AJ67" s="172"/>
      <c r="AK67" s="172"/>
      <c r="AL67" s="172"/>
      <c r="AM67" s="172"/>
      <c r="AN67" s="172"/>
      <c r="AO67" s="172"/>
      <c r="AP67" s="172"/>
      <c r="AQ67" s="172"/>
      <c r="AR67" s="172"/>
      <c r="AS67" s="172"/>
    </row>
    <row r="68" spans="1:45">
      <c r="A68" s="195" t="s">
        <v>574</v>
      </c>
      <c r="B68" s="41">
        <f t="shared" ca="1" si="9"/>
        <v>1</v>
      </c>
      <c r="C68" s="41">
        <f ca="1">SUMIF(OFFSET(CalibData!$M$3,1,0,$Q$2),ROW()+COLUMN()/100,OFFSET(CalibData!$N$3,1,0,$Q$2))</f>
        <v>0</v>
      </c>
      <c r="D68" s="41">
        <f ca="1">SUMIF(OFFSET(CalibData!$M$3,1,0,$Q$2),ROW()+COLUMN()/100,OFFSET(CalibData!$N$3,1,0,$Q$2))</f>
        <v>0</v>
      </c>
      <c r="E68" s="41">
        <f ca="1">SUMIF(OFFSET(CalibData!$M$3,1,0,$Q$2),ROW()+COLUMN()/100,OFFSET(CalibData!$N$3,1,0,$Q$2))</f>
        <v>0</v>
      </c>
      <c r="F68" s="228">
        <f t="shared" ca="1" si="10"/>
        <v>1</v>
      </c>
      <c r="G68" s="195" t="s">
        <v>574</v>
      </c>
      <c r="H68" s="41">
        <f t="shared" ca="1" si="11"/>
        <v>1</v>
      </c>
      <c r="I68" s="41">
        <f ca="1">SUMIF(OFFSET(CalibData!$M$3,1,0,$Q$2),ROW()+COLUMN()/100,OFFSET(CalibData!$N$3,1,0,$Q$2))</f>
        <v>0</v>
      </c>
      <c r="J68" s="40">
        <v>0</v>
      </c>
      <c r="K68" s="40">
        <v>0</v>
      </c>
      <c r="L68" s="228">
        <f t="shared" ca="1" si="12"/>
        <v>1</v>
      </c>
      <c r="M68" s="195"/>
      <c r="N68" s="195"/>
      <c r="O68" s="195"/>
      <c r="P68" s="195"/>
      <c r="V68" s="171"/>
      <c r="W68" s="172"/>
      <c r="X68" s="172"/>
      <c r="Y68" s="172"/>
      <c r="Z68" s="172"/>
      <c r="AA68" s="172"/>
      <c r="AB68" s="172"/>
      <c r="AC68" s="172"/>
      <c r="AD68" s="172"/>
      <c r="AE68" s="172"/>
      <c r="AF68" s="172"/>
      <c r="AG68" s="172"/>
      <c r="AH68" s="172"/>
      <c r="AI68" s="172"/>
      <c r="AJ68" s="172"/>
      <c r="AK68" s="172"/>
      <c r="AL68" s="172"/>
      <c r="AM68" s="172"/>
      <c r="AN68" s="172"/>
      <c r="AO68" s="172"/>
      <c r="AP68" s="172"/>
      <c r="AQ68" s="172"/>
      <c r="AR68" s="172"/>
      <c r="AS68" s="172"/>
    </row>
    <row r="69" spans="1:45">
      <c r="A69" s="195" t="s">
        <v>576</v>
      </c>
      <c r="B69" s="41">
        <f t="shared" ca="1" si="9"/>
        <v>1</v>
      </c>
      <c r="C69" s="41">
        <f ca="1">SUMIF(OFFSET(CalibData!$M$3,1,0,$Q$2),ROW()+COLUMN()/100,OFFSET(CalibData!$N$3,1,0,$Q$2))</f>
        <v>0</v>
      </c>
      <c r="D69" s="41">
        <f ca="1">SUMIF(OFFSET(CalibData!$M$3,1,0,$Q$2),ROW()+COLUMN()/100,OFFSET(CalibData!$N$3,1,0,$Q$2))</f>
        <v>0</v>
      </c>
      <c r="E69" s="41">
        <f ca="1">SUMIF(OFFSET(CalibData!$M$3,1,0,$Q$2),ROW()+COLUMN()/100,OFFSET(CalibData!$N$3,1,0,$Q$2))</f>
        <v>0</v>
      </c>
      <c r="F69" s="228">
        <f t="shared" ca="1" si="10"/>
        <v>1</v>
      </c>
      <c r="G69" s="195" t="s">
        <v>576</v>
      </c>
      <c r="H69" s="41">
        <f t="shared" ca="1" si="11"/>
        <v>1</v>
      </c>
      <c r="I69" s="41">
        <f ca="1">SUMIF(OFFSET(CalibData!$M$3,1,0,$Q$2),ROW()+COLUMN()/100,OFFSET(CalibData!$N$3,1,0,$Q$2))</f>
        <v>0</v>
      </c>
      <c r="J69" s="40">
        <v>0</v>
      </c>
      <c r="K69" s="40">
        <v>0</v>
      </c>
      <c r="L69" s="228">
        <f t="shared" ca="1" si="12"/>
        <v>1</v>
      </c>
      <c r="M69" s="195"/>
      <c r="N69" s="195"/>
      <c r="O69" s="195"/>
      <c r="P69" s="195"/>
      <c r="V69" s="171"/>
      <c r="W69" s="172"/>
      <c r="X69" s="172"/>
      <c r="Y69" s="172"/>
      <c r="Z69" s="172"/>
      <c r="AA69" s="172"/>
      <c r="AB69" s="172"/>
      <c r="AC69" s="172"/>
      <c r="AD69" s="172"/>
      <c r="AE69" s="172"/>
      <c r="AF69" s="172"/>
      <c r="AG69" s="172"/>
      <c r="AH69" s="172"/>
      <c r="AI69" s="172"/>
      <c r="AJ69" s="172"/>
      <c r="AK69" s="172"/>
      <c r="AL69" s="172"/>
      <c r="AM69" s="172"/>
      <c r="AN69" s="172"/>
      <c r="AO69" s="172"/>
      <c r="AP69" s="172"/>
      <c r="AQ69" s="172"/>
      <c r="AR69" s="172"/>
      <c r="AS69" s="172"/>
    </row>
    <row r="70" spans="1:45">
      <c r="A70" s="195" t="s">
        <v>664</v>
      </c>
      <c r="B70" s="41">
        <f t="shared" ca="1" si="9"/>
        <v>1</v>
      </c>
      <c r="C70" s="41">
        <f ca="1">SUMIF(OFFSET(CalibData!$M$3,1,0,$Q$2),ROW()+COLUMN()/100,OFFSET(CalibData!$N$3,1,0,$Q$2))</f>
        <v>0</v>
      </c>
      <c r="D70" s="41">
        <f ca="1">SUMIF(OFFSET(CalibData!$M$3,1,0,$Q$2),ROW()+COLUMN()/100,OFFSET(CalibData!$N$3,1,0,$Q$2))</f>
        <v>0</v>
      </c>
      <c r="E70" s="41">
        <f ca="1">SUMIF(OFFSET(CalibData!$M$3,1,0,$Q$2),ROW()+COLUMN()/100,OFFSET(CalibData!$N$3,1,0,$Q$2))</f>
        <v>0</v>
      </c>
      <c r="F70" s="228">
        <f t="shared" ca="1" si="10"/>
        <v>1</v>
      </c>
      <c r="G70" s="195" t="s">
        <v>664</v>
      </c>
      <c r="H70" s="41">
        <f t="shared" ca="1" si="11"/>
        <v>1</v>
      </c>
      <c r="I70" s="41">
        <f ca="1">SUMIF(OFFSET(CalibData!$M$3,1,0,$Q$2),ROW()+COLUMN()/100,OFFSET(CalibData!$N$3,1,0,$Q$2))</f>
        <v>0</v>
      </c>
      <c r="J70" s="40">
        <v>0</v>
      </c>
      <c r="K70" s="40">
        <v>0</v>
      </c>
      <c r="L70" s="228">
        <f t="shared" ca="1" si="12"/>
        <v>1</v>
      </c>
      <c r="M70" s="195"/>
      <c r="N70" s="195"/>
      <c r="O70" s="195"/>
      <c r="P70" s="195"/>
      <c r="V70" s="171"/>
      <c r="W70" s="172"/>
      <c r="X70" s="172"/>
      <c r="Y70" s="172"/>
      <c r="Z70" s="172"/>
      <c r="AA70" s="172"/>
      <c r="AB70" s="172"/>
      <c r="AC70" s="172"/>
      <c r="AD70" s="172"/>
      <c r="AE70" s="172"/>
      <c r="AF70" s="172"/>
      <c r="AG70" s="172"/>
      <c r="AH70" s="172"/>
      <c r="AI70" s="172"/>
      <c r="AJ70" s="172"/>
      <c r="AK70" s="172"/>
      <c r="AL70" s="172"/>
      <c r="AM70" s="172"/>
      <c r="AN70" s="172"/>
      <c r="AO70" s="172"/>
      <c r="AP70" s="172"/>
      <c r="AQ70" s="172"/>
      <c r="AR70" s="172"/>
      <c r="AS70" s="172"/>
    </row>
    <row r="71" spans="1:45">
      <c r="A71" s="195" t="s">
        <v>665</v>
      </c>
      <c r="B71" s="41">
        <f t="shared" ca="1" si="9"/>
        <v>1</v>
      </c>
      <c r="C71" s="41">
        <f ca="1">SUMIF(OFFSET(CalibData!$M$3,1,0,$Q$2),ROW()+COLUMN()/100,OFFSET(CalibData!$N$3,1,0,$Q$2))</f>
        <v>0</v>
      </c>
      <c r="D71" s="41">
        <f ca="1">SUMIF(OFFSET(CalibData!$M$3,1,0,$Q$2),ROW()+COLUMN()/100,OFFSET(CalibData!$N$3,1,0,$Q$2))</f>
        <v>0</v>
      </c>
      <c r="E71" s="41">
        <f ca="1">SUMIF(OFFSET(CalibData!$M$3,1,0,$Q$2),ROW()+COLUMN()/100,OFFSET(CalibData!$N$3,1,0,$Q$2))</f>
        <v>0</v>
      </c>
      <c r="F71" s="228">
        <f t="shared" ca="1" si="10"/>
        <v>1</v>
      </c>
      <c r="G71" s="195" t="s">
        <v>665</v>
      </c>
      <c r="H71" s="41">
        <f t="shared" ca="1" si="11"/>
        <v>1</v>
      </c>
      <c r="I71" s="41">
        <f ca="1">SUMIF(OFFSET(CalibData!$M$3,1,0,$Q$2),ROW()+COLUMN()/100,OFFSET(CalibData!$N$3,1,0,$Q$2))</f>
        <v>0</v>
      </c>
      <c r="J71" s="40">
        <v>0</v>
      </c>
      <c r="K71" s="40">
        <v>0</v>
      </c>
      <c r="L71" s="228">
        <f t="shared" ca="1" si="12"/>
        <v>1</v>
      </c>
      <c r="M71" s="195"/>
      <c r="N71" s="195"/>
      <c r="O71" s="195"/>
      <c r="P71" s="195"/>
    </row>
    <row r="72" spans="1:45">
      <c r="A72" s="196" t="s">
        <v>588</v>
      </c>
      <c r="B72" s="41">
        <f t="shared" ca="1" si="9"/>
        <v>1</v>
      </c>
      <c r="C72" s="41">
        <f ca="1">SUMIF(OFFSET(CalibData!$M$3,1,0,$Q$2),ROW()+COLUMN()/100,OFFSET(CalibData!$N$3,1,0,$Q$2))</f>
        <v>0</v>
      </c>
      <c r="D72" s="41">
        <f ca="1">SUMIF(OFFSET(CalibData!$M$3,1,0,$Q$2),ROW()+COLUMN()/100,OFFSET(CalibData!$N$3,1,0,$Q$2))</f>
        <v>0</v>
      </c>
      <c r="E72" s="41">
        <f ca="1">SUMIF(OFFSET(CalibData!$M$3,1,0,$Q$2),ROW()+COLUMN()/100,OFFSET(CalibData!$N$3,1,0,$Q$2))</f>
        <v>0</v>
      </c>
      <c r="F72" s="228">
        <f t="shared" ca="1" si="10"/>
        <v>1</v>
      </c>
      <c r="G72" s="196" t="s">
        <v>588</v>
      </c>
      <c r="H72" s="41">
        <f t="shared" ca="1" si="11"/>
        <v>1</v>
      </c>
      <c r="I72" s="41">
        <f ca="1">SUMIF(OFFSET(CalibData!$M$3,1,0,$Q$2),ROW()+COLUMN()/100,OFFSET(CalibData!$N$3,1,0,$Q$2))</f>
        <v>0</v>
      </c>
      <c r="J72" s="40">
        <v>0</v>
      </c>
      <c r="K72" s="40">
        <v>0</v>
      </c>
      <c r="L72" s="228">
        <f t="shared" ca="1" si="12"/>
        <v>1</v>
      </c>
      <c r="M72" s="195"/>
      <c r="N72" s="195"/>
      <c r="O72" s="195"/>
      <c r="P72" s="195"/>
      <c r="V72" s="171"/>
    </row>
    <row r="73" spans="1:45">
      <c r="A73" s="195" t="s">
        <v>247</v>
      </c>
      <c r="B73" s="41">
        <f t="shared" ca="1" si="9"/>
        <v>1</v>
      </c>
      <c r="C73" s="41">
        <f ca="1">SUMIF(OFFSET(CalibData!$M$3,1,0,$Q$2),ROW()+COLUMN()/100,OFFSET(CalibData!$N$3,1,0,$Q$2))</f>
        <v>0</v>
      </c>
      <c r="D73" s="41">
        <f ca="1">SUMIF(OFFSET(CalibData!$M$3,1,0,$Q$2),ROW()+COLUMN()/100,OFFSET(CalibData!$N$3,1,0,$Q$2))</f>
        <v>0</v>
      </c>
      <c r="E73" s="41">
        <f ca="1">SUMIF(OFFSET(CalibData!$M$3,1,0,$Q$2),ROW()+COLUMN()/100,OFFSET(CalibData!$N$3,1,0,$Q$2))</f>
        <v>0</v>
      </c>
      <c r="F73" s="228">
        <f t="shared" ca="1" si="10"/>
        <v>1</v>
      </c>
      <c r="G73" s="195" t="s">
        <v>247</v>
      </c>
      <c r="H73" s="41">
        <f t="shared" ca="1" si="11"/>
        <v>1</v>
      </c>
      <c r="I73" s="41">
        <f ca="1">SUMIF(OFFSET(CalibData!$M$3,1,0,$Q$2),ROW()+COLUMN()/100,OFFSET(CalibData!$N$3,1,0,$Q$2))</f>
        <v>0</v>
      </c>
      <c r="J73" s="40">
        <v>0</v>
      </c>
      <c r="K73" s="40">
        <v>0</v>
      </c>
      <c r="L73" s="228">
        <f t="shared" ca="1" si="12"/>
        <v>1</v>
      </c>
      <c r="M73" s="195"/>
      <c r="N73" s="195"/>
      <c r="O73" s="195"/>
      <c r="P73" s="195"/>
      <c r="V73" s="171"/>
      <c r="W73" s="172"/>
      <c r="X73" s="172"/>
      <c r="Y73" s="172"/>
      <c r="Z73" s="172"/>
      <c r="AA73" s="172"/>
      <c r="AB73" s="172"/>
      <c r="AC73" s="172"/>
      <c r="AD73" s="172"/>
      <c r="AE73" s="172"/>
      <c r="AF73" s="172"/>
      <c r="AG73" s="172"/>
      <c r="AH73" s="172"/>
      <c r="AI73" s="172"/>
      <c r="AJ73" s="172"/>
      <c r="AK73" s="172"/>
      <c r="AL73" s="172"/>
      <c r="AM73" s="172"/>
      <c r="AN73" s="172"/>
      <c r="AO73" s="172"/>
      <c r="AP73" s="172"/>
      <c r="AQ73" s="172"/>
      <c r="AR73" s="172"/>
      <c r="AS73" s="172"/>
    </row>
    <row r="74" spans="1:45">
      <c r="A74" s="195" t="s">
        <v>646</v>
      </c>
      <c r="B74" s="41">
        <f t="shared" ca="1" si="9"/>
        <v>1</v>
      </c>
      <c r="C74" s="41">
        <f ca="1">SUMIF(OFFSET(CalibData!$M$3,1,0,$Q$2),ROW()+COLUMN()/100,OFFSET(CalibData!$N$3,1,0,$Q$2))</f>
        <v>0</v>
      </c>
      <c r="D74" s="41">
        <f ca="1">SUMIF(OFFSET(CalibData!$M$3,1,0,$Q$2),ROW()+COLUMN()/100,OFFSET(CalibData!$N$3,1,0,$Q$2))</f>
        <v>0</v>
      </c>
      <c r="E74" s="41">
        <f ca="1">SUMIF(OFFSET(CalibData!$M$3,1,0,$Q$2),ROW()+COLUMN()/100,OFFSET(CalibData!$N$3,1,0,$Q$2))</f>
        <v>0</v>
      </c>
      <c r="F74" s="228">
        <f t="shared" ca="1" si="10"/>
        <v>1</v>
      </c>
      <c r="G74" s="195" t="s">
        <v>646</v>
      </c>
      <c r="H74" s="41">
        <f t="shared" ca="1" si="11"/>
        <v>1</v>
      </c>
      <c r="I74" s="41">
        <f ca="1">SUMIF(OFFSET(CalibData!$M$3,1,0,$Q$2),ROW()+COLUMN()/100,OFFSET(CalibData!$N$3,1,0,$Q$2))</f>
        <v>0</v>
      </c>
      <c r="J74" s="40">
        <v>0</v>
      </c>
      <c r="K74" s="40">
        <v>0</v>
      </c>
      <c r="L74" s="228">
        <f t="shared" ca="1" si="12"/>
        <v>1</v>
      </c>
      <c r="M74" s="195"/>
      <c r="N74" s="195"/>
      <c r="O74" s="195"/>
      <c r="P74" s="195"/>
      <c r="V74" s="171"/>
      <c r="W74" s="172"/>
      <c r="X74" s="172"/>
      <c r="Y74" s="172"/>
      <c r="Z74" s="172"/>
      <c r="AA74" s="172"/>
      <c r="AB74" s="172"/>
      <c r="AC74" s="172"/>
      <c r="AD74" s="172"/>
      <c r="AE74" s="172"/>
      <c r="AF74" s="172"/>
      <c r="AG74" s="172"/>
      <c r="AH74" s="172"/>
      <c r="AI74" s="172"/>
      <c r="AJ74" s="172"/>
      <c r="AK74" s="172"/>
      <c r="AL74" s="172"/>
      <c r="AM74" s="172"/>
      <c r="AN74" s="172"/>
      <c r="AO74" s="172"/>
      <c r="AP74" s="172"/>
      <c r="AQ74" s="172"/>
      <c r="AR74" s="172"/>
      <c r="AS74" s="172"/>
    </row>
    <row r="75" spans="1:45">
      <c r="A75" s="195" t="s">
        <v>245</v>
      </c>
      <c r="B75" s="41">
        <f t="shared" ca="1" si="9"/>
        <v>1</v>
      </c>
      <c r="C75" s="41">
        <f ca="1">SUMIF(OFFSET(CalibData!$M$3,1,0,$Q$2),ROW()+COLUMN()/100,OFFSET(CalibData!$N$3,1,0,$Q$2))</f>
        <v>0</v>
      </c>
      <c r="D75" s="41">
        <f ca="1">SUMIF(OFFSET(CalibData!$M$3,1,0,$Q$2),ROW()+COLUMN()/100,OFFSET(CalibData!$N$3,1,0,$Q$2))</f>
        <v>0</v>
      </c>
      <c r="E75" s="41">
        <f ca="1">SUMIF(OFFSET(CalibData!$M$3,1,0,$Q$2),ROW()+COLUMN()/100,OFFSET(CalibData!$N$3,1,0,$Q$2))</f>
        <v>0</v>
      </c>
      <c r="F75" s="228">
        <f t="shared" ca="1" si="10"/>
        <v>1</v>
      </c>
      <c r="G75" s="195" t="s">
        <v>245</v>
      </c>
      <c r="H75" s="41">
        <f t="shared" ca="1" si="11"/>
        <v>1</v>
      </c>
      <c r="I75" s="41">
        <f ca="1">SUMIF(OFFSET(CalibData!$M$3,1,0,$Q$2),ROW()+COLUMN()/100,OFFSET(CalibData!$N$3,1,0,$Q$2))</f>
        <v>0</v>
      </c>
      <c r="J75" s="40">
        <v>0</v>
      </c>
      <c r="K75" s="40">
        <v>0</v>
      </c>
      <c r="L75" s="228">
        <f t="shared" ca="1" si="12"/>
        <v>1</v>
      </c>
      <c r="M75" s="195"/>
      <c r="N75" s="195"/>
      <c r="O75" s="195"/>
      <c r="P75" s="195"/>
      <c r="V75" s="171"/>
      <c r="W75" s="172"/>
      <c r="X75" s="172"/>
      <c r="Y75" s="172"/>
      <c r="Z75" s="172"/>
      <c r="AA75" s="172"/>
      <c r="AB75" s="172"/>
      <c r="AC75" s="172"/>
      <c r="AD75" s="172"/>
      <c r="AE75" s="172"/>
      <c r="AF75" s="172"/>
      <c r="AG75" s="172"/>
      <c r="AH75" s="172"/>
      <c r="AI75" s="172"/>
      <c r="AJ75" s="172"/>
      <c r="AK75" s="172"/>
      <c r="AL75" s="172"/>
      <c r="AM75" s="172"/>
      <c r="AN75" s="172"/>
      <c r="AO75" s="172"/>
      <c r="AP75" s="172"/>
      <c r="AQ75" s="172"/>
      <c r="AR75" s="172"/>
      <c r="AS75" s="172"/>
    </row>
    <row r="76" spans="1:45">
      <c r="A76" s="195" t="s">
        <v>246</v>
      </c>
      <c r="B76" s="41">
        <f t="shared" ca="1" si="9"/>
        <v>1</v>
      </c>
      <c r="C76" s="41">
        <f ca="1">SUMIF(OFFSET(CalibData!$M$3,1,0,$Q$2),ROW()+COLUMN()/100,OFFSET(CalibData!$N$3,1,0,$Q$2))</f>
        <v>0</v>
      </c>
      <c r="D76" s="41">
        <f ca="1">SUMIF(OFFSET(CalibData!$M$3,1,0,$Q$2),ROW()+COLUMN()/100,OFFSET(CalibData!$N$3,1,0,$Q$2))</f>
        <v>0</v>
      </c>
      <c r="E76" s="41">
        <f ca="1">SUMIF(OFFSET(CalibData!$M$3,1,0,$Q$2),ROW()+COLUMN()/100,OFFSET(CalibData!$N$3,1,0,$Q$2))</f>
        <v>0</v>
      </c>
      <c r="F76" s="228">
        <f t="shared" ca="1" si="10"/>
        <v>1</v>
      </c>
      <c r="G76" s="195" t="s">
        <v>246</v>
      </c>
      <c r="H76" s="41">
        <f t="shared" ca="1" si="11"/>
        <v>1</v>
      </c>
      <c r="I76" s="41">
        <f ca="1">SUMIF(OFFSET(CalibData!$M$3,1,0,$Q$2),ROW()+COLUMN()/100,OFFSET(CalibData!$N$3,1,0,$Q$2))</f>
        <v>0</v>
      </c>
      <c r="J76" s="40">
        <v>0</v>
      </c>
      <c r="K76" s="40">
        <v>0</v>
      </c>
      <c r="L76" s="228">
        <f t="shared" ca="1" si="12"/>
        <v>1</v>
      </c>
      <c r="M76" s="195"/>
      <c r="N76" s="195"/>
      <c r="O76" s="195"/>
      <c r="P76" s="195"/>
      <c r="V76" s="171"/>
      <c r="W76" s="172"/>
      <c r="X76" s="172"/>
      <c r="Y76" s="172"/>
      <c r="Z76" s="172"/>
      <c r="AA76" s="172"/>
      <c r="AB76" s="172"/>
      <c r="AC76" s="172"/>
      <c r="AD76" s="172"/>
      <c r="AE76" s="172"/>
      <c r="AF76" s="172"/>
      <c r="AG76" s="172"/>
      <c r="AH76" s="172"/>
      <c r="AI76" s="172"/>
      <c r="AJ76" s="172"/>
      <c r="AK76" s="172"/>
      <c r="AL76" s="172"/>
      <c r="AM76" s="172"/>
      <c r="AN76" s="172"/>
      <c r="AO76" s="172"/>
      <c r="AP76" s="172"/>
      <c r="AQ76" s="172"/>
      <c r="AR76" s="172"/>
      <c r="AS76" s="172"/>
    </row>
    <row r="77" spans="1:45">
      <c r="A77" s="195"/>
      <c r="B77" s="195"/>
      <c r="C77" s="195"/>
      <c r="D77" s="195"/>
      <c r="E77" s="195"/>
      <c r="F77" s="195"/>
      <c r="G77" s="195"/>
      <c r="H77" s="195"/>
      <c r="I77" s="195"/>
      <c r="J77" s="195"/>
      <c r="K77" s="195"/>
      <c r="L77" s="195"/>
      <c r="M77" s="195"/>
      <c r="N77" s="195"/>
      <c r="O77" s="195"/>
      <c r="P77" s="195"/>
      <c r="V77" s="171"/>
      <c r="W77" s="172"/>
      <c r="X77" s="172"/>
      <c r="Y77" s="172"/>
      <c r="Z77" s="172"/>
      <c r="AA77" s="172"/>
      <c r="AB77" s="172"/>
      <c r="AC77" s="172"/>
      <c r="AD77" s="172"/>
      <c r="AE77" s="172"/>
      <c r="AF77" s="172"/>
      <c r="AG77" s="172"/>
      <c r="AH77" s="172"/>
      <c r="AI77" s="172"/>
      <c r="AJ77" s="172"/>
      <c r="AK77" s="172"/>
      <c r="AL77" s="172"/>
      <c r="AM77" s="172"/>
      <c r="AN77" s="172"/>
      <c r="AO77" s="172"/>
      <c r="AP77" s="172"/>
      <c r="AQ77" s="172"/>
      <c r="AR77" s="172"/>
      <c r="AS77" s="172"/>
    </row>
    <row r="78" spans="1:45" ht="18">
      <c r="A78" s="131" t="s">
        <v>521</v>
      </c>
      <c r="B78" s="98"/>
      <c r="C78" s="98"/>
      <c r="D78" s="98"/>
      <c r="E78" s="98"/>
      <c r="F78" s="98"/>
      <c r="G78" s="98"/>
      <c r="H78" s="216"/>
      <c r="I78" s="216"/>
      <c r="J78" s="216"/>
      <c r="K78" s="216"/>
      <c r="L78" s="219"/>
      <c r="M78" s="219"/>
      <c r="N78" s="219"/>
      <c r="O78" s="195"/>
      <c r="P78" s="195"/>
      <c r="V78" s="171"/>
      <c r="W78" s="172"/>
      <c r="X78" s="172"/>
      <c r="Y78" s="172"/>
      <c r="Z78" s="172"/>
      <c r="AA78" s="172"/>
      <c r="AB78" s="172"/>
      <c r="AC78" s="172"/>
      <c r="AD78" s="172"/>
      <c r="AE78" s="172"/>
      <c r="AF78" s="172"/>
      <c r="AG78" s="172"/>
      <c r="AH78" s="172"/>
      <c r="AI78" s="172"/>
      <c r="AJ78" s="172"/>
      <c r="AK78" s="172"/>
      <c r="AL78" s="172"/>
      <c r="AM78" s="172"/>
      <c r="AN78" s="172"/>
      <c r="AO78" s="172"/>
      <c r="AP78" s="172"/>
      <c r="AQ78" s="172"/>
      <c r="AR78" s="172"/>
      <c r="AS78" s="172"/>
    </row>
    <row r="79" spans="1:45" ht="33.75">
      <c r="A79" s="195"/>
      <c r="B79" s="209" t="s">
        <v>213</v>
      </c>
      <c r="C79" s="209" t="s">
        <v>105</v>
      </c>
      <c r="D79" s="209" t="s">
        <v>179</v>
      </c>
      <c r="E79" s="209" t="s">
        <v>90</v>
      </c>
      <c r="F79" s="209" t="s">
        <v>93</v>
      </c>
      <c r="G79" s="209" t="s">
        <v>95</v>
      </c>
      <c r="H79" s="209" t="s">
        <v>269</v>
      </c>
      <c r="I79" s="209" t="s">
        <v>97</v>
      </c>
      <c r="J79" s="209" t="s">
        <v>268</v>
      </c>
      <c r="K79" s="209" t="s">
        <v>636</v>
      </c>
      <c r="L79" s="209" t="s">
        <v>104</v>
      </c>
      <c r="M79" s="216"/>
      <c r="N79" s="214"/>
      <c r="O79" s="195"/>
      <c r="P79" s="195"/>
      <c r="V79" s="171"/>
      <c r="W79" s="172"/>
      <c r="X79" s="172"/>
      <c r="Y79" s="172"/>
      <c r="Z79" s="172"/>
      <c r="AA79" s="172"/>
      <c r="AB79" s="172"/>
      <c r="AC79" s="172"/>
      <c r="AD79" s="172"/>
      <c r="AE79" s="172"/>
      <c r="AF79" s="172"/>
      <c r="AG79" s="172"/>
      <c r="AH79" s="172"/>
      <c r="AI79" s="172"/>
      <c r="AJ79" s="172"/>
      <c r="AK79" s="172"/>
      <c r="AL79" s="172"/>
      <c r="AM79" s="172"/>
      <c r="AN79" s="172"/>
      <c r="AO79" s="172"/>
      <c r="AP79" s="172"/>
      <c r="AQ79" s="172"/>
      <c r="AR79" s="172"/>
      <c r="AS79" s="172"/>
    </row>
    <row r="80" spans="1:45">
      <c r="A80" s="195"/>
      <c r="B80" s="210" t="s">
        <v>127</v>
      </c>
      <c r="C80" s="210" t="s">
        <v>128</v>
      </c>
      <c r="D80" s="210" t="s">
        <v>44</v>
      </c>
      <c r="E80" s="210" t="s">
        <v>91</v>
      </c>
      <c r="F80" s="210" t="s">
        <v>94</v>
      </c>
      <c r="G80" s="210" t="s">
        <v>129</v>
      </c>
      <c r="H80" s="210" t="s">
        <v>96</v>
      </c>
      <c r="I80" s="210" t="s">
        <v>92</v>
      </c>
      <c r="J80" s="210" t="s">
        <v>637</v>
      </c>
      <c r="K80" s="210" t="s">
        <v>642</v>
      </c>
      <c r="L80" s="210" t="s">
        <v>130</v>
      </c>
      <c r="M80" s="216" t="s">
        <v>248</v>
      </c>
      <c r="N80" s="214"/>
      <c r="O80" s="195"/>
      <c r="P80" s="210" t="s">
        <v>882</v>
      </c>
      <c r="Q80" s="210" t="s">
        <v>888</v>
      </c>
      <c r="V80" s="171"/>
      <c r="W80" s="172"/>
      <c r="X80" s="172"/>
      <c r="Y80" s="172"/>
      <c r="Z80" s="172"/>
      <c r="AA80" s="172"/>
      <c r="AB80" s="172"/>
      <c r="AC80" s="172"/>
      <c r="AD80" s="172"/>
      <c r="AE80" s="172"/>
      <c r="AF80" s="172"/>
      <c r="AG80" s="172"/>
      <c r="AH80" s="172"/>
      <c r="AI80" s="172"/>
      <c r="AJ80" s="172"/>
      <c r="AK80" s="172"/>
      <c r="AL80" s="172"/>
      <c r="AM80" s="172"/>
      <c r="AN80" s="172"/>
      <c r="AO80" s="172"/>
      <c r="AP80" s="172"/>
      <c r="AQ80" s="172"/>
      <c r="AR80" s="172"/>
      <c r="AS80" s="172"/>
    </row>
    <row r="81" spans="1:45">
      <c r="A81" s="211" t="s">
        <v>244</v>
      </c>
      <c r="B81" s="33">
        <f t="shared" ref="B81:L81" ca="1" si="13">B36*$G9</f>
        <v>1.0423254722788469</v>
      </c>
      <c r="C81" s="33">
        <f t="shared" ca="1" si="13"/>
        <v>0</v>
      </c>
      <c r="D81" s="33">
        <f t="shared" ca="1" si="13"/>
        <v>0.32494251088369197</v>
      </c>
      <c r="E81" s="33">
        <f t="shared" si="13"/>
        <v>0</v>
      </c>
      <c r="F81" s="33">
        <f t="shared" ca="1" si="13"/>
        <v>0</v>
      </c>
      <c r="G81" s="33">
        <f t="shared" ca="1" si="13"/>
        <v>9.1051084837461452E-2</v>
      </c>
      <c r="H81" s="33">
        <f t="shared" si="13"/>
        <v>0</v>
      </c>
      <c r="I81" s="33">
        <f t="shared" si="13"/>
        <v>0</v>
      </c>
      <c r="J81" s="33">
        <f t="shared" ca="1" si="13"/>
        <v>0</v>
      </c>
      <c r="K81" s="33">
        <f t="shared" si="13"/>
        <v>0</v>
      </c>
      <c r="L81" s="33">
        <f t="shared" si="13"/>
        <v>0</v>
      </c>
      <c r="M81" s="217">
        <f t="shared" ref="M81:M92" ca="1" si="14">SUM(B81:L81)</f>
        <v>1.4583190680000004</v>
      </c>
      <c r="N81" s="222">
        <f t="shared" ref="N81:N91" ca="1" si="15">M81/$M$92</f>
        <v>7.1110716940057444E-3</v>
      </c>
      <c r="O81" s="195"/>
      <c r="P81" s="33">
        <f t="shared" ref="P81:P91" ca="1" si="16">D81*J52</f>
        <v>4.6639198109694302E-2</v>
      </c>
      <c r="Q81" s="33">
        <f t="shared" ref="Q81:Q91" ca="1" si="17">D81-P81</f>
        <v>0.27830331277399767</v>
      </c>
      <c r="V81" s="171"/>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row>
    <row r="82" spans="1:45">
      <c r="A82" s="211" t="s">
        <v>663</v>
      </c>
      <c r="B82" s="33">
        <f t="shared" ref="B82:L82" ca="1" si="18">B37*$G10</f>
        <v>16.740691508377679</v>
      </c>
      <c r="C82" s="33">
        <f t="shared" si="18"/>
        <v>0</v>
      </c>
      <c r="D82" s="33">
        <f t="shared" ca="1" si="18"/>
        <v>4.7217335023629348</v>
      </c>
      <c r="E82" s="33">
        <f t="shared" si="18"/>
        <v>0</v>
      </c>
      <c r="F82" s="33">
        <f t="shared" si="18"/>
        <v>0</v>
      </c>
      <c r="G82" s="33">
        <f t="shared" ca="1" si="18"/>
        <v>0</v>
      </c>
      <c r="H82" s="33">
        <f t="shared" si="18"/>
        <v>0</v>
      </c>
      <c r="I82" s="33">
        <f t="shared" si="18"/>
        <v>0</v>
      </c>
      <c r="J82" s="33">
        <f t="shared" ca="1" si="18"/>
        <v>0</v>
      </c>
      <c r="K82" s="33">
        <f t="shared" si="18"/>
        <v>0</v>
      </c>
      <c r="L82" s="33">
        <f t="shared" si="18"/>
        <v>0</v>
      </c>
      <c r="M82" s="217">
        <f t="shared" ca="1" si="14"/>
        <v>21.462425010740613</v>
      </c>
      <c r="N82" s="222">
        <f t="shared" ca="1" si="15"/>
        <v>0.1046553160605032</v>
      </c>
      <c r="O82" s="195"/>
      <c r="P82" s="33">
        <f t="shared" ca="1" si="16"/>
        <v>3.833958068965825</v>
      </c>
      <c r="Q82" s="33">
        <f t="shared" ca="1" si="17"/>
        <v>0.88777543339710974</v>
      </c>
      <c r="V82" s="171"/>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row>
    <row r="83" spans="1:45">
      <c r="A83" s="211" t="s">
        <v>574</v>
      </c>
      <c r="B83" s="33">
        <f t="shared" ref="B83:L83" ca="1" si="19">IF($G11=0,0,(B38*$G11))</f>
        <v>0.27718541928000007</v>
      </c>
      <c r="C83" s="33">
        <f t="shared" si="19"/>
        <v>0</v>
      </c>
      <c r="D83" s="33">
        <f t="shared" ca="1" si="19"/>
        <v>8.279564472000002E-2</v>
      </c>
      <c r="E83" s="33">
        <f t="shared" si="19"/>
        <v>0</v>
      </c>
      <c r="F83" s="33">
        <f t="shared" si="19"/>
        <v>0</v>
      </c>
      <c r="G83" s="33">
        <f t="shared" si="19"/>
        <v>0</v>
      </c>
      <c r="H83" s="33">
        <f t="shared" si="19"/>
        <v>0</v>
      </c>
      <c r="I83" s="33">
        <f t="shared" si="19"/>
        <v>0</v>
      </c>
      <c r="J83" s="33">
        <f t="shared" ca="1" si="19"/>
        <v>0</v>
      </c>
      <c r="K83" s="33">
        <f t="shared" si="19"/>
        <v>0</v>
      </c>
      <c r="L83" s="33">
        <f t="shared" si="19"/>
        <v>0</v>
      </c>
      <c r="M83" s="217">
        <f t="shared" ca="1" si="14"/>
        <v>0.35998106400000007</v>
      </c>
      <c r="N83" s="222">
        <f t="shared" ca="1" si="15"/>
        <v>1.7553436766750623E-3</v>
      </c>
      <c r="O83" s="195"/>
      <c r="P83" s="33">
        <f t="shared" ca="1" si="16"/>
        <v>0</v>
      </c>
      <c r="Q83" s="33">
        <f t="shared" ca="1" si="17"/>
        <v>8.279564472000002E-2</v>
      </c>
      <c r="V83" s="171"/>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row>
    <row r="84" spans="1:45">
      <c r="A84" s="211" t="s">
        <v>576</v>
      </c>
      <c r="B84" s="33">
        <f t="shared" ref="B84:L84" ca="1" si="20">B39*$G12</f>
        <v>0</v>
      </c>
      <c r="C84" s="33">
        <f t="shared" si="20"/>
        <v>0</v>
      </c>
      <c r="D84" s="33">
        <f t="shared" ca="1" si="20"/>
        <v>0</v>
      </c>
      <c r="E84" s="33">
        <f t="shared" si="20"/>
        <v>0</v>
      </c>
      <c r="F84" s="33">
        <f t="shared" si="20"/>
        <v>0</v>
      </c>
      <c r="G84" s="33">
        <f t="shared" ca="1" si="20"/>
        <v>0</v>
      </c>
      <c r="H84" s="33">
        <f t="shared" si="20"/>
        <v>0</v>
      </c>
      <c r="I84" s="33">
        <f t="shared" si="20"/>
        <v>0</v>
      </c>
      <c r="J84" s="33">
        <f t="shared" ca="1" si="20"/>
        <v>0</v>
      </c>
      <c r="K84" s="33">
        <f t="shared" si="20"/>
        <v>0</v>
      </c>
      <c r="L84" s="33">
        <f t="shared" ca="1" si="20"/>
        <v>0</v>
      </c>
      <c r="M84" s="217">
        <f t="shared" ca="1" si="14"/>
        <v>0</v>
      </c>
      <c r="N84" s="222">
        <f t="shared" ca="1" si="15"/>
        <v>0</v>
      </c>
      <c r="O84" s="195"/>
      <c r="P84" s="33">
        <f t="shared" ca="1" si="16"/>
        <v>0</v>
      </c>
      <c r="Q84" s="33">
        <f t="shared" ca="1" si="17"/>
        <v>0</v>
      </c>
      <c r="V84" s="171"/>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row>
    <row r="85" spans="1:45">
      <c r="A85" s="211" t="s">
        <v>664</v>
      </c>
      <c r="B85" s="33">
        <f t="shared" ref="B85:L85" ca="1" si="21">B40*$G13</f>
        <v>0.42124315896000003</v>
      </c>
      <c r="C85" s="33">
        <f t="shared" si="21"/>
        <v>0</v>
      </c>
      <c r="D85" s="33">
        <f t="shared" ca="1" si="21"/>
        <v>0.11881217304</v>
      </c>
      <c r="E85" s="33">
        <f t="shared" si="21"/>
        <v>0</v>
      </c>
      <c r="F85" s="33">
        <f t="shared" si="21"/>
        <v>0</v>
      </c>
      <c r="G85" s="33">
        <f t="shared" ca="1" si="21"/>
        <v>0</v>
      </c>
      <c r="H85" s="33">
        <f t="shared" si="21"/>
        <v>0</v>
      </c>
      <c r="I85" s="33">
        <f t="shared" si="21"/>
        <v>0</v>
      </c>
      <c r="J85" s="33">
        <f t="shared" ca="1" si="21"/>
        <v>0</v>
      </c>
      <c r="K85" s="33">
        <f t="shared" si="21"/>
        <v>0</v>
      </c>
      <c r="L85" s="33">
        <f t="shared" si="21"/>
        <v>0</v>
      </c>
      <c r="M85" s="217">
        <f t="shared" ca="1" si="14"/>
        <v>0.540055332</v>
      </c>
      <c r="N85" s="222">
        <f t="shared" ca="1" si="15"/>
        <v>2.6334238294291258E-3</v>
      </c>
      <c r="O85" s="195"/>
      <c r="P85" s="33">
        <f t="shared" ca="1" si="16"/>
        <v>0.10698315615231803</v>
      </c>
      <c r="Q85" s="33">
        <f t="shared" ca="1" si="17"/>
        <v>1.1829016887681967E-2</v>
      </c>
      <c r="V85" s="171"/>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row>
    <row r="86" spans="1:45">
      <c r="A86" s="211" t="s">
        <v>665</v>
      </c>
      <c r="B86" s="33">
        <f t="shared" ref="B86:L86" ca="1" si="22">B41*$G14</f>
        <v>0.16145640575999995</v>
      </c>
      <c r="C86" s="33">
        <f t="shared" si="22"/>
        <v>0</v>
      </c>
      <c r="D86" s="33">
        <f t="shared" ca="1" si="22"/>
        <v>0.12419723519999999</v>
      </c>
      <c r="E86" s="33">
        <f t="shared" si="22"/>
        <v>0</v>
      </c>
      <c r="F86" s="33">
        <f t="shared" si="22"/>
        <v>0</v>
      </c>
      <c r="G86" s="33">
        <f t="shared" ca="1" si="22"/>
        <v>6.9660759324470786E-2</v>
      </c>
      <c r="H86" s="33">
        <f t="shared" si="22"/>
        <v>0</v>
      </c>
      <c r="I86" s="33">
        <f t="shared" si="22"/>
        <v>0</v>
      </c>
      <c r="J86" s="33">
        <f t="shared" ca="1" si="22"/>
        <v>5.8676383715529239E-2</v>
      </c>
      <c r="K86" s="33">
        <f t="shared" si="22"/>
        <v>0</v>
      </c>
      <c r="L86" s="33">
        <f t="shared" si="22"/>
        <v>0</v>
      </c>
      <c r="M86" s="217">
        <f t="shared" ca="1" si="14"/>
        <v>0.413990784</v>
      </c>
      <c r="N86" s="222">
        <f t="shared" ca="1" si="15"/>
        <v>2.0187064753388012E-3</v>
      </c>
      <c r="O86" s="195"/>
      <c r="P86" s="33">
        <f t="shared" ca="1" si="16"/>
        <v>0.12419723519999999</v>
      </c>
      <c r="Q86" s="33">
        <f t="shared" ca="1" si="17"/>
        <v>0</v>
      </c>
      <c r="V86" s="171"/>
      <c r="W86" s="172"/>
      <c r="X86" s="172"/>
      <c r="Y86" s="172"/>
      <c r="Z86" s="172"/>
      <c r="AA86" s="172"/>
      <c r="AB86" s="172"/>
      <c r="AC86" s="172"/>
      <c r="AD86" s="172"/>
      <c r="AE86" s="172"/>
      <c r="AF86" s="172"/>
      <c r="AG86" s="172"/>
      <c r="AH86" s="172"/>
      <c r="AI86" s="172"/>
      <c r="AJ86" s="172"/>
      <c r="AK86" s="172"/>
      <c r="AL86" s="172"/>
      <c r="AM86" s="172"/>
      <c r="AN86" s="172"/>
      <c r="AO86" s="172"/>
      <c r="AP86" s="172"/>
      <c r="AQ86" s="172"/>
      <c r="AR86" s="172"/>
      <c r="AS86" s="172"/>
    </row>
    <row r="87" spans="1:45">
      <c r="A87" s="211" t="s">
        <v>588</v>
      </c>
      <c r="B87" s="33">
        <f t="shared" ref="B87:L87" ca="1" si="23">B42*$G15</f>
        <v>43.98880898878172</v>
      </c>
      <c r="C87" s="33">
        <f t="shared" si="23"/>
        <v>0</v>
      </c>
      <c r="D87" s="33">
        <f t="shared" ca="1" si="23"/>
        <v>7.2829153954936627</v>
      </c>
      <c r="E87" s="33">
        <f t="shared" si="23"/>
        <v>0</v>
      </c>
      <c r="F87" s="33">
        <f t="shared" si="23"/>
        <v>0</v>
      </c>
      <c r="G87" s="33">
        <f t="shared" ca="1" si="23"/>
        <v>0.58263323163949299</v>
      </c>
      <c r="H87" s="33">
        <f t="shared" si="23"/>
        <v>0</v>
      </c>
      <c r="I87" s="33">
        <f t="shared" si="23"/>
        <v>0</v>
      </c>
      <c r="J87" s="33">
        <f t="shared" ca="1" si="23"/>
        <v>6.4089655480344234</v>
      </c>
      <c r="K87" s="33">
        <f t="shared" si="23"/>
        <v>0</v>
      </c>
      <c r="L87" s="33">
        <f t="shared" si="23"/>
        <v>0</v>
      </c>
      <c r="M87" s="217">
        <f t="shared" ca="1" si="14"/>
        <v>58.263323163949295</v>
      </c>
      <c r="N87" s="222">
        <f t="shared" ca="1" si="15"/>
        <v>0.28410426582303244</v>
      </c>
      <c r="O87" s="195"/>
      <c r="P87" s="33">
        <f t="shared" ca="1" si="16"/>
        <v>7.0893521859238007</v>
      </c>
      <c r="Q87" s="33">
        <f t="shared" ca="1" si="17"/>
        <v>0.19356320956986206</v>
      </c>
      <c r="V87" s="171"/>
      <c r="W87" s="172"/>
      <c r="X87" s="172"/>
      <c r="Y87" s="172"/>
      <c r="Z87" s="172"/>
      <c r="AA87" s="172"/>
      <c r="AB87" s="172"/>
      <c r="AC87" s="172"/>
      <c r="AD87" s="172"/>
      <c r="AE87" s="172"/>
      <c r="AF87" s="172"/>
      <c r="AG87" s="172"/>
      <c r="AH87" s="172"/>
      <c r="AI87" s="172"/>
      <c r="AJ87" s="172"/>
      <c r="AK87" s="172"/>
      <c r="AL87" s="172"/>
      <c r="AM87" s="172"/>
      <c r="AN87" s="172"/>
      <c r="AO87" s="172"/>
      <c r="AP87" s="172"/>
      <c r="AQ87" s="172"/>
      <c r="AR87" s="172"/>
      <c r="AS87" s="172"/>
    </row>
    <row r="88" spans="1:45">
      <c r="A88" s="211" t="s">
        <v>247</v>
      </c>
      <c r="B88" s="33">
        <f t="shared" ref="B88:L88" ca="1" si="24">B43*$G16</f>
        <v>30.664185844645679</v>
      </c>
      <c r="C88" s="33">
        <f t="shared" ca="1" si="24"/>
        <v>0.20757962417593293</v>
      </c>
      <c r="D88" s="33">
        <f t="shared" ca="1" si="24"/>
        <v>9.6381993474736181</v>
      </c>
      <c r="E88" s="33">
        <f t="shared" ca="1" si="24"/>
        <v>4.2143443120659114</v>
      </c>
      <c r="F88" s="33">
        <f t="shared" ca="1" si="24"/>
        <v>0.51890581828830828</v>
      </c>
      <c r="G88" s="33">
        <f t="shared" ca="1" si="24"/>
        <v>1.8747458268086352</v>
      </c>
      <c r="H88" s="33">
        <f t="shared" ca="1" si="24"/>
        <v>0.7495306264164453</v>
      </c>
      <c r="I88" s="33">
        <f t="shared" ca="1" si="24"/>
        <v>1.0666397375926335</v>
      </c>
      <c r="J88" s="33">
        <f t="shared" si="24"/>
        <v>0</v>
      </c>
      <c r="K88" s="33">
        <f t="shared" ca="1" si="24"/>
        <v>15.438095169424853</v>
      </c>
      <c r="L88" s="33">
        <f t="shared" ca="1" si="24"/>
        <v>7.2383958493894056</v>
      </c>
      <c r="M88" s="217">
        <f t="shared" ca="1" si="14"/>
        <v>71.610622156281423</v>
      </c>
      <c r="N88" s="222">
        <f t="shared" ca="1" si="15"/>
        <v>0.34918851394026568</v>
      </c>
      <c r="O88" s="195"/>
      <c r="P88" s="33">
        <f t="shared" ca="1" si="16"/>
        <v>7.7240688670483086</v>
      </c>
      <c r="Q88" s="33">
        <f t="shared" ca="1" si="17"/>
        <v>1.9141304804253094</v>
      </c>
      <c r="V88" s="171"/>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row>
    <row r="89" spans="1:45">
      <c r="A89" s="211" t="s">
        <v>414</v>
      </c>
      <c r="B89" s="33">
        <f t="shared" ref="B89:L89" ca="1" si="25">IF($G17=0,0,(B44*$G17))</f>
        <v>39.215761199999996</v>
      </c>
      <c r="C89" s="33">
        <f t="shared" si="25"/>
        <v>0</v>
      </c>
      <c r="D89" s="33">
        <f t="shared" ca="1" si="25"/>
        <v>11.713798799999999</v>
      </c>
      <c r="E89" s="33">
        <f t="shared" si="25"/>
        <v>0</v>
      </c>
      <c r="F89" s="33">
        <f t="shared" si="25"/>
        <v>0</v>
      </c>
      <c r="G89" s="33">
        <f t="shared" si="25"/>
        <v>0</v>
      </c>
      <c r="H89" s="33">
        <f t="shared" si="25"/>
        <v>0</v>
      </c>
      <c r="I89" s="33">
        <f t="shared" si="25"/>
        <v>0</v>
      </c>
      <c r="J89" s="33">
        <f t="shared" ca="1" si="25"/>
        <v>0</v>
      </c>
      <c r="K89" s="33">
        <f t="shared" si="25"/>
        <v>0</v>
      </c>
      <c r="L89" s="33">
        <f t="shared" si="25"/>
        <v>0</v>
      </c>
      <c r="M89" s="217">
        <f t="shared" ca="1" si="14"/>
        <v>50.929559999999995</v>
      </c>
      <c r="N89" s="222">
        <f t="shared" ca="1" si="15"/>
        <v>0.24834328813985379</v>
      </c>
      <c r="O89" s="195"/>
      <c r="P89" s="33">
        <f t="shared" ca="1" si="16"/>
        <v>1.4733877740265686</v>
      </c>
      <c r="Q89" s="33">
        <f t="shared" ca="1" si="17"/>
        <v>10.240411025973431</v>
      </c>
      <c r="V89" s="171"/>
      <c r="W89" s="172"/>
      <c r="X89" s="172"/>
      <c r="Y89" s="172"/>
      <c r="Z89" s="172"/>
      <c r="AA89" s="172"/>
      <c r="AB89" s="172"/>
      <c r="AC89" s="172"/>
      <c r="AD89" s="172"/>
      <c r="AE89" s="172"/>
      <c r="AF89" s="172"/>
      <c r="AG89" s="172"/>
      <c r="AH89" s="172"/>
      <c r="AI89" s="172"/>
      <c r="AJ89" s="172"/>
      <c r="AK89" s="172"/>
      <c r="AL89" s="172"/>
      <c r="AM89" s="172"/>
      <c r="AN89" s="172"/>
      <c r="AO89" s="172"/>
      <c r="AP89" s="172"/>
      <c r="AQ89" s="172"/>
      <c r="AR89" s="172"/>
      <c r="AS89" s="172"/>
    </row>
    <row r="90" spans="1:45">
      <c r="A90" s="211" t="s">
        <v>245</v>
      </c>
      <c r="B90" s="33">
        <f t="shared" ref="B90:L90" ca="1" si="26">B45*$G18</f>
        <v>0</v>
      </c>
      <c r="C90" s="33">
        <f t="shared" ca="1" si="26"/>
        <v>0</v>
      </c>
      <c r="D90" s="33">
        <f t="shared" ca="1" si="26"/>
        <v>0</v>
      </c>
      <c r="E90" s="33">
        <f t="shared" si="26"/>
        <v>0</v>
      </c>
      <c r="F90" s="33">
        <f t="shared" si="26"/>
        <v>0</v>
      </c>
      <c r="G90" s="33">
        <f t="shared" si="26"/>
        <v>0</v>
      </c>
      <c r="H90" s="33">
        <f t="shared" si="26"/>
        <v>0</v>
      </c>
      <c r="I90" s="33">
        <f t="shared" si="26"/>
        <v>0</v>
      </c>
      <c r="J90" s="33">
        <f t="shared" ca="1" si="26"/>
        <v>0</v>
      </c>
      <c r="K90" s="33">
        <f t="shared" si="26"/>
        <v>0</v>
      </c>
      <c r="L90" s="33">
        <f t="shared" si="26"/>
        <v>0</v>
      </c>
      <c r="M90" s="217">
        <f t="shared" ca="1" si="14"/>
        <v>0</v>
      </c>
      <c r="N90" s="222">
        <f t="shared" ca="1" si="15"/>
        <v>0</v>
      </c>
      <c r="O90" s="195"/>
      <c r="P90" s="33">
        <f t="shared" ca="1" si="16"/>
        <v>0</v>
      </c>
      <c r="Q90" s="33">
        <f t="shared" ca="1" si="17"/>
        <v>0</v>
      </c>
      <c r="V90" s="171"/>
      <c r="W90" s="172"/>
      <c r="X90" s="172"/>
      <c r="Y90" s="172"/>
      <c r="Z90" s="172"/>
      <c r="AA90" s="172"/>
      <c r="AB90" s="172"/>
      <c r="AC90" s="172"/>
      <c r="AD90" s="172"/>
      <c r="AE90" s="172"/>
      <c r="AF90" s="172"/>
      <c r="AG90" s="172"/>
      <c r="AH90" s="172"/>
      <c r="AI90" s="172"/>
      <c r="AJ90" s="172"/>
      <c r="AK90" s="172"/>
      <c r="AL90" s="172"/>
      <c r="AM90" s="172"/>
      <c r="AN90" s="172"/>
      <c r="AO90" s="172"/>
      <c r="AP90" s="172"/>
      <c r="AQ90" s="172"/>
      <c r="AR90" s="172"/>
      <c r="AS90" s="172"/>
    </row>
    <row r="91" spans="1:45">
      <c r="A91" s="211" t="s">
        <v>246</v>
      </c>
      <c r="B91" s="33">
        <f t="shared" ref="B91:L91" ca="1" si="27">B46*$G19</f>
        <v>3.8979108000000005E-2</v>
      </c>
      <c r="C91" s="33">
        <f t="shared" si="27"/>
        <v>0</v>
      </c>
      <c r="D91" s="33">
        <f t="shared" ca="1" si="27"/>
        <v>0</v>
      </c>
      <c r="E91" s="33">
        <f t="shared" si="27"/>
        <v>0</v>
      </c>
      <c r="F91" s="33">
        <f t="shared" si="27"/>
        <v>0</v>
      </c>
      <c r="G91" s="33">
        <f t="shared" ca="1" si="27"/>
        <v>0</v>
      </c>
      <c r="H91" s="33">
        <f t="shared" si="27"/>
        <v>0</v>
      </c>
      <c r="I91" s="33">
        <f t="shared" si="27"/>
        <v>0</v>
      </c>
      <c r="J91" s="33">
        <f t="shared" ca="1" si="27"/>
        <v>0</v>
      </c>
      <c r="K91" s="33">
        <f t="shared" si="27"/>
        <v>0</v>
      </c>
      <c r="L91" s="33">
        <f t="shared" si="27"/>
        <v>0</v>
      </c>
      <c r="M91" s="217">
        <f t="shared" ca="1" si="14"/>
        <v>3.8979108000000005E-2</v>
      </c>
      <c r="N91" s="222">
        <f t="shared" ca="1" si="15"/>
        <v>1.9007036089607849E-4</v>
      </c>
      <c r="O91" s="195"/>
      <c r="P91" s="33">
        <f t="shared" ca="1" si="16"/>
        <v>0</v>
      </c>
      <c r="Q91" s="33">
        <f t="shared" ca="1" si="17"/>
        <v>0</v>
      </c>
      <c r="V91" s="171"/>
      <c r="W91" s="172"/>
      <c r="X91" s="172"/>
      <c r="Y91" s="172"/>
      <c r="Z91" s="172"/>
      <c r="AA91" s="172"/>
      <c r="AB91" s="172"/>
      <c r="AC91" s="172"/>
      <c r="AD91" s="172"/>
      <c r="AE91" s="172"/>
      <c r="AF91" s="172"/>
      <c r="AG91" s="172"/>
      <c r="AH91" s="172"/>
      <c r="AI91" s="172"/>
      <c r="AJ91" s="172"/>
      <c r="AK91" s="172"/>
      <c r="AL91" s="172"/>
      <c r="AM91" s="172"/>
      <c r="AN91" s="172"/>
      <c r="AO91" s="172"/>
      <c r="AP91" s="172"/>
      <c r="AQ91" s="172"/>
      <c r="AR91" s="172"/>
      <c r="AS91" s="172"/>
    </row>
    <row r="92" spans="1:45">
      <c r="A92" s="216" t="s">
        <v>248</v>
      </c>
      <c r="B92" s="217">
        <f t="shared" ref="B92:L92" ca="1" si="28">SUM(B81:B91)</f>
        <v>132.55063710608394</v>
      </c>
      <c r="C92" s="217">
        <f t="shared" ca="1" si="28"/>
        <v>0.20757962417593293</v>
      </c>
      <c r="D92" s="217">
        <f t="shared" ca="1" si="28"/>
        <v>34.007394609173907</v>
      </c>
      <c r="E92" s="217">
        <f t="shared" ca="1" si="28"/>
        <v>4.2143443120659114</v>
      </c>
      <c r="F92" s="217">
        <f t="shared" ca="1" si="28"/>
        <v>0.51890581828830828</v>
      </c>
      <c r="G92" s="217">
        <f t="shared" ca="1" si="28"/>
        <v>2.6180909026100605</v>
      </c>
      <c r="H92" s="217">
        <f t="shared" ca="1" si="28"/>
        <v>0.7495306264164453</v>
      </c>
      <c r="I92" s="217">
        <f t="shared" ca="1" si="28"/>
        <v>1.0666397375926335</v>
      </c>
      <c r="J92" s="217">
        <f t="shared" ca="1" si="28"/>
        <v>6.4676419317499523</v>
      </c>
      <c r="K92" s="217">
        <f t="shared" ca="1" si="28"/>
        <v>15.438095169424853</v>
      </c>
      <c r="L92" s="217">
        <f t="shared" ca="1" si="28"/>
        <v>7.2383958493894056</v>
      </c>
      <c r="M92" s="217">
        <f t="shared" ca="1" si="14"/>
        <v>205.07725568697134</v>
      </c>
      <c r="N92" s="214"/>
      <c r="O92" s="195"/>
      <c r="P92" s="195"/>
      <c r="V92" s="171"/>
      <c r="W92" s="172"/>
      <c r="X92" s="172"/>
      <c r="Y92" s="172"/>
      <c r="Z92" s="172"/>
      <c r="AA92" s="172"/>
      <c r="AB92" s="172"/>
      <c r="AC92" s="172"/>
      <c r="AD92" s="172"/>
      <c r="AE92" s="172"/>
      <c r="AF92" s="172"/>
      <c r="AG92" s="172"/>
      <c r="AH92" s="172"/>
      <c r="AI92" s="172"/>
      <c r="AJ92" s="172"/>
      <c r="AK92" s="172"/>
      <c r="AL92" s="172"/>
      <c r="AM92" s="172"/>
      <c r="AN92" s="172"/>
      <c r="AO92" s="172"/>
      <c r="AP92" s="172"/>
      <c r="AQ92" s="172"/>
      <c r="AR92" s="172"/>
      <c r="AS92" s="172"/>
    </row>
    <row r="93" spans="1:45">
      <c r="A93" s="216" t="s">
        <v>337</v>
      </c>
      <c r="B93" s="218">
        <f t="shared" ref="B93:M93" ca="1" si="29">B92/$M$92</f>
        <v>0.646344894084249</v>
      </c>
      <c r="C93" s="218">
        <f t="shared" ca="1" si="29"/>
        <v>1.0122020771176166E-3</v>
      </c>
      <c r="D93" s="218">
        <f t="shared" ca="1" si="29"/>
        <v>0.1658272366443336</v>
      </c>
      <c r="E93" s="218">
        <f t="shared" ca="1" si="29"/>
        <v>2.0550032708154923E-2</v>
      </c>
      <c r="F93" s="218">
        <f t="shared" ca="1" si="29"/>
        <v>2.530294334932797E-3</v>
      </c>
      <c r="G93" s="218">
        <f t="shared" ca="1" si="29"/>
        <v>1.2766364040907092E-2</v>
      </c>
      <c r="H93" s="218">
        <f t="shared" ca="1" si="29"/>
        <v>3.6548695949029288E-3</v>
      </c>
      <c r="I93" s="218">
        <f t="shared" ca="1" si="29"/>
        <v>5.2011605773618595E-3</v>
      </c>
      <c r="J93" s="218">
        <f t="shared" ca="1" si="29"/>
        <v>3.1537587676822243E-2</v>
      </c>
      <c r="K93" s="218">
        <f t="shared" ca="1" si="29"/>
        <v>7.5279411740273458E-2</v>
      </c>
      <c r="L93" s="218">
        <f t="shared" ca="1" si="29"/>
        <v>3.5295946520944518E-2</v>
      </c>
      <c r="M93" s="218">
        <f t="shared" ca="1" si="29"/>
        <v>1</v>
      </c>
      <c r="N93" s="214"/>
      <c r="O93" s="195"/>
      <c r="P93" s="195"/>
      <c r="V93" s="171"/>
      <c r="W93" s="172"/>
      <c r="X93" s="172"/>
      <c r="Y93" s="172"/>
      <c r="Z93" s="172"/>
      <c r="AA93" s="172"/>
      <c r="AB93" s="172"/>
      <c r="AC93" s="172"/>
      <c r="AD93" s="172"/>
      <c r="AE93" s="172"/>
      <c r="AF93" s="172"/>
      <c r="AG93" s="172"/>
      <c r="AH93" s="172"/>
      <c r="AI93" s="172"/>
      <c r="AJ93" s="172"/>
      <c r="AK93" s="172"/>
      <c r="AL93" s="172"/>
      <c r="AM93" s="172"/>
      <c r="AN93" s="172"/>
      <c r="AO93" s="172"/>
      <c r="AP93" s="172"/>
      <c r="AQ93" s="172"/>
      <c r="AR93" s="172"/>
      <c r="AS93" s="172"/>
    </row>
    <row r="94" spans="1:45">
      <c r="A94" s="195"/>
      <c r="B94" s="195"/>
      <c r="C94" s="195"/>
      <c r="D94" s="195"/>
      <c r="E94" s="195"/>
      <c r="F94" s="195"/>
      <c r="G94" s="195"/>
      <c r="H94" s="195"/>
      <c r="I94" s="195"/>
      <c r="J94" s="195"/>
      <c r="K94" s="195"/>
      <c r="L94" s="195"/>
      <c r="M94" s="195"/>
      <c r="N94" s="195"/>
      <c r="O94" s="195"/>
      <c r="P94" s="195"/>
      <c r="V94" s="171"/>
      <c r="W94" s="172"/>
      <c r="X94" s="172"/>
      <c r="Y94" s="172"/>
      <c r="Z94" s="172"/>
      <c r="AA94" s="172"/>
      <c r="AB94" s="172"/>
      <c r="AC94" s="172"/>
      <c r="AD94" s="172"/>
      <c r="AE94" s="172"/>
      <c r="AF94" s="172"/>
      <c r="AG94" s="172"/>
      <c r="AH94" s="172"/>
      <c r="AI94" s="172"/>
      <c r="AJ94" s="172"/>
      <c r="AK94" s="172"/>
      <c r="AL94" s="172"/>
      <c r="AM94" s="172"/>
      <c r="AN94" s="172"/>
      <c r="AO94" s="172"/>
      <c r="AP94" s="172"/>
      <c r="AQ94" s="172"/>
      <c r="AR94" s="172"/>
      <c r="AS94" s="172"/>
    </row>
    <row r="95" spans="1:45">
      <c r="A95" s="195"/>
      <c r="B95" s="195"/>
      <c r="C95" s="195"/>
      <c r="D95" s="195"/>
      <c r="E95" s="195"/>
      <c r="F95" s="195"/>
      <c r="G95" s="195"/>
      <c r="H95" s="195"/>
      <c r="I95" s="195"/>
      <c r="J95" s="195"/>
      <c r="K95" s="195"/>
      <c r="L95" s="195"/>
      <c r="M95" s="195"/>
      <c r="N95" s="195"/>
      <c r="O95" s="195"/>
      <c r="P95" s="195"/>
      <c r="V95" s="171"/>
      <c r="W95" s="172"/>
      <c r="X95" s="172"/>
      <c r="Y95" s="172"/>
      <c r="Z95" s="172"/>
      <c r="AA95" s="172"/>
      <c r="AB95" s="172"/>
      <c r="AC95" s="172"/>
      <c r="AD95" s="172"/>
      <c r="AE95" s="172"/>
      <c r="AF95" s="172"/>
      <c r="AG95" s="172"/>
      <c r="AH95" s="172"/>
      <c r="AI95" s="172"/>
      <c r="AJ95" s="172"/>
      <c r="AK95" s="172"/>
      <c r="AL95" s="172"/>
      <c r="AM95" s="172"/>
      <c r="AN95" s="172"/>
      <c r="AO95" s="172"/>
      <c r="AP95" s="172"/>
      <c r="AQ95" s="172"/>
      <c r="AR95" s="172"/>
      <c r="AS95" s="172"/>
    </row>
    <row r="96" spans="1:45" ht="18">
      <c r="A96" s="194" t="s">
        <v>523</v>
      </c>
      <c r="B96" s="195"/>
      <c r="C96" s="195"/>
      <c r="D96" s="195"/>
      <c r="E96" s="195"/>
      <c r="F96" s="195"/>
      <c r="G96" s="195"/>
      <c r="H96" s="230"/>
      <c r="I96" s="195"/>
      <c r="J96" s="195"/>
      <c r="K96" s="195"/>
      <c r="L96" s="195"/>
      <c r="M96" s="195"/>
      <c r="N96" s="195"/>
      <c r="O96" s="195"/>
      <c r="P96" s="195"/>
      <c r="V96" s="171"/>
      <c r="W96" s="172"/>
      <c r="X96" s="172"/>
      <c r="Y96" s="172"/>
      <c r="Z96" s="172"/>
      <c r="AA96" s="172"/>
      <c r="AB96" s="172"/>
      <c r="AC96" s="172"/>
      <c r="AD96" s="172"/>
      <c r="AE96" s="172"/>
      <c r="AF96" s="172"/>
      <c r="AG96" s="172"/>
      <c r="AH96" s="172"/>
      <c r="AI96" s="172"/>
      <c r="AJ96" s="172"/>
      <c r="AK96" s="172"/>
      <c r="AL96" s="172"/>
      <c r="AM96" s="172"/>
      <c r="AN96" s="172"/>
      <c r="AO96" s="172"/>
      <c r="AP96" s="172"/>
      <c r="AQ96" s="172"/>
      <c r="AR96" s="172"/>
      <c r="AS96" s="172"/>
    </row>
    <row r="97" spans="1:45" ht="18">
      <c r="A97" s="204"/>
      <c r="B97" s="131" t="s">
        <v>524</v>
      </c>
      <c r="C97" s="98"/>
      <c r="D97" s="98"/>
      <c r="E97" s="195"/>
      <c r="F97" s="195"/>
      <c r="G97" s="195"/>
      <c r="H97" s="230"/>
      <c r="I97" s="231"/>
      <c r="J97" s="232"/>
      <c r="K97" s="233"/>
      <c r="L97" s="195"/>
      <c r="M97" s="195"/>
      <c r="N97" s="195"/>
      <c r="O97" s="131" t="s">
        <v>977</v>
      </c>
      <c r="P97" s="131"/>
      <c r="V97" s="171"/>
      <c r="W97" s="172"/>
      <c r="X97" s="172"/>
      <c r="Y97" s="172"/>
      <c r="Z97" s="172"/>
      <c r="AA97" s="172"/>
      <c r="AB97" s="172"/>
      <c r="AC97" s="172"/>
      <c r="AD97" s="172"/>
      <c r="AE97" s="172"/>
      <c r="AF97" s="172"/>
      <c r="AG97" s="172"/>
      <c r="AH97" s="172"/>
      <c r="AI97" s="172"/>
      <c r="AJ97" s="172"/>
      <c r="AK97" s="172"/>
      <c r="AL97" s="172"/>
      <c r="AM97" s="172"/>
      <c r="AN97" s="172"/>
      <c r="AO97" s="172"/>
      <c r="AP97" s="172"/>
      <c r="AQ97" s="172"/>
      <c r="AR97" s="172"/>
      <c r="AS97" s="172"/>
    </row>
    <row r="98" spans="1:45" s="35" customFormat="1" ht="18">
      <c r="A98" s="196" t="s">
        <v>374</v>
      </c>
      <c r="B98" s="200" t="s">
        <v>407</v>
      </c>
      <c r="C98" s="235"/>
      <c r="D98" s="196"/>
      <c r="E98" s="195"/>
      <c r="F98" s="131" t="s">
        <v>525</v>
      </c>
      <c r="G98" s="98"/>
      <c r="H98" s="134"/>
      <c r="I98" s="98"/>
      <c r="J98" s="232"/>
      <c r="K98" s="234"/>
      <c r="L98" s="195"/>
      <c r="M98" s="195"/>
      <c r="N98" s="195"/>
      <c r="O98" s="405" t="s">
        <v>655</v>
      </c>
      <c r="P98" s="12">
        <v>500</v>
      </c>
      <c r="V98" s="171"/>
      <c r="W98" s="172"/>
      <c r="X98" s="172"/>
      <c r="Y98" s="172"/>
      <c r="Z98" s="172"/>
      <c r="AA98" s="172"/>
      <c r="AB98" s="172"/>
      <c r="AC98" s="172"/>
      <c r="AD98" s="172"/>
      <c r="AE98" s="172"/>
      <c r="AF98" s="172"/>
      <c r="AG98" s="172"/>
      <c r="AH98" s="172"/>
      <c r="AI98" s="172"/>
      <c r="AJ98" s="172"/>
      <c r="AK98" s="172"/>
      <c r="AL98" s="172"/>
      <c r="AM98" s="172"/>
      <c r="AN98" s="172"/>
      <c r="AO98" s="172"/>
      <c r="AP98" s="172"/>
      <c r="AQ98" s="172"/>
      <c r="AR98" s="172"/>
      <c r="AS98" s="172"/>
    </row>
    <row r="99" spans="1:45" s="35" customFormat="1">
      <c r="A99" s="195" t="s">
        <v>403</v>
      </c>
      <c r="B99" s="47">
        <v>0.87535072800000013</v>
      </c>
      <c r="C99" s="202">
        <v>0.87535072800000013</v>
      </c>
      <c r="D99" s="75" t="s">
        <v>436</v>
      </c>
      <c r="E99" s="195"/>
      <c r="F99" s="43" t="s">
        <v>244</v>
      </c>
      <c r="G99" s="44">
        <f>$B99+$B100+$B101+$B114</f>
        <v>0.87535072800000013</v>
      </c>
      <c r="H99" s="91" t="s">
        <v>422</v>
      </c>
      <c r="I99" s="229"/>
      <c r="J99" s="229"/>
      <c r="K99" s="229"/>
      <c r="L99" s="229"/>
      <c r="M99" s="195"/>
      <c r="N99" s="195"/>
      <c r="O99" s="405" t="s">
        <v>828</v>
      </c>
      <c r="P99" s="12"/>
      <c r="V99"/>
      <c r="W99"/>
      <c r="X99"/>
      <c r="Y99"/>
      <c r="Z99"/>
      <c r="AA99"/>
      <c r="AB99"/>
      <c r="AC99"/>
      <c r="AD99"/>
      <c r="AE99"/>
      <c r="AF99"/>
      <c r="AG99"/>
      <c r="AH99"/>
      <c r="AI99"/>
      <c r="AJ99"/>
      <c r="AK99"/>
      <c r="AL99"/>
      <c r="AM99"/>
      <c r="AN99"/>
      <c r="AO99"/>
      <c r="AP99"/>
      <c r="AQ99"/>
      <c r="AR99"/>
      <c r="AS99"/>
    </row>
    <row r="100" spans="1:45" s="35" customFormat="1">
      <c r="A100" s="205" t="s">
        <v>182</v>
      </c>
      <c r="B100" s="47">
        <v>0</v>
      </c>
      <c r="C100" s="202">
        <v>0</v>
      </c>
      <c r="D100" s="75" t="s">
        <v>440</v>
      </c>
      <c r="E100" s="195"/>
      <c r="F100" s="43" t="s">
        <v>413</v>
      </c>
      <c r="G100" s="44">
        <f>$B102+$B105+$B106+$B113</f>
        <v>8.4627400345841934</v>
      </c>
      <c r="H100" s="91" t="s">
        <v>423</v>
      </c>
      <c r="I100" s="229"/>
      <c r="J100" s="229"/>
      <c r="K100" s="229"/>
      <c r="L100" s="229"/>
      <c r="M100" s="195"/>
      <c r="N100" s="195"/>
      <c r="O100" s="405" t="s">
        <v>795</v>
      </c>
      <c r="P100" s="12">
        <v>26.6</v>
      </c>
      <c r="V100" s="171"/>
      <c r="W100"/>
      <c r="X100"/>
      <c r="Y100"/>
      <c r="Z100"/>
      <c r="AA100"/>
      <c r="AB100"/>
      <c r="AC100"/>
      <c r="AD100"/>
      <c r="AE100"/>
      <c r="AF100"/>
      <c r="AG100"/>
      <c r="AH100"/>
      <c r="AI100"/>
      <c r="AJ100"/>
      <c r="AK100"/>
      <c r="AL100"/>
      <c r="AM100"/>
      <c r="AN100"/>
      <c r="AO100"/>
      <c r="AP100"/>
      <c r="AQ100"/>
      <c r="AR100"/>
      <c r="AS100"/>
    </row>
    <row r="101" spans="1:45" s="35" customFormat="1">
      <c r="A101" s="205" t="s">
        <v>183</v>
      </c>
      <c r="B101" s="47">
        <v>0</v>
      </c>
      <c r="C101" s="202">
        <v>0</v>
      </c>
      <c r="D101" s="75" t="s">
        <v>441</v>
      </c>
      <c r="E101" s="195"/>
      <c r="F101" s="60" t="s">
        <v>574</v>
      </c>
      <c r="G101" s="61">
        <f>$B103</f>
        <v>3.879991296</v>
      </c>
      <c r="H101" s="91" t="s">
        <v>596</v>
      </c>
      <c r="I101" s="229"/>
      <c r="J101" s="229"/>
      <c r="K101" s="229"/>
      <c r="L101" s="229"/>
      <c r="M101" s="195"/>
      <c r="N101" s="195"/>
      <c r="O101" s="405" t="s">
        <v>829</v>
      </c>
      <c r="P101" s="12"/>
      <c r="V101" s="171"/>
      <c r="W101" s="172"/>
      <c r="X101" s="172"/>
      <c r="Y101" s="172"/>
      <c r="Z101" s="172"/>
      <c r="AA101" s="172"/>
      <c r="AB101" s="172"/>
      <c r="AC101" s="172"/>
      <c r="AD101" s="172"/>
      <c r="AE101" s="172"/>
      <c r="AF101" s="172"/>
      <c r="AG101" s="172"/>
      <c r="AH101" s="172"/>
      <c r="AI101" s="172"/>
      <c r="AJ101" s="172"/>
      <c r="AK101" s="172"/>
      <c r="AL101" s="172"/>
      <c r="AM101" s="172"/>
      <c r="AN101" s="172"/>
      <c r="AO101" s="172"/>
      <c r="AP101" s="172"/>
      <c r="AQ101" s="172"/>
      <c r="AR101" s="172"/>
      <c r="AS101" s="172"/>
    </row>
    <row r="102" spans="1:45" s="35" customFormat="1">
      <c r="A102" s="195" t="s">
        <v>411</v>
      </c>
      <c r="B102" s="47">
        <v>8.2787301745841937</v>
      </c>
      <c r="C102" s="202">
        <v>8.2787301745841937</v>
      </c>
      <c r="D102" s="75" t="s">
        <v>221</v>
      </c>
      <c r="E102" s="195"/>
      <c r="F102" s="60" t="s">
        <v>576</v>
      </c>
      <c r="G102" s="61">
        <f>$B104</f>
        <v>0</v>
      </c>
      <c r="H102" s="91" t="s">
        <v>597</v>
      </c>
      <c r="I102" s="229"/>
      <c r="J102" s="229"/>
      <c r="K102" s="229"/>
      <c r="L102" s="229"/>
      <c r="M102" s="195"/>
      <c r="N102" s="195"/>
      <c r="O102" s="405" t="s">
        <v>830</v>
      </c>
      <c r="P102" s="12"/>
      <c r="V102" s="171"/>
      <c r="W102" s="172"/>
      <c r="X102" s="172"/>
      <c r="Y102" s="172"/>
      <c r="Z102" s="172"/>
      <c r="AA102" s="172"/>
      <c r="AB102" s="172"/>
      <c r="AC102" s="172"/>
      <c r="AD102" s="172"/>
      <c r="AE102" s="172"/>
      <c r="AF102" s="172"/>
      <c r="AG102" s="172"/>
      <c r="AH102" s="172"/>
      <c r="AI102" s="172"/>
      <c r="AJ102" s="172"/>
      <c r="AK102" s="172"/>
      <c r="AL102" s="172"/>
      <c r="AM102" s="172"/>
      <c r="AN102" s="172"/>
      <c r="AO102" s="172"/>
      <c r="AP102" s="172"/>
      <c r="AQ102" s="172"/>
      <c r="AR102" s="172"/>
      <c r="AS102" s="172"/>
    </row>
    <row r="103" spans="1:45" s="35" customFormat="1">
      <c r="A103" s="195" t="s">
        <v>410</v>
      </c>
      <c r="B103" s="47">
        <v>3.879991296</v>
      </c>
      <c r="C103" s="202">
        <v>3.879991296</v>
      </c>
      <c r="D103" s="75" t="s">
        <v>217</v>
      </c>
      <c r="E103" s="195"/>
      <c r="F103" s="43" t="s">
        <v>664</v>
      </c>
      <c r="G103" s="44">
        <f>$B107+$B108+$B109</f>
        <v>0.13247035200000001</v>
      </c>
      <c r="H103" s="91" t="s">
        <v>1017</v>
      </c>
      <c r="I103" s="229"/>
      <c r="J103" s="229"/>
      <c r="K103" s="229"/>
      <c r="L103" s="229"/>
      <c r="M103" s="195"/>
      <c r="N103" s="195"/>
      <c r="O103" s="405" t="s">
        <v>950</v>
      </c>
      <c r="P103" s="12">
        <v>83.6</v>
      </c>
      <c r="V103" s="171"/>
      <c r="W103" s="172"/>
      <c r="X103" s="172"/>
      <c r="Y103" s="172"/>
      <c r="Z103" s="172"/>
      <c r="AA103" s="172"/>
      <c r="AB103" s="172"/>
      <c r="AC103" s="172"/>
      <c r="AD103" s="172"/>
      <c r="AE103" s="172"/>
      <c r="AF103" s="172"/>
      <c r="AG103" s="172"/>
      <c r="AH103" s="172"/>
      <c r="AI103" s="172"/>
      <c r="AJ103" s="172"/>
      <c r="AK103" s="172"/>
      <c r="AL103" s="172"/>
      <c r="AM103" s="172"/>
      <c r="AN103" s="172"/>
      <c r="AO103" s="172"/>
      <c r="AP103" s="172"/>
      <c r="AQ103" s="172"/>
      <c r="AR103" s="172"/>
      <c r="AS103" s="172"/>
    </row>
    <row r="104" spans="1:45" s="35" customFormat="1">
      <c r="A104" s="195" t="s">
        <v>409</v>
      </c>
      <c r="B104" s="47">
        <v>0</v>
      </c>
      <c r="C104" s="202">
        <v>0</v>
      </c>
      <c r="D104" s="75" t="s">
        <v>219</v>
      </c>
      <c r="E104" s="195"/>
      <c r="F104" s="43" t="s">
        <v>405</v>
      </c>
      <c r="G104" s="44">
        <f>$B110</f>
        <v>0</v>
      </c>
      <c r="H104" s="91" t="s">
        <v>443</v>
      </c>
      <c r="I104" s="229"/>
      <c r="J104" s="229"/>
      <c r="K104" s="229"/>
      <c r="L104" s="229"/>
      <c r="M104" s="195"/>
      <c r="N104" s="195"/>
      <c r="O104" s="407" t="str">
        <f>Region</f>
        <v>FIN</v>
      </c>
      <c r="P104" s="406">
        <f>INDEX(P98:P103,RegIndex)</f>
        <v>0</v>
      </c>
      <c r="V104" s="171"/>
      <c r="W104" s="172"/>
      <c r="X104" s="172"/>
      <c r="Y104" s="172"/>
      <c r="Z104" s="172"/>
      <c r="AA104" s="172"/>
      <c r="AB104" s="172"/>
      <c r="AC104" s="172"/>
      <c r="AD104" s="172"/>
      <c r="AE104" s="172"/>
      <c r="AF104" s="172"/>
      <c r="AG104" s="172"/>
      <c r="AH104" s="172"/>
      <c r="AI104" s="172"/>
      <c r="AJ104" s="172"/>
      <c r="AK104" s="172"/>
      <c r="AL104" s="172"/>
      <c r="AM104" s="172"/>
      <c r="AN104" s="172"/>
      <c r="AO104" s="172"/>
      <c r="AP104" s="172"/>
      <c r="AQ104" s="172"/>
      <c r="AR104" s="172"/>
      <c r="AS104" s="172"/>
    </row>
    <row r="105" spans="1:45" s="35" customFormat="1">
      <c r="A105" s="195" t="s">
        <v>426</v>
      </c>
      <c r="B105" s="45">
        <v>0</v>
      </c>
      <c r="C105" s="195">
        <v>0</v>
      </c>
      <c r="D105" s="76" t="s">
        <v>220</v>
      </c>
      <c r="E105" s="195"/>
      <c r="F105" s="43" t="s">
        <v>588</v>
      </c>
      <c r="G105" s="44">
        <f>$B111+$B112+$B115+$B116</f>
        <v>3.5493178320000003</v>
      </c>
      <c r="H105" s="91" t="s">
        <v>444</v>
      </c>
      <c r="I105" s="229"/>
      <c r="J105" s="229"/>
      <c r="K105" s="229"/>
      <c r="L105" s="229"/>
      <c r="M105" s="195"/>
      <c r="N105" s="195"/>
      <c r="O105" s="195"/>
      <c r="P105" s="195"/>
      <c r="V105" s="171"/>
      <c r="W105" s="172"/>
      <c r="X105" s="172"/>
      <c r="Y105" s="172"/>
      <c r="Z105" s="172"/>
      <c r="AA105" s="172"/>
      <c r="AB105" s="172"/>
      <c r="AC105" s="172"/>
      <c r="AD105" s="172"/>
      <c r="AE105" s="172"/>
      <c r="AF105" s="172"/>
      <c r="AG105" s="172"/>
      <c r="AH105" s="172"/>
      <c r="AI105" s="172"/>
      <c r="AJ105" s="172"/>
      <c r="AK105" s="172"/>
      <c r="AL105" s="172"/>
      <c r="AM105" s="172"/>
      <c r="AN105" s="172"/>
      <c r="AO105" s="172"/>
      <c r="AP105" s="172"/>
      <c r="AQ105" s="172"/>
      <c r="AR105" s="172"/>
      <c r="AS105" s="172"/>
    </row>
    <row r="106" spans="1:45" s="35" customFormat="1">
      <c r="A106" s="205" t="s">
        <v>184</v>
      </c>
      <c r="B106" s="45">
        <v>0</v>
      </c>
      <c r="C106" s="195">
        <v>0</v>
      </c>
      <c r="D106" s="92" t="s">
        <v>647</v>
      </c>
      <c r="E106" s="195"/>
      <c r="F106" s="43" t="s">
        <v>247</v>
      </c>
      <c r="G106" s="44">
        <f>$B117</f>
        <v>47.354589625657709</v>
      </c>
      <c r="H106" s="91" t="s">
        <v>445</v>
      </c>
      <c r="I106" s="229"/>
      <c r="J106" s="229"/>
      <c r="K106" s="229"/>
      <c r="L106" s="229"/>
      <c r="M106" s="195"/>
      <c r="N106" s="195"/>
      <c r="O106" s="195"/>
      <c r="P106" s="195"/>
      <c r="V106" s="171"/>
      <c r="W106" s="172"/>
      <c r="X106" s="172"/>
      <c r="Y106" s="172"/>
      <c r="Z106" s="172"/>
      <c r="AA106" s="172"/>
      <c r="AB106" s="172"/>
      <c r="AC106" s="172"/>
      <c r="AD106" s="172"/>
      <c r="AE106" s="172"/>
      <c r="AF106" s="172"/>
      <c r="AG106" s="172"/>
      <c r="AH106" s="172"/>
      <c r="AI106" s="172"/>
      <c r="AJ106" s="172"/>
      <c r="AK106" s="172"/>
      <c r="AL106" s="172"/>
      <c r="AM106" s="172"/>
      <c r="AN106" s="172"/>
      <c r="AO106" s="172"/>
      <c r="AP106" s="172"/>
      <c r="AQ106" s="172"/>
      <c r="AR106" s="172"/>
      <c r="AS106" s="172"/>
    </row>
    <row r="107" spans="1:45" s="35" customFormat="1">
      <c r="A107" s="205" t="s">
        <v>375</v>
      </c>
      <c r="B107" s="47">
        <v>0</v>
      </c>
      <c r="C107" s="202">
        <v>0</v>
      </c>
      <c r="D107" s="75" t="s">
        <v>437</v>
      </c>
      <c r="E107" s="195"/>
      <c r="F107" s="43" t="s">
        <v>414</v>
      </c>
      <c r="G107" s="44">
        <f>$B118</f>
        <v>30.534840000000003</v>
      </c>
      <c r="H107" s="91" t="s">
        <v>446</v>
      </c>
      <c r="I107" s="229"/>
      <c r="J107" s="229"/>
      <c r="K107" s="229"/>
      <c r="L107" s="229"/>
      <c r="M107" s="195"/>
      <c r="N107" s="195"/>
      <c r="O107" s="195"/>
      <c r="P107" s="195"/>
      <c r="V107" s="171"/>
      <c r="W107" s="172"/>
      <c r="X107" s="172"/>
      <c r="Y107" s="172"/>
      <c r="Z107" s="172"/>
      <c r="AA107" s="172"/>
      <c r="AB107" s="172"/>
      <c r="AC107" s="172"/>
      <c r="AD107" s="172"/>
      <c r="AE107" s="172"/>
      <c r="AF107" s="172"/>
      <c r="AG107" s="172"/>
      <c r="AH107" s="172"/>
      <c r="AI107" s="172"/>
      <c r="AJ107" s="172"/>
      <c r="AK107" s="172"/>
      <c r="AL107" s="172"/>
      <c r="AM107" s="172"/>
      <c r="AN107" s="172"/>
      <c r="AO107" s="172"/>
      <c r="AP107" s="172"/>
      <c r="AQ107" s="172"/>
      <c r="AR107" s="172"/>
      <c r="AS107" s="172"/>
    </row>
    <row r="108" spans="1:45">
      <c r="A108" s="287" t="s">
        <v>376</v>
      </c>
      <c r="B108" s="47">
        <v>0.13247035200000001</v>
      </c>
      <c r="C108" s="202">
        <v>0.13247035200000001</v>
      </c>
      <c r="D108" s="75" t="s">
        <v>438</v>
      </c>
      <c r="E108" s="195"/>
      <c r="F108" s="43" t="s">
        <v>245</v>
      </c>
      <c r="G108" s="425">
        <f>$C119</f>
        <v>0</v>
      </c>
      <c r="H108" s="91" t="s">
        <v>148</v>
      </c>
      <c r="I108" s="195"/>
      <c r="J108" s="195"/>
      <c r="K108" s="195"/>
      <c r="L108" s="195"/>
      <c r="M108" s="195"/>
      <c r="N108" s="195"/>
      <c r="O108" s="195"/>
      <c r="P108" s="195"/>
      <c r="V108" s="171"/>
      <c r="W108" s="172"/>
      <c r="X108" s="172"/>
      <c r="Y108" s="172"/>
      <c r="Z108" s="172"/>
      <c r="AA108" s="172"/>
      <c r="AB108" s="172"/>
      <c r="AC108" s="172"/>
      <c r="AD108" s="172"/>
      <c r="AE108" s="172"/>
      <c r="AF108" s="172"/>
      <c r="AG108" s="172"/>
      <c r="AH108" s="172"/>
      <c r="AI108" s="172"/>
      <c r="AJ108" s="172"/>
      <c r="AK108" s="172"/>
      <c r="AL108" s="172"/>
      <c r="AM108" s="172"/>
      <c r="AN108" s="172"/>
      <c r="AO108" s="172"/>
      <c r="AP108" s="172"/>
      <c r="AQ108" s="172"/>
      <c r="AR108" s="172"/>
      <c r="AS108" s="172"/>
    </row>
    <row r="109" spans="1:45">
      <c r="A109" s="205" t="s">
        <v>185</v>
      </c>
      <c r="B109" s="47">
        <v>0</v>
      </c>
      <c r="C109" s="202">
        <v>0</v>
      </c>
      <c r="D109" s="75" t="s">
        <v>439</v>
      </c>
      <c r="E109" s="195"/>
      <c r="F109" s="43" t="s">
        <v>246</v>
      </c>
      <c r="G109" s="44">
        <f>$B120</f>
        <v>0</v>
      </c>
      <c r="H109" s="91" t="s">
        <v>149</v>
      </c>
      <c r="I109" s="195"/>
      <c r="J109" s="195"/>
      <c r="K109" s="195"/>
      <c r="L109" s="195"/>
      <c r="M109" s="195"/>
      <c r="N109" s="195"/>
      <c r="O109" s="195"/>
      <c r="P109" s="195"/>
      <c r="V109" s="171"/>
      <c r="W109" s="172"/>
      <c r="X109" s="172"/>
      <c r="Y109" s="172"/>
      <c r="Z109" s="172"/>
      <c r="AA109" s="172"/>
      <c r="AB109" s="172"/>
      <c r="AC109" s="172"/>
      <c r="AD109" s="172"/>
      <c r="AE109" s="172"/>
      <c r="AF109" s="172"/>
      <c r="AG109" s="172"/>
      <c r="AH109" s="172"/>
      <c r="AI109" s="172"/>
      <c r="AJ109" s="172"/>
      <c r="AK109" s="172"/>
      <c r="AL109" s="172"/>
      <c r="AM109" s="172"/>
      <c r="AN109" s="172"/>
      <c r="AO109" s="172"/>
      <c r="AP109" s="172"/>
      <c r="AQ109" s="172"/>
      <c r="AR109" s="172"/>
      <c r="AS109" s="172"/>
    </row>
    <row r="110" spans="1:45">
      <c r="A110" s="195" t="s">
        <v>405</v>
      </c>
      <c r="B110" s="47">
        <v>0</v>
      </c>
      <c r="C110" s="202">
        <v>0</v>
      </c>
      <c r="D110" s="75" t="s">
        <v>110</v>
      </c>
      <c r="E110" s="195"/>
      <c r="F110" s="195"/>
      <c r="G110" s="195"/>
      <c r="H110" s="195"/>
      <c r="I110" s="195"/>
      <c r="J110" s="195"/>
      <c r="K110" s="195"/>
      <c r="L110" s="195"/>
      <c r="M110" s="195"/>
      <c r="N110" s="195"/>
      <c r="O110" s="195"/>
      <c r="P110" s="195"/>
      <c r="V110" s="171"/>
      <c r="W110" s="172"/>
      <c r="X110" s="172"/>
      <c r="Y110" s="172"/>
      <c r="Z110" s="172"/>
      <c r="AA110" s="172"/>
      <c r="AB110" s="172"/>
      <c r="AC110" s="172"/>
      <c r="AD110" s="172"/>
      <c r="AE110" s="172"/>
      <c r="AF110" s="172"/>
      <c r="AG110" s="172"/>
      <c r="AH110" s="172"/>
      <c r="AI110" s="172"/>
      <c r="AJ110" s="172"/>
      <c r="AK110" s="172"/>
      <c r="AL110" s="172"/>
      <c r="AM110" s="172"/>
      <c r="AN110" s="172"/>
      <c r="AO110" s="172"/>
      <c r="AP110" s="172"/>
      <c r="AQ110" s="172"/>
      <c r="AR110" s="172"/>
      <c r="AS110" s="172"/>
    </row>
    <row r="111" spans="1:45">
      <c r="A111" s="195" t="s">
        <v>585</v>
      </c>
      <c r="B111" s="47">
        <v>3.4993274400000001</v>
      </c>
      <c r="C111" s="202">
        <v>3.4993274400000001</v>
      </c>
      <c r="D111" s="75" t="s">
        <v>53</v>
      </c>
      <c r="E111" s="195"/>
      <c r="F111" s="195"/>
      <c r="G111" s="195"/>
      <c r="H111" s="195"/>
      <c r="I111" s="195"/>
      <c r="J111" s="195"/>
      <c r="K111" s="195"/>
      <c r="L111" s="195"/>
      <c r="M111" s="195"/>
      <c r="N111" s="195"/>
      <c r="O111" s="195"/>
      <c r="P111" s="195"/>
      <c r="V111" s="171"/>
      <c r="W111" s="172"/>
      <c r="X111" s="172"/>
      <c r="Y111" s="172"/>
      <c r="Z111" s="172"/>
      <c r="AA111" s="172"/>
      <c r="AB111" s="172"/>
      <c r="AC111" s="172"/>
      <c r="AD111" s="172"/>
      <c r="AE111" s="172"/>
      <c r="AF111" s="172"/>
      <c r="AG111" s="172"/>
      <c r="AH111" s="172"/>
      <c r="AI111" s="172"/>
      <c r="AJ111" s="172"/>
      <c r="AK111" s="172"/>
      <c r="AL111" s="172"/>
      <c r="AM111" s="172"/>
      <c r="AN111" s="172"/>
      <c r="AO111" s="172"/>
      <c r="AP111" s="172"/>
      <c r="AQ111" s="172"/>
      <c r="AR111" s="172"/>
      <c r="AS111" s="172"/>
    </row>
    <row r="112" spans="1:45">
      <c r="A112" s="195" t="s">
        <v>586</v>
      </c>
      <c r="B112" s="47">
        <v>0</v>
      </c>
      <c r="C112" s="202">
        <v>0</v>
      </c>
      <c r="D112" s="75" t="s">
        <v>589</v>
      </c>
      <c r="E112" s="195"/>
      <c r="F112" s="195"/>
      <c r="G112" s="195"/>
      <c r="H112" s="195"/>
      <c r="I112" s="195"/>
      <c r="J112" s="195"/>
      <c r="K112" s="195"/>
      <c r="L112" s="195"/>
      <c r="M112" s="195"/>
      <c r="N112" s="195"/>
      <c r="O112" s="195"/>
      <c r="P112" s="195"/>
      <c r="V112" s="171"/>
      <c r="W112" s="172"/>
      <c r="X112" s="172"/>
      <c r="Y112" s="172"/>
      <c r="Z112" s="172"/>
      <c r="AA112" s="172"/>
      <c r="AB112" s="172"/>
      <c r="AC112" s="172"/>
      <c r="AD112" s="172"/>
      <c r="AE112" s="172"/>
      <c r="AF112" s="172"/>
      <c r="AG112" s="172"/>
      <c r="AH112" s="172"/>
      <c r="AI112" s="172"/>
      <c r="AJ112" s="172"/>
      <c r="AK112" s="172"/>
      <c r="AL112" s="172"/>
      <c r="AM112" s="172"/>
      <c r="AN112" s="172"/>
      <c r="AO112" s="172"/>
      <c r="AP112" s="172"/>
      <c r="AQ112" s="172"/>
      <c r="AR112" s="172"/>
      <c r="AS112" s="172"/>
    </row>
    <row r="113" spans="1:45">
      <c r="A113" s="195" t="s">
        <v>966</v>
      </c>
      <c r="B113" s="47">
        <v>0.18400986</v>
      </c>
      <c r="C113" s="202">
        <v>0.18400986</v>
      </c>
      <c r="D113" s="75" t="s">
        <v>742</v>
      </c>
      <c r="E113" s="195"/>
      <c r="F113" s="195"/>
      <c r="G113" s="195"/>
      <c r="H113" s="195"/>
      <c r="I113" s="195"/>
      <c r="J113" s="195"/>
      <c r="K113" s="195"/>
      <c r="L113" s="195"/>
      <c r="M113" s="195"/>
      <c r="N113" s="195"/>
      <c r="O113" s="195"/>
      <c r="P113" s="195"/>
      <c r="V113" s="171"/>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row>
    <row r="114" spans="1:45">
      <c r="A114" s="195" t="s">
        <v>967</v>
      </c>
      <c r="B114" s="47">
        <v>0</v>
      </c>
      <c r="C114" s="202">
        <v>0</v>
      </c>
      <c r="D114" s="75" t="s">
        <v>43</v>
      </c>
      <c r="E114" s="195"/>
      <c r="F114" s="195"/>
      <c r="G114" s="195"/>
      <c r="H114" s="195"/>
      <c r="I114" s="195"/>
      <c r="J114" s="195"/>
      <c r="K114" s="195"/>
      <c r="L114" s="195"/>
      <c r="M114" s="195"/>
      <c r="N114" s="195"/>
      <c r="O114" s="195"/>
      <c r="P114" s="195"/>
      <c r="V114" s="171"/>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row>
    <row r="115" spans="1:45">
      <c r="A115" s="205" t="s">
        <v>367</v>
      </c>
      <c r="B115" s="47">
        <v>0</v>
      </c>
      <c r="C115" s="202">
        <v>0</v>
      </c>
      <c r="D115" s="75" t="s">
        <v>54</v>
      </c>
      <c r="E115" s="195"/>
      <c r="F115" s="195"/>
      <c r="G115" s="195"/>
      <c r="H115" s="195"/>
      <c r="I115" s="195"/>
      <c r="J115" s="195"/>
      <c r="K115" s="195"/>
      <c r="L115" s="195"/>
      <c r="M115" s="195"/>
      <c r="N115" s="195"/>
      <c r="O115" s="195"/>
      <c r="P115" s="195"/>
      <c r="V115" s="171"/>
      <c r="W115" s="172"/>
      <c r="X115" s="172"/>
      <c r="Y115" s="172"/>
      <c r="Z115" s="172"/>
      <c r="AA115" s="172"/>
      <c r="AB115" s="172"/>
      <c r="AC115" s="172"/>
      <c r="AD115" s="172"/>
      <c r="AE115" s="172"/>
      <c r="AF115" s="172"/>
      <c r="AG115" s="172"/>
      <c r="AH115" s="172"/>
      <c r="AI115" s="172"/>
      <c r="AJ115" s="172"/>
      <c r="AK115" s="172"/>
      <c r="AL115" s="172"/>
      <c r="AM115" s="172"/>
      <c r="AN115" s="172"/>
      <c r="AO115" s="172"/>
      <c r="AP115" s="172"/>
      <c r="AQ115" s="172"/>
      <c r="AR115" s="172"/>
      <c r="AS115" s="172"/>
    </row>
    <row r="116" spans="1:45">
      <c r="A116" s="195" t="s">
        <v>587</v>
      </c>
      <c r="B116" s="47">
        <v>4.9990392000000002E-2</v>
      </c>
      <c r="C116" s="202">
        <v>4.9990392000000002E-2</v>
      </c>
      <c r="D116" s="75" t="s">
        <v>55</v>
      </c>
      <c r="E116" s="195"/>
      <c r="F116" s="195"/>
      <c r="G116" s="195"/>
      <c r="H116" s="195"/>
      <c r="I116" s="195"/>
      <c r="J116" s="195"/>
      <c r="K116" s="195"/>
      <c r="L116" s="195"/>
      <c r="M116" s="195"/>
      <c r="N116" s="195"/>
      <c r="O116" s="195"/>
      <c r="P116" s="195"/>
      <c r="V116" s="171"/>
      <c r="W116" s="172"/>
      <c r="X116" s="172"/>
      <c r="Y116" s="172"/>
      <c r="Z116" s="172"/>
      <c r="AA116" s="172"/>
      <c r="AB116" s="172"/>
      <c r="AC116" s="172"/>
      <c r="AD116" s="172"/>
      <c r="AE116" s="172"/>
      <c r="AF116" s="172"/>
      <c r="AG116" s="172"/>
      <c r="AH116" s="172"/>
      <c r="AI116" s="172"/>
      <c r="AJ116" s="172"/>
      <c r="AK116" s="172"/>
      <c r="AL116" s="172"/>
      <c r="AM116" s="172"/>
      <c r="AN116" s="172"/>
      <c r="AO116" s="172"/>
      <c r="AP116" s="172"/>
      <c r="AQ116" s="172"/>
      <c r="AR116" s="172"/>
      <c r="AS116" s="172"/>
    </row>
    <row r="117" spans="1:45">
      <c r="A117" s="195" t="s">
        <v>404</v>
      </c>
      <c r="B117" s="47">
        <v>47.354589625657709</v>
      </c>
      <c r="C117" s="202">
        <v>47.354589625657709</v>
      </c>
      <c r="D117" s="75" t="s">
        <v>106</v>
      </c>
      <c r="E117" s="195"/>
      <c r="F117" s="195"/>
      <c r="G117" s="195"/>
      <c r="H117" s="195"/>
      <c r="I117" s="195"/>
      <c r="J117" s="195"/>
      <c r="K117" s="195"/>
      <c r="L117" s="195"/>
      <c r="M117" s="195"/>
      <c r="N117" s="195"/>
      <c r="O117" s="195"/>
      <c r="P117" s="195"/>
      <c r="V117" s="171"/>
      <c r="W117" s="172"/>
      <c r="X117" s="172"/>
      <c r="Y117" s="172"/>
      <c r="Z117" s="172"/>
      <c r="AA117" s="172"/>
      <c r="AB117" s="172"/>
      <c r="AC117" s="172"/>
      <c r="AD117" s="172"/>
      <c r="AE117" s="172"/>
      <c r="AF117" s="172"/>
      <c r="AG117" s="172"/>
      <c r="AH117" s="172"/>
      <c r="AI117" s="172"/>
      <c r="AJ117" s="172"/>
      <c r="AK117" s="172"/>
      <c r="AL117" s="172"/>
      <c r="AM117" s="172"/>
      <c r="AN117" s="172"/>
      <c r="AO117" s="172"/>
      <c r="AP117" s="172"/>
      <c r="AQ117" s="172"/>
      <c r="AR117" s="172"/>
      <c r="AS117" s="172"/>
    </row>
    <row r="118" spans="1:45">
      <c r="A118" s="195" t="s">
        <v>408</v>
      </c>
      <c r="B118" s="45">
        <v>30.534840000000003</v>
      </c>
      <c r="C118" s="202">
        <v>30.534840000000003</v>
      </c>
      <c r="D118" s="75" t="s">
        <v>573</v>
      </c>
      <c r="E118" s="195"/>
      <c r="F118" s="195"/>
      <c r="G118" s="195"/>
      <c r="H118" s="195"/>
      <c r="I118" s="195"/>
      <c r="J118" s="195"/>
      <c r="K118" s="211"/>
      <c r="L118" s="198" t="s">
        <v>250</v>
      </c>
      <c r="M118" s="195"/>
      <c r="N118" s="195"/>
      <c r="O118" s="195"/>
      <c r="P118" s="195"/>
      <c r="V118" s="171"/>
      <c r="W118" s="172"/>
      <c r="X118" s="172"/>
      <c r="Y118" s="172"/>
      <c r="Z118" s="172"/>
      <c r="AA118" s="172"/>
      <c r="AB118" s="172"/>
      <c r="AC118" s="172"/>
      <c r="AD118" s="172"/>
      <c r="AE118" s="172"/>
      <c r="AF118" s="172"/>
      <c r="AG118" s="172"/>
      <c r="AH118" s="172"/>
      <c r="AI118" s="172"/>
      <c r="AJ118" s="172"/>
      <c r="AK118" s="172"/>
      <c r="AL118" s="172"/>
      <c r="AM118" s="172"/>
      <c r="AN118" s="172"/>
      <c r="AO118" s="172"/>
      <c r="AP118" s="172"/>
      <c r="AQ118" s="172"/>
      <c r="AR118" s="172"/>
      <c r="AS118" s="172"/>
    </row>
    <row r="119" spans="1:45">
      <c r="A119" s="195" t="s">
        <v>578</v>
      </c>
      <c r="B119" s="45">
        <v>0</v>
      </c>
      <c r="C119" s="202">
        <v>0</v>
      </c>
      <c r="D119" s="75" t="s">
        <v>579</v>
      </c>
      <c r="E119" s="195"/>
      <c r="F119" s="195"/>
      <c r="G119" s="195"/>
      <c r="H119" s="195"/>
      <c r="I119" s="195"/>
      <c r="J119" s="195"/>
      <c r="K119" s="211"/>
      <c r="L119" s="198"/>
      <c r="M119" s="195"/>
      <c r="N119" s="195"/>
      <c r="O119" s="195"/>
      <c r="P119" s="195"/>
      <c r="V119" s="171"/>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row>
    <row r="120" spans="1:45">
      <c r="A120" s="195" t="s">
        <v>602</v>
      </c>
      <c r="B120" s="45">
        <v>0</v>
      </c>
      <c r="C120" s="202">
        <v>0</v>
      </c>
      <c r="D120" s="75" t="s">
        <v>580</v>
      </c>
      <c r="E120" s="195"/>
      <c r="F120" s="195"/>
      <c r="G120" s="195"/>
      <c r="H120" s="195"/>
      <c r="I120" s="195"/>
      <c r="J120" s="195"/>
      <c r="K120" s="211"/>
      <c r="L120" s="198"/>
      <c r="M120" s="195"/>
      <c r="N120" s="195"/>
      <c r="O120" s="195"/>
      <c r="P120" s="195"/>
      <c r="V120" s="171"/>
      <c r="W120" s="172"/>
      <c r="X120" s="172"/>
      <c r="Y120" s="172"/>
      <c r="Z120" s="172"/>
      <c r="AA120" s="172"/>
      <c r="AB120" s="172"/>
      <c r="AC120" s="172"/>
      <c r="AD120" s="172"/>
      <c r="AE120" s="172"/>
      <c r="AF120" s="172"/>
      <c r="AG120" s="172"/>
      <c r="AH120" s="172"/>
      <c r="AI120" s="172"/>
      <c r="AJ120" s="172"/>
      <c r="AK120" s="172"/>
      <c r="AL120" s="172"/>
      <c r="AM120" s="172"/>
      <c r="AN120" s="172"/>
      <c r="AO120" s="172"/>
      <c r="AP120" s="172"/>
      <c r="AQ120" s="172"/>
      <c r="AR120" s="172"/>
      <c r="AS120" s="172"/>
    </row>
    <row r="121" spans="1:45">
      <c r="A121" s="195" t="s">
        <v>406</v>
      </c>
      <c r="B121" s="47">
        <v>94.789299868241912</v>
      </c>
      <c r="C121" s="202">
        <v>94.789299868241912</v>
      </c>
      <c r="D121" s="356">
        <f>(B121-C121)/B121</f>
        <v>0</v>
      </c>
      <c r="E121" s="195"/>
      <c r="F121" s="195"/>
      <c r="G121" s="195"/>
      <c r="H121" s="195"/>
      <c r="I121" s="195"/>
      <c r="J121" s="195"/>
      <c r="K121" s="211"/>
      <c r="L121" s="198"/>
      <c r="M121" s="195"/>
      <c r="N121" s="195"/>
      <c r="O121" s="195"/>
      <c r="P121" s="195"/>
    </row>
    <row r="122" spans="1:45">
      <c r="A122" s="195"/>
      <c r="B122" s="47"/>
      <c r="C122" s="202"/>
      <c r="D122" s="356"/>
      <c r="E122" s="195"/>
      <c r="F122" s="195"/>
      <c r="G122" s="195"/>
      <c r="H122" s="195"/>
      <c r="I122" s="195"/>
      <c r="J122" s="195"/>
      <c r="K122" s="211"/>
      <c r="L122" s="198"/>
      <c r="M122" s="195"/>
      <c r="N122" s="195"/>
      <c r="O122" s="195"/>
      <c r="P122" s="195"/>
    </row>
    <row r="123" spans="1:45">
      <c r="A123" s="195"/>
      <c r="B123" s="195"/>
      <c r="C123" s="195"/>
      <c r="D123" s="195"/>
      <c r="E123" s="195"/>
      <c r="F123" s="195"/>
      <c r="G123" s="195"/>
      <c r="H123" s="195"/>
      <c r="I123" s="195"/>
      <c r="J123" s="195"/>
      <c r="K123" s="211"/>
      <c r="L123" s="198"/>
      <c r="M123" s="195"/>
      <c r="N123" s="195"/>
      <c r="O123" s="195"/>
      <c r="P123" s="195"/>
    </row>
    <row r="124" spans="1:45" ht="18">
      <c r="A124" s="131" t="s">
        <v>526</v>
      </c>
      <c r="B124" s="98"/>
      <c r="C124" s="98"/>
      <c r="D124" s="98"/>
      <c r="E124" s="98"/>
      <c r="F124" s="98"/>
      <c r="G124" s="98"/>
      <c r="H124" s="181" t="s">
        <v>522</v>
      </c>
      <c r="I124" s="182"/>
      <c r="J124" s="182"/>
      <c r="K124" s="211"/>
      <c r="L124" s="198"/>
      <c r="M124" s="195"/>
      <c r="N124" s="195"/>
      <c r="O124" s="195"/>
      <c r="P124" s="195"/>
      <c r="Q124" s="9"/>
      <c r="V124" s="171"/>
    </row>
    <row r="125" spans="1:45" s="35" customFormat="1" ht="22.5">
      <c r="A125" s="236"/>
      <c r="B125" s="235" t="s">
        <v>213</v>
      </c>
      <c r="C125" s="235" t="s">
        <v>105</v>
      </c>
      <c r="D125" s="235" t="s">
        <v>179</v>
      </c>
      <c r="E125" s="235" t="s">
        <v>104</v>
      </c>
      <c r="F125" s="235" t="s">
        <v>180</v>
      </c>
      <c r="G125" s="235" t="s">
        <v>181</v>
      </c>
      <c r="H125" s="237" t="s">
        <v>72</v>
      </c>
      <c r="I125" s="237" t="s">
        <v>216</v>
      </c>
      <c r="J125" s="235"/>
      <c r="K125" s="229"/>
      <c r="L125" s="198"/>
      <c r="M125" s="195"/>
      <c r="N125" s="195"/>
      <c r="O125" s="195"/>
      <c r="P125" s="195"/>
      <c r="V125" s="171"/>
      <c r="W125" s="172"/>
      <c r="X125" s="172"/>
      <c r="Y125" s="172"/>
      <c r="Z125" s="172"/>
      <c r="AA125" s="172"/>
      <c r="AB125" s="172"/>
      <c r="AC125" s="172"/>
      <c r="AD125" s="172"/>
      <c r="AE125" s="172"/>
      <c r="AF125" s="172"/>
      <c r="AG125" s="172"/>
      <c r="AH125" s="172"/>
      <c r="AI125" s="172"/>
      <c r="AJ125" s="172"/>
      <c r="AK125" s="172"/>
      <c r="AL125" s="172"/>
      <c r="AM125" s="172"/>
      <c r="AN125" s="172"/>
      <c r="AO125" s="172"/>
      <c r="AP125" s="172"/>
      <c r="AQ125" s="172"/>
      <c r="AR125" s="172"/>
      <c r="AS125" s="172"/>
    </row>
    <row r="126" spans="1:45">
      <c r="A126" s="195"/>
      <c r="B126" s="262" t="s">
        <v>214</v>
      </c>
      <c r="C126" s="262" t="s">
        <v>610</v>
      </c>
      <c r="D126" s="262" t="s">
        <v>235</v>
      </c>
      <c r="E126" s="262" t="s">
        <v>103</v>
      </c>
      <c r="F126" s="262" t="s">
        <v>71</v>
      </c>
      <c r="G126" s="262" t="s">
        <v>70</v>
      </c>
      <c r="H126" s="262" t="s">
        <v>482</v>
      </c>
      <c r="I126" s="262" t="s">
        <v>215</v>
      </c>
      <c r="J126" s="205" t="s">
        <v>248</v>
      </c>
      <c r="K126" s="195"/>
      <c r="L126" s="198"/>
      <c r="M126" s="195"/>
      <c r="N126" s="195"/>
      <c r="O126" s="195"/>
      <c r="P126" s="195"/>
      <c r="V126" s="171"/>
      <c r="W126" s="172"/>
      <c r="X126" s="172"/>
      <c r="Y126" s="172"/>
      <c r="Z126" s="172"/>
      <c r="AA126" s="172"/>
      <c r="AB126" s="172"/>
      <c r="AC126" s="172"/>
      <c r="AD126" s="172"/>
      <c r="AE126" s="172"/>
      <c r="AF126" s="172"/>
      <c r="AG126" s="172"/>
      <c r="AH126" s="172"/>
      <c r="AI126" s="172"/>
      <c r="AJ126" s="172"/>
      <c r="AK126" s="172"/>
      <c r="AL126" s="172"/>
      <c r="AM126" s="172"/>
      <c r="AN126" s="172"/>
      <c r="AO126" s="172"/>
      <c r="AP126" s="172"/>
      <c r="AQ126" s="172"/>
      <c r="AR126" s="172"/>
      <c r="AS126" s="172"/>
    </row>
    <row r="127" spans="1:45">
      <c r="A127" s="211" t="s">
        <v>244</v>
      </c>
      <c r="B127" s="77">
        <f t="shared" ref="B127:B137" ca="1" si="30">1-SUM(C127:I127)</f>
        <v>0.72</v>
      </c>
      <c r="C127" s="41">
        <f ca="1">SUMIF(OFFSET(CalibData!$M$3,1,0,$Q$2),ROW()+COLUMN()/100,OFFSET(CalibData!$N$3,1,0,$Q$2))</f>
        <v>0</v>
      </c>
      <c r="D127" s="41">
        <f ca="1">SUMIF(OFFSET(CalibData!$M$3,1,0,$Q$2),ROW()+COLUMN()/100,OFFSET(CalibData!$N$3,1,0,$Q$2))</f>
        <v>0.18</v>
      </c>
      <c r="E127" s="227">
        <v>0</v>
      </c>
      <c r="F127" s="41">
        <f ca="1">SUMIF(OFFSET(CalibData!$M$3,1,0,$Q$2),ROW()+COLUMN()/100,OFFSET(CalibData!$N$3,1,0,$Q$2))</f>
        <v>0.1</v>
      </c>
      <c r="G127" s="227"/>
      <c r="H127" s="227"/>
      <c r="I127" s="41">
        <f ca="1">SUMIF(OFFSET(CalibData!$M$3,1,0,$Q$2),ROW()+COLUMN()/100,OFFSET(CalibData!$N$3,1,0,$Q$2))</f>
        <v>0</v>
      </c>
      <c r="J127" s="212">
        <f t="shared" ref="J127:J137" ca="1" si="31">SUM(B127:I127)</f>
        <v>0.99999999999999989</v>
      </c>
      <c r="K127" s="220" t="str">
        <f t="shared" ref="K127:K137" ca="1" si="32">IF(G99&gt;0,IF(J127&lt;&gt;1,"ERROR",""),"")</f>
        <v/>
      </c>
      <c r="L127" s="198"/>
      <c r="M127" s="195"/>
      <c r="N127" s="195"/>
      <c r="O127" s="195"/>
      <c r="P127" s="195"/>
      <c r="V127" s="171"/>
      <c r="W127" s="172"/>
      <c r="X127" s="172"/>
      <c r="Y127" s="172"/>
      <c r="Z127" s="172"/>
      <c r="AA127" s="172"/>
      <c r="AB127" s="172"/>
      <c r="AC127" s="172"/>
      <c r="AD127" s="172"/>
      <c r="AE127" s="172"/>
      <c r="AF127" s="172"/>
      <c r="AG127" s="172"/>
      <c r="AH127" s="172"/>
      <c r="AI127" s="172"/>
      <c r="AJ127" s="172"/>
      <c r="AK127" s="172"/>
      <c r="AL127" s="172"/>
      <c r="AM127" s="172"/>
      <c r="AN127" s="172"/>
      <c r="AO127" s="172"/>
      <c r="AP127" s="172"/>
      <c r="AQ127" s="172"/>
      <c r="AR127" s="172"/>
      <c r="AS127" s="172"/>
    </row>
    <row r="128" spans="1:45">
      <c r="A128" s="211" t="s">
        <v>663</v>
      </c>
      <c r="B128" s="77">
        <f t="shared" ca="1" si="30"/>
        <v>0.75189289347684718</v>
      </c>
      <c r="C128" s="41">
        <f ca="1">SUMIF(OFFSET(CalibData!$M$3,1,0,$Q$2),ROW()+COLUMN()/100,OFFSET(CalibData!$N$3,1,0,$Q$2))</f>
        <v>0</v>
      </c>
      <c r="D128" s="41">
        <f ca="1">SUMIF(OFFSET(CalibData!$M$3,1,0,$Q$2),ROW()+COLUMN()/100,OFFSET(CalibData!$N$3,1,0,$Q$2))</f>
        <v>0.18797322336921182</v>
      </c>
      <c r="E128" s="227">
        <v>0</v>
      </c>
      <c r="F128" s="41">
        <f ca="1">SUMIF(OFFSET(CalibData!$M$3,1,0,$Q$2),ROW()+COLUMN()/100,OFFSET(CalibData!$N$3,1,0,$Q$2))</f>
        <v>0</v>
      </c>
      <c r="G128" s="227"/>
      <c r="H128" s="227"/>
      <c r="I128" s="41">
        <f ca="1">SUMIF(OFFSET(CalibData!$M$3,1,0,$Q$2),ROW()+COLUMN()/100,OFFSET(CalibData!$N$3,1,0,$Q$2))</f>
        <v>6.0133883153940991E-2</v>
      </c>
      <c r="J128" s="212">
        <f t="shared" ca="1" si="31"/>
        <v>1</v>
      </c>
      <c r="K128" s="220" t="str">
        <f t="shared" ca="1" si="32"/>
        <v/>
      </c>
      <c r="L128" s="198"/>
      <c r="M128" s="195"/>
      <c r="N128" s="195"/>
      <c r="O128" s="195"/>
      <c r="P128" s="195"/>
      <c r="V128" s="171"/>
      <c r="W128" s="172"/>
      <c r="X128" s="172"/>
      <c r="Y128" s="172"/>
      <c r="Z128" s="172"/>
      <c r="AA128" s="172"/>
      <c r="AB128" s="172"/>
      <c r="AC128" s="172"/>
      <c r="AD128" s="172"/>
      <c r="AE128" s="172"/>
      <c r="AF128" s="172"/>
      <c r="AG128" s="172"/>
      <c r="AH128" s="172"/>
      <c r="AI128" s="172"/>
      <c r="AJ128" s="172"/>
      <c r="AK128" s="172"/>
      <c r="AL128" s="172"/>
      <c r="AM128" s="172"/>
      <c r="AN128" s="172"/>
      <c r="AO128" s="172"/>
      <c r="AP128" s="172"/>
      <c r="AQ128" s="172"/>
      <c r="AR128" s="172"/>
      <c r="AS128" s="172"/>
    </row>
    <row r="129" spans="1:45">
      <c r="A129" s="211" t="s">
        <v>87</v>
      </c>
      <c r="B129" s="77">
        <f t="shared" ca="1" si="30"/>
        <v>0.8</v>
      </c>
      <c r="C129" s="227"/>
      <c r="D129" s="41">
        <f ca="1">SUMIF(OFFSET(CalibData!$M$3,1,0,$Q$2),ROW()+COLUMN()/100,OFFSET(CalibData!$N$3,1,0,$Q$2))</f>
        <v>0.2</v>
      </c>
      <c r="E129" s="227"/>
      <c r="F129" s="227"/>
      <c r="G129" s="227"/>
      <c r="H129" s="227"/>
      <c r="I129" s="227"/>
      <c r="J129" s="212">
        <f t="shared" ca="1" si="31"/>
        <v>1</v>
      </c>
      <c r="K129" s="220" t="str">
        <f t="shared" ca="1" si="32"/>
        <v/>
      </c>
      <c r="L129" s="198"/>
      <c r="M129" s="195"/>
      <c r="N129" s="195"/>
      <c r="O129" s="195"/>
      <c r="P129" s="195"/>
      <c r="V129" s="171"/>
      <c r="W129" s="172"/>
      <c r="X129" s="172"/>
      <c r="Y129" s="172"/>
      <c r="Z129" s="172"/>
      <c r="AA129" s="172"/>
      <c r="AB129" s="172"/>
      <c r="AC129" s="172"/>
      <c r="AD129" s="172"/>
      <c r="AE129" s="172"/>
      <c r="AF129" s="172"/>
      <c r="AG129" s="172"/>
      <c r="AH129" s="172"/>
      <c r="AI129" s="172"/>
      <c r="AJ129" s="172"/>
      <c r="AK129" s="172"/>
      <c r="AL129" s="172"/>
      <c r="AM129" s="172"/>
      <c r="AN129" s="172"/>
      <c r="AO129" s="172"/>
      <c r="AP129" s="172"/>
      <c r="AQ129" s="172"/>
      <c r="AR129" s="172"/>
      <c r="AS129" s="172"/>
    </row>
    <row r="130" spans="1:45">
      <c r="A130" s="211" t="s">
        <v>576</v>
      </c>
      <c r="B130" s="77">
        <f t="shared" ca="1" si="30"/>
        <v>0.8</v>
      </c>
      <c r="C130" s="227"/>
      <c r="D130" s="41">
        <f ca="1">SUMIF(OFFSET(CalibData!$M$3,1,0,$Q$2),ROW()+COLUMN()/100,OFFSET(CalibData!$N$3,1,0,$Q$2))</f>
        <v>0.2</v>
      </c>
      <c r="E130" s="41">
        <f ca="1">SUMIF(OFFSET(CalibData!$M$3,1,0,$Q$2),ROW()+COLUMN()/100,OFFSET(CalibData!$N$3,1,0,$Q$2))</f>
        <v>0</v>
      </c>
      <c r="F130" s="41">
        <f ca="1">SUMIF(OFFSET(CalibData!$M$3,1,0,$Q$2),ROW()+COLUMN()/100,OFFSET(CalibData!$N$3,1,0,$Q$2))</f>
        <v>0</v>
      </c>
      <c r="G130" s="227"/>
      <c r="H130" s="227"/>
      <c r="I130" s="227"/>
      <c r="J130" s="212">
        <f t="shared" ca="1" si="31"/>
        <v>1</v>
      </c>
      <c r="K130" s="220" t="str">
        <f t="shared" si="32"/>
        <v/>
      </c>
      <c r="L130" s="198"/>
      <c r="M130" s="195"/>
      <c r="N130" s="195"/>
      <c r="O130" s="195"/>
      <c r="P130" s="195"/>
      <c r="V130" s="171"/>
      <c r="W130" s="172"/>
      <c r="X130" s="172"/>
      <c r="Y130" s="172"/>
      <c r="Z130" s="172"/>
      <c r="AA130" s="172"/>
      <c r="AB130" s="172"/>
      <c r="AC130" s="172"/>
      <c r="AD130" s="172"/>
      <c r="AE130" s="172"/>
      <c r="AF130" s="172"/>
      <c r="AG130" s="172"/>
      <c r="AH130" s="172"/>
      <c r="AI130" s="172"/>
      <c r="AJ130" s="172"/>
      <c r="AK130" s="172"/>
      <c r="AL130" s="172"/>
      <c r="AM130" s="172"/>
      <c r="AN130" s="172"/>
      <c r="AO130" s="172"/>
      <c r="AP130" s="172"/>
      <c r="AQ130" s="172"/>
      <c r="AR130" s="172"/>
      <c r="AS130" s="172"/>
    </row>
    <row r="131" spans="1:45">
      <c r="A131" s="211" t="s">
        <v>412</v>
      </c>
      <c r="B131" s="77">
        <f t="shared" ca="1" si="30"/>
        <v>0.8</v>
      </c>
      <c r="C131" s="227"/>
      <c r="D131" s="41">
        <f ca="1">SUMIF(OFFSET(CalibData!$M$3,1,0,$Q$2),ROW()+COLUMN()/100,OFFSET(CalibData!$N$3,1,0,$Q$2))</f>
        <v>0.2</v>
      </c>
      <c r="E131" s="227"/>
      <c r="F131" s="41">
        <f ca="1">SUMIF(OFFSET(CalibData!$M$3,1,0,$Q$2),ROW()+COLUMN()/100,OFFSET(CalibData!$N$3,1,0,$Q$2))</f>
        <v>0</v>
      </c>
      <c r="G131" s="227"/>
      <c r="H131" s="227"/>
      <c r="I131" s="227"/>
      <c r="J131" s="212">
        <f t="shared" ca="1" si="31"/>
        <v>1</v>
      </c>
      <c r="K131" s="220" t="str">
        <f t="shared" ca="1" si="32"/>
        <v/>
      </c>
      <c r="L131" s="198"/>
      <c r="M131" s="195"/>
      <c r="N131" s="195"/>
      <c r="O131" s="195"/>
      <c r="P131" s="195"/>
      <c r="V131" s="171"/>
      <c r="W131" s="172"/>
      <c r="X131" s="172"/>
      <c r="Y131" s="172"/>
      <c r="Z131" s="172"/>
      <c r="AA131" s="172"/>
      <c r="AB131" s="172"/>
      <c r="AC131" s="172"/>
      <c r="AD131" s="172"/>
      <c r="AE131" s="172"/>
      <c r="AF131" s="172"/>
      <c r="AG131" s="172"/>
      <c r="AH131" s="172"/>
      <c r="AI131" s="172"/>
      <c r="AJ131" s="172"/>
      <c r="AK131" s="172"/>
      <c r="AL131" s="172"/>
      <c r="AM131" s="172"/>
      <c r="AN131" s="172"/>
      <c r="AO131" s="172"/>
      <c r="AP131" s="172"/>
      <c r="AQ131" s="172"/>
      <c r="AR131" s="172"/>
      <c r="AS131" s="172"/>
    </row>
    <row r="132" spans="1:45">
      <c r="A132" s="211" t="s">
        <v>212</v>
      </c>
      <c r="B132" s="77">
        <f t="shared" ca="1" si="30"/>
        <v>0.44999999999999996</v>
      </c>
      <c r="C132" s="227">
        <v>0</v>
      </c>
      <c r="D132" s="41">
        <f ca="1">SUMIF(OFFSET(CalibData!$M$3,1,0,$Q$2),ROW()+COLUMN()/100,OFFSET(CalibData!$N$3,1,0,$Q$2))</f>
        <v>0.3</v>
      </c>
      <c r="E132" s="227"/>
      <c r="F132" s="41">
        <f ca="1">SUMIF(OFFSET(CalibData!$M$3,1,0,$Q$2),ROW()+COLUMN()/100,OFFSET(CalibData!$N$3,1,0,$Q$2))</f>
        <v>0.25</v>
      </c>
      <c r="G132" s="227"/>
      <c r="H132" s="227"/>
      <c r="I132" s="227"/>
      <c r="J132" s="212">
        <f t="shared" ca="1" si="31"/>
        <v>1</v>
      </c>
      <c r="K132" s="220" t="str">
        <f t="shared" si="32"/>
        <v/>
      </c>
      <c r="L132" s="198"/>
      <c r="M132" s="195"/>
      <c r="N132" s="195"/>
      <c r="O132" s="195"/>
      <c r="P132" s="195"/>
      <c r="V132" s="171"/>
      <c r="W132" s="172"/>
      <c r="X132" s="172"/>
      <c r="Y132" s="172"/>
      <c r="Z132" s="172"/>
      <c r="AA132" s="172"/>
      <c r="AB132" s="172"/>
      <c r="AC132" s="172"/>
      <c r="AD132" s="172"/>
      <c r="AE132" s="172"/>
      <c r="AF132" s="172"/>
      <c r="AG132" s="172"/>
      <c r="AH132" s="172"/>
      <c r="AI132" s="172"/>
      <c r="AJ132" s="172"/>
      <c r="AK132" s="172"/>
      <c r="AL132" s="172"/>
      <c r="AM132" s="172"/>
      <c r="AN132" s="172"/>
      <c r="AO132" s="172"/>
      <c r="AP132" s="172"/>
      <c r="AQ132" s="172"/>
      <c r="AR132" s="172"/>
      <c r="AS132" s="172"/>
    </row>
    <row r="133" spans="1:45">
      <c r="A133" s="211" t="s">
        <v>588</v>
      </c>
      <c r="B133" s="77">
        <f t="shared" ca="1" si="30"/>
        <v>1</v>
      </c>
      <c r="C133" s="227"/>
      <c r="D133" s="41">
        <f ca="1">SUMIF(OFFSET(CalibData!$M$3,1,0,$Q$2),ROW()+COLUMN()/100,OFFSET(CalibData!$N$3,1,0,$Q$2))</f>
        <v>0</v>
      </c>
      <c r="E133" s="227"/>
      <c r="F133" s="41">
        <f ca="1">SUMIF(OFFSET(CalibData!$M$3,1,0,$Q$2),ROW()+COLUMN()/100,OFFSET(CalibData!$N$3,1,0,$Q$2))</f>
        <v>0</v>
      </c>
      <c r="G133" s="227"/>
      <c r="H133" s="227"/>
      <c r="I133" s="227"/>
      <c r="J133" s="212">
        <f t="shared" ca="1" si="31"/>
        <v>1</v>
      </c>
      <c r="K133" s="220" t="str">
        <f t="shared" ca="1" si="32"/>
        <v/>
      </c>
      <c r="L133" s="198"/>
      <c r="M133" s="195"/>
      <c r="N133" s="195"/>
      <c r="O133" s="195"/>
      <c r="P133" s="195"/>
      <c r="V133" s="171"/>
      <c r="W133" s="172"/>
      <c r="X133" s="172"/>
      <c r="Y133" s="172"/>
      <c r="Z133" s="172"/>
      <c r="AA133" s="172"/>
      <c r="AB133" s="172"/>
      <c r="AC133" s="172"/>
      <c r="AD133" s="172"/>
      <c r="AE133" s="172"/>
      <c r="AF133" s="172"/>
      <c r="AG133" s="172"/>
      <c r="AH133" s="172"/>
      <c r="AI133" s="172"/>
      <c r="AJ133" s="172"/>
      <c r="AK133" s="172"/>
      <c r="AL133" s="172"/>
      <c r="AM133" s="172"/>
      <c r="AN133" s="172"/>
      <c r="AO133" s="172"/>
      <c r="AP133" s="172"/>
      <c r="AQ133" s="172"/>
      <c r="AR133" s="172"/>
      <c r="AS133" s="172"/>
    </row>
    <row r="134" spans="1:45">
      <c r="A134" s="211" t="s">
        <v>247</v>
      </c>
      <c r="B134" s="77">
        <f t="shared" ca="1" si="30"/>
        <v>0.13878374833131435</v>
      </c>
      <c r="C134" s="41">
        <f ca="1">SUMIF(OFFSET(CalibData!$M$3,1,0,$Q$2),ROW()+COLUMN()/100,OFFSET(CalibData!$N$3,1,0,$Q$2))</f>
        <v>3.7689326345115071E-2</v>
      </c>
      <c r="D134" s="41">
        <f ca="1">SUMIF(OFFSET(CalibData!$M$3,1,0,$Q$2),ROW()+COLUMN()/100,OFFSET(CalibData!$N$3,1,0,$Q$2))</f>
        <v>3.4695937082828601E-2</v>
      </c>
      <c r="E134" s="41">
        <f ca="1">SUMIF(OFFSET(CalibData!$M$3,1,0,$Q$2),ROW()+COLUMN()/100,OFFSET(CalibData!$N$3,1,0,$Q$2))</f>
        <v>0.2644865006674742</v>
      </c>
      <c r="F134" s="41">
        <f ca="1">SUMIF(OFFSET(CalibData!$M$3,1,0,$Q$2),ROW()+COLUMN()/100,OFFSET(CalibData!$N$3,1,0,$Q$2))</f>
        <v>0.04</v>
      </c>
      <c r="G134" s="41">
        <f ca="1">SUMIF(OFFSET(CalibData!$M$3,1,0,$Q$2),ROW()+COLUMN()/100,OFFSET(CalibData!$N$3,1,0,$Q$2))</f>
        <v>7.0000000000000007E-2</v>
      </c>
      <c r="H134" s="41">
        <f ca="1">SUMIF(OFFSET(CalibData!$M$3,1,0,$Q$2),ROW()+COLUMN()/100,OFFSET(CalibData!$N$3,1,0,$Q$2))</f>
        <v>6.6528850531260689E-2</v>
      </c>
      <c r="I134" s="41">
        <f ca="1">SUMIF(OFFSET(CalibData!$M$3,1,0,$Q$2),ROW()+COLUMN()/100,OFFSET(CalibData!$N$3,1,0,$Q$2))</f>
        <v>0.34781563704200713</v>
      </c>
      <c r="J134" s="212">
        <f t="shared" ca="1" si="31"/>
        <v>1</v>
      </c>
      <c r="K134" s="220" t="str">
        <f t="shared" ca="1" si="32"/>
        <v/>
      </c>
      <c r="L134" s="198"/>
      <c r="M134" s="195"/>
      <c r="N134" s="195"/>
      <c r="O134" s="195"/>
      <c r="P134" s="195"/>
    </row>
    <row r="135" spans="1:45">
      <c r="A135" s="211" t="s">
        <v>414</v>
      </c>
      <c r="B135" s="77">
        <f t="shared" ca="1" si="30"/>
        <v>0.79806199341077755</v>
      </c>
      <c r="C135" s="41">
        <f ca="1">SUMIF(OFFSET(CalibData!$M$3,1,0,$Q$2),ROW()+COLUMN()/100,OFFSET(CalibData!$N$3,1,0,$Q$2))</f>
        <v>1.9380065892224034E-3</v>
      </c>
      <c r="D135" s="41">
        <f ca="1">SUMIF(OFFSET(CalibData!$M$3,1,0,$Q$2),ROW()+COLUMN()/100,OFFSET(CalibData!$N$3,1,0,$Q$2))</f>
        <v>0.2</v>
      </c>
      <c r="E135" s="227"/>
      <c r="F135" s="227"/>
      <c r="G135" s="227"/>
      <c r="H135" s="227"/>
      <c r="I135" s="227"/>
      <c r="J135" s="212">
        <f t="shared" ca="1" si="31"/>
        <v>1</v>
      </c>
      <c r="K135" s="220" t="str">
        <f t="shared" ca="1" si="32"/>
        <v/>
      </c>
      <c r="L135" s="198"/>
      <c r="M135" s="195"/>
      <c r="N135" s="195"/>
      <c r="O135" s="195"/>
      <c r="P135" s="195"/>
      <c r="V135" s="171"/>
    </row>
    <row r="136" spans="1:45">
      <c r="A136" s="211" t="s">
        <v>245</v>
      </c>
      <c r="B136" s="77">
        <f t="shared" ca="1" si="30"/>
        <v>1</v>
      </c>
      <c r="C136" s="41">
        <f ca="1">SUMIF(OFFSET(CalibData!$M$3,1,0,$Q$2),ROW()+COLUMN()/100,OFFSET(CalibData!$N$3,1,0,$Q$2))</f>
        <v>0</v>
      </c>
      <c r="D136" s="41">
        <f ca="1">SUMIF(OFFSET(CalibData!$M$3,1,0,$Q$2),ROW()+COLUMN()/100,OFFSET(CalibData!$N$3,1,0,$Q$2))</f>
        <v>0</v>
      </c>
      <c r="E136" s="227"/>
      <c r="F136" s="227"/>
      <c r="G136" s="227"/>
      <c r="H136" s="227"/>
      <c r="I136" s="227"/>
      <c r="J136" s="212">
        <f t="shared" ca="1" si="31"/>
        <v>1</v>
      </c>
      <c r="K136" s="220" t="str">
        <f t="shared" si="32"/>
        <v/>
      </c>
      <c r="L136" s="198"/>
      <c r="M136" s="195"/>
      <c r="N136" s="195"/>
      <c r="O136" s="195"/>
      <c r="P136" s="195"/>
      <c r="V136" s="171"/>
      <c r="W136" s="172"/>
      <c r="X136" s="172"/>
      <c r="Y136" s="172"/>
      <c r="Z136" s="172"/>
      <c r="AA136" s="172"/>
      <c r="AB136" s="172"/>
      <c r="AC136" s="172"/>
      <c r="AD136" s="172"/>
      <c r="AE136" s="172"/>
      <c r="AF136" s="172"/>
      <c r="AG136" s="172"/>
      <c r="AH136" s="172"/>
      <c r="AI136" s="172"/>
      <c r="AJ136" s="172"/>
      <c r="AK136" s="172"/>
      <c r="AL136" s="172"/>
      <c r="AM136" s="172"/>
      <c r="AN136" s="172"/>
      <c r="AO136" s="172"/>
      <c r="AP136" s="172"/>
      <c r="AQ136" s="172"/>
      <c r="AR136" s="172"/>
      <c r="AS136" s="172"/>
    </row>
    <row r="137" spans="1:45">
      <c r="A137" s="211" t="s">
        <v>246</v>
      </c>
      <c r="B137" s="227">
        <f t="shared" ca="1" si="30"/>
        <v>1</v>
      </c>
      <c r="C137" s="227"/>
      <c r="D137" s="41">
        <f ca="1">SUMIF(OFFSET(CalibData!$M$3,1,0,$Q$2),ROW()+COLUMN()/100,OFFSET(CalibData!$N$3,1,0,$Q$2))</f>
        <v>0</v>
      </c>
      <c r="E137" s="227"/>
      <c r="F137" s="41">
        <f ca="1">SUMIF(OFFSET(CalibData!$M$3,1,0,$Q$2),ROW()+COLUMN()/100,OFFSET(CalibData!$N$3,1,0,$Q$2))</f>
        <v>0</v>
      </c>
      <c r="G137" s="227"/>
      <c r="H137" s="227"/>
      <c r="I137" s="227"/>
      <c r="J137" s="212">
        <f t="shared" ca="1" si="31"/>
        <v>1</v>
      </c>
      <c r="K137" s="220" t="str">
        <f t="shared" si="32"/>
        <v/>
      </c>
      <c r="L137" s="198"/>
      <c r="M137" s="195"/>
      <c r="N137" s="195"/>
      <c r="O137" s="195"/>
      <c r="P137" s="195"/>
      <c r="V137" s="171"/>
      <c r="W137" s="172"/>
      <c r="X137" s="172"/>
      <c r="Y137" s="172"/>
      <c r="Z137" s="172"/>
      <c r="AA137" s="172"/>
      <c r="AB137" s="172"/>
      <c r="AC137" s="172"/>
      <c r="AD137" s="172"/>
      <c r="AE137" s="172"/>
      <c r="AF137" s="172"/>
      <c r="AG137" s="172"/>
      <c r="AH137" s="172"/>
      <c r="AI137" s="172"/>
      <c r="AJ137" s="172"/>
      <c r="AK137" s="172"/>
      <c r="AL137" s="172"/>
      <c r="AM137" s="172"/>
      <c r="AN137" s="172"/>
      <c r="AO137" s="172"/>
      <c r="AP137" s="172"/>
      <c r="AQ137" s="172"/>
      <c r="AR137" s="172"/>
      <c r="AS137" s="172"/>
    </row>
    <row r="138" spans="1:45">
      <c r="A138" s="195"/>
      <c r="B138" s="195"/>
      <c r="C138" s="195"/>
      <c r="D138" s="195"/>
      <c r="E138" s="195"/>
      <c r="F138" s="195"/>
      <c r="G138" s="195"/>
      <c r="H138" s="195"/>
      <c r="I138" s="195"/>
      <c r="J138" s="195"/>
      <c r="K138" s="195"/>
      <c r="L138" s="198"/>
      <c r="M138" s="195"/>
      <c r="N138" s="195"/>
      <c r="O138" s="195"/>
      <c r="P138" s="195"/>
      <c r="V138" s="171"/>
      <c r="W138" s="172"/>
      <c r="X138" s="172"/>
      <c r="Y138" s="172"/>
      <c r="Z138" s="172"/>
      <c r="AA138" s="172"/>
      <c r="AB138" s="172"/>
      <c r="AC138" s="172"/>
      <c r="AD138" s="172"/>
      <c r="AE138" s="172"/>
      <c r="AF138" s="172"/>
      <c r="AG138" s="172"/>
      <c r="AH138" s="172"/>
      <c r="AI138" s="172"/>
      <c r="AJ138" s="172"/>
      <c r="AK138" s="172"/>
      <c r="AL138" s="172"/>
      <c r="AM138" s="172"/>
      <c r="AN138" s="172"/>
      <c r="AO138" s="172"/>
      <c r="AP138" s="172"/>
      <c r="AQ138" s="172"/>
      <c r="AR138" s="172"/>
      <c r="AS138" s="172"/>
    </row>
    <row r="139" spans="1:45">
      <c r="A139" s="211"/>
      <c r="B139" s="195"/>
      <c r="C139" s="195"/>
      <c r="D139" s="195"/>
      <c r="E139" s="195"/>
      <c r="F139" s="195"/>
      <c r="G139" s="195"/>
      <c r="H139" s="195"/>
      <c r="I139" s="195"/>
      <c r="J139" s="195"/>
      <c r="K139" s="195"/>
      <c r="L139" s="198"/>
      <c r="M139" s="195"/>
      <c r="N139" s="195"/>
      <c r="O139" s="195"/>
      <c r="P139" s="195"/>
      <c r="V139" s="171"/>
      <c r="W139" s="172"/>
      <c r="X139" s="172"/>
      <c r="Y139" s="172"/>
      <c r="Z139" s="172"/>
      <c r="AA139" s="172"/>
      <c r="AB139" s="172"/>
      <c r="AC139" s="172"/>
      <c r="AD139" s="172"/>
      <c r="AE139" s="172"/>
      <c r="AF139" s="172"/>
      <c r="AG139" s="172"/>
      <c r="AH139" s="172"/>
      <c r="AI139" s="172"/>
      <c r="AJ139" s="172"/>
      <c r="AK139" s="172"/>
      <c r="AL139" s="172"/>
      <c r="AM139" s="172"/>
      <c r="AN139" s="172"/>
      <c r="AO139" s="172"/>
      <c r="AP139" s="172"/>
      <c r="AQ139" s="172"/>
      <c r="AR139" s="172"/>
      <c r="AS139" s="172"/>
    </row>
    <row r="140" spans="1:45">
      <c r="A140" s="211"/>
      <c r="B140" s="195"/>
      <c r="C140" s="195"/>
      <c r="D140" s="195"/>
      <c r="E140" s="195"/>
      <c r="F140" s="195"/>
      <c r="G140" s="195"/>
      <c r="H140" s="211"/>
      <c r="I140" s="238"/>
      <c r="J140" s="238"/>
      <c r="K140" s="238"/>
      <c r="L140" s="198"/>
      <c r="M140" s="195"/>
      <c r="N140" s="195"/>
      <c r="O140" s="195"/>
      <c r="P140" s="195"/>
      <c r="V140" s="171"/>
      <c r="W140" s="172"/>
      <c r="X140" s="172"/>
      <c r="Y140" s="172"/>
      <c r="Z140" s="172"/>
      <c r="AA140" s="172"/>
      <c r="AB140" s="172"/>
      <c r="AC140" s="172"/>
      <c r="AD140" s="172"/>
      <c r="AE140" s="172"/>
      <c r="AF140" s="172"/>
      <c r="AG140" s="172"/>
      <c r="AH140" s="172"/>
      <c r="AI140" s="172"/>
      <c r="AJ140" s="172"/>
      <c r="AK140" s="172"/>
      <c r="AL140" s="172"/>
      <c r="AM140" s="172"/>
      <c r="AN140" s="172"/>
      <c r="AO140" s="172"/>
      <c r="AP140" s="172"/>
      <c r="AQ140" s="172"/>
      <c r="AR140" s="172"/>
      <c r="AS140" s="172"/>
    </row>
    <row r="141" spans="1:45" ht="18">
      <c r="A141" s="131" t="s">
        <v>393</v>
      </c>
      <c r="B141" s="98"/>
      <c r="C141" s="98"/>
      <c r="D141" s="98"/>
      <c r="E141" s="98"/>
      <c r="F141" s="98"/>
      <c r="G141" s="211"/>
      <c r="H141" s="211"/>
      <c r="I141" s="239"/>
      <c r="J141" s="239"/>
      <c r="K141" s="239"/>
      <c r="L141" s="198"/>
      <c r="M141" s="195"/>
      <c r="N141" s="195"/>
      <c r="O141" s="195"/>
      <c r="P141" s="195"/>
      <c r="V141" s="171"/>
      <c r="W141" s="172"/>
      <c r="X141" s="172"/>
      <c r="Y141" s="172"/>
      <c r="Z141" s="172"/>
      <c r="AA141" s="172"/>
      <c r="AB141" s="172"/>
      <c r="AC141" s="172"/>
      <c r="AD141" s="172"/>
      <c r="AE141" s="172"/>
      <c r="AF141" s="172"/>
      <c r="AG141" s="172"/>
      <c r="AH141" s="172"/>
      <c r="AI141" s="172"/>
      <c r="AJ141" s="172"/>
      <c r="AK141" s="172"/>
      <c r="AL141" s="172"/>
      <c r="AM141" s="172"/>
      <c r="AN141" s="172"/>
      <c r="AO141" s="172"/>
      <c r="AP141" s="172"/>
      <c r="AQ141" s="172"/>
      <c r="AR141" s="172"/>
      <c r="AS141" s="172"/>
    </row>
    <row r="142" spans="1:45">
      <c r="A142" s="211"/>
      <c r="B142" s="62" t="s">
        <v>458</v>
      </c>
      <c r="C142" s="62" t="s">
        <v>720</v>
      </c>
      <c r="D142" s="62" t="s">
        <v>721</v>
      </c>
      <c r="E142" s="62" t="s">
        <v>722</v>
      </c>
      <c r="F142" s="195"/>
      <c r="G142" s="195"/>
      <c r="H142" s="195"/>
      <c r="I142" s="195"/>
      <c r="J142" s="195"/>
      <c r="K142" s="195"/>
      <c r="L142" s="195"/>
      <c r="M142" s="195"/>
      <c r="N142" s="195"/>
      <c r="O142" s="195"/>
      <c r="P142" s="195"/>
      <c r="V142" s="171"/>
      <c r="W142" s="172"/>
      <c r="X142" s="172"/>
      <c r="Y142" s="172"/>
      <c r="Z142" s="172"/>
      <c r="AA142" s="172"/>
      <c r="AB142" s="172"/>
      <c r="AC142" s="172"/>
      <c r="AD142" s="172"/>
      <c r="AE142" s="172"/>
      <c r="AF142" s="172"/>
      <c r="AG142" s="172"/>
      <c r="AH142" s="172"/>
      <c r="AI142" s="172"/>
      <c r="AJ142" s="172"/>
      <c r="AK142" s="172"/>
      <c r="AL142" s="172"/>
      <c r="AM142" s="172"/>
      <c r="AN142" s="172"/>
      <c r="AO142" s="172"/>
      <c r="AP142" s="172"/>
      <c r="AQ142" s="172"/>
      <c r="AR142" s="172"/>
      <c r="AS142" s="172"/>
    </row>
    <row r="143" spans="1:45">
      <c r="A143" s="198" t="s">
        <v>282</v>
      </c>
      <c r="B143" s="195"/>
      <c r="C143" s="195"/>
      <c r="D143" s="195"/>
      <c r="E143" s="195"/>
      <c r="F143" s="195"/>
      <c r="G143" s="195"/>
      <c r="H143" s="195"/>
      <c r="I143" s="195"/>
      <c r="J143" s="195"/>
      <c r="K143" s="195"/>
      <c r="L143" s="195"/>
      <c r="M143" s="195"/>
      <c r="N143" s="195"/>
      <c r="O143" s="195"/>
      <c r="P143" s="195"/>
      <c r="V143" s="171"/>
      <c r="W143" s="172"/>
      <c r="X143" s="172"/>
      <c r="Y143" s="172"/>
      <c r="Z143" s="172"/>
      <c r="AA143" s="172"/>
      <c r="AB143" s="172"/>
      <c r="AC143" s="172"/>
      <c r="AD143" s="172"/>
      <c r="AE143" s="172"/>
      <c r="AF143" s="172"/>
      <c r="AG143" s="172"/>
      <c r="AH143" s="172"/>
      <c r="AI143" s="172"/>
      <c r="AJ143" s="172"/>
      <c r="AK143" s="172"/>
      <c r="AL143" s="172"/>
      <c r="AM143" s="172"/>
      <c r="AN143" s="172"/>
      <c r="AO143" s="172"/>
      <c r="AP143" s="172"/>
      <c r="AQ143" s="172"/>
      <c r="AR143" s="172"/>
      <c r="AS143" s="172"/>
    </row>
    <row r="144" spans="1:45">
      <c r="A144" s="198"/>
      <c r="B144" s="198" t="str">
        <f>B142</f>
        <v>Region1</v>
      </c>
      <c r="C144" s="198" t="str">
        <f>C142</f>
        <v>Region2</v>
      </c>
      <c r="D144" s="198" t="str">
        <f>D142</f>
        <v>Region3</v>
      </c>
      <c r="E144" s="198" t="str">
        <f>E142</f>
        <v>Region4</v>
      </c>
      <c r="F144" s="195" t="s">
        <v>248</v>
      </c>
      <c r="G144" s="195"/>
      <c r="H144" s="195"/>
      <c r="I144" s="195"/>
      <c r="J144" s="195"/>
      <c r="K144" s="195"/>
      <c r="L144" s="195"/>
      <c r="M144" s="195"/>
      <c r="N144" s="195"/>
      <c r="O144" s="195"/>
      <c r="P144" s="195"/>
      <c r="V144" s="171"/>
      <c r="W144" s="172"/>
      <c r="X144" s="172"/>
      <c r="Y144" s="172"/>
      <c r="Z144" s="172"/>
      <c r="AA144" s="172"/>
      <c r="AB144" s="172"/>
      <c r="AC144" s="172"/>
      <c r="AD144" s="172"/>
      <c r="AE144" s="172"/>
      <c r="AF144" s="172"/>
      <c r="AG144" s="172"/>
      <c r="AH144" s="172"/>
      <c r="AI144" s="172"/>
      <c r="AJ144" s="172"/>
      <c r="AK144" s="172"/>
      <c r="AL144" s="172"/>
      <c r="AM144" s="172"/>
      <c r="AN144" s="172"/>
      <c r="AO144" s="172"/>
      <c r="AP144" s="172"/>
      <c r="AQ144" s="172"/>
      <c r="AR144" s="172"/>
      <c r="AS144" s="172"/>
    </row>
    <row r="145" spans="1:45">
      <c r="A145" s="195" t="s">
        <v>244</v>
      </c>
      <c r="B145" s="41">
        <f t="shared" ref="B145:B154" ca="1" si="33">MAX(0,1-SUM(C145:E145))</f>
        <v>1</v>
      </c>
      <c r="C145" s="41">
        <f ca="1">SUMIF(OFFSET(CalibData!$M$3,1,0,$Q$2),ROW()+COLUMN()/100,OFFSET(CalibData!$N$3,1,0,$Q$2))</f>
        <v>0</v>
      </c>
      <c r="D145" s="41">
        <f ca="1">SUMIF(OFFSET(CalibData!$M$3,1,0,$Q$2),ROW()+COLUMN()/100,OFFSET(CalibData!$N$3,1,0,$Q$2))</f>
        <v>0</v>
      </c>
      <c r="E145" s="41">
        <f ca="1">SUMIF(OFFSET(CalibData!$M$3,1,0,$Q$2),ROW()+COLUMN()/100,OFFSET(CalibData!$N$3,1,0,$Q$2))</f>
        <v>0</v>
      </c>
      <c r="F145" s="228">
        <f t="shared" ref="F145:F154" ca="1" si="34">SUM(B145:E145)</f>
        <v>1</v>
      </c>
      <c r="G145" s="195"/>
      <c r="H145" s="195"/>
      <c r="I145" s="195"/>
      <c r="J145" s="195"/>
      <c r="K145" s="195"/>
      <c r="L145" s="195"/>
      <c r="M145" s="195"/>
      <c r="N145" s="195"/>
      <c r="O145" s="195"/>
      <c r="P145" s="195"/>
      <c r="V145" s="171"/>
      <c r="W145" s="172"/>
      <c r="X145" s="172"/>
      <c r="Y145" s="172"/>
      <c r="Z145" s="172"/>
      <c r="AA145" s="172"/>
      <c r="AB145" s="172"/>
      <c r="AC145" s="172"/>
      <c r="AD145" s="172"/>
      <c r="AE145" s="172"/>
      <c r="AF145" s="172"/>
      <c r="AG145" s="172"/>
      <c r="AH145" s="172"/>
      <c r="AI145" s="172"/>
      <c r="AJ145" s="172"/>
      <c r="AK145" s="172"/>
      <c r="AL145" s="172"/>
      <c r="AM145" s="172"/>
      <c r="AN145" s="172"/>
      <c r="AO145" s="172"/>
      <c r="AP145" s="172"/>
      <c r="AQ145" s="172"/>
      <c r="AR145" s="172"/>
      <c r="AS145" s="172"/>
    </row>
    <row r="146" spans="1:45">
      <c r="A146" s="195" t="s">
        <v>663</v>
      </c>
      <c r="B146" s="41">
        <f t="shared" ca="1" si="33"/>
        <v>1</v>
      </c>
      <c r="C146" s="41">
        <f ca="1">SUMIF(OFFSET(CalibData!$M$3,1,0,$Q$2),ROW()+COLUMN()/100,OFFSET(CalibData!$N$3,1,0,$Q$2))</f>
        <v>0</v>
      </c>
      <c r="D146" s="41">
        <f ca="1">SUMIF(OFFSET(CalibData!$M$3,1,0,$Q$2),ROW()+COLUMN()/100,OFFSET(CalibData!$N$3,1,0,$Q$2))</f>
        <v>0</v>
      </c>
      <c r="E146" s="41">
        <f ca="1">SUMIF(OFFSET(CalibData!$M$3,1,0,$Q$2),ROW()+COLUMN()/100,OFFSET(CalibData!$N$3,1,0,$Q$2))</f>
        <v>0</v>
      </c>
      <c r="F146" s="228">
        <f t="shared" ca="1" si="34"/>
        <v>1</v>
      </c>
      <c r="G146" s="195"/>
      <c r="H146" s="195"/>
      <c r="I146" s="195"/>
      <c r="J146" s="195"/>
      <c r="K146" s="195"/>
      <c r="L146" s="195"/>
      <c r="M146" s="195"/>
      <c r="N146" s="195"/>
      <c r="O146" s="195"/>
      <c r="P146" s="195"/>
      <c r="V146" s="171"/>
      <c r="W146" s="172"/>
      <c r="X146" s="172"/>
      <c r="Y146" s="172"/>
      <c r="Z146" s="172"/>
      <c r="AA146" s="172"/>
      <c r="AB146" s="172"/>
      <c r="AC146" s="172"/>
      <c r="AD146" s="172"/>
      <c r="AE146" s="172"/>
      <c r="AF146" s="172"/>
      <c r="AG146" s="172"/>
      <c r="AH146" s="172"/>
      <c r="AI146" s="172"/>
      <c r="AJ146" s="172"/>
      <c r="AK146" s="172"/>
      <c r="AL146" s="172"/>
      <c r="AM146" s="172"/>
      <c r="AN146" s="172"/>
      <c r="AO146" s="172"/>
      <c r="AP146" s="172"/>
      <c r="AQ146" s="172"/>
      <c r="AR146" s="172"/>
      <c r="AS146" s="172"/>
    </row>
    <row r="147" spans="1:45">
      <c r="A147" s="195" t="s">
        <v>87</v>
      </c>
      <c r="B147" s="41">
        <f t="shared" ca="1" si="33"/>
        <v>1</v>
      </c>
      <c r="C147" s="41">
        <f ca="1">SUMIF(OFFSET(CalibData!$M$3,1,0,$Q$2),ROW()+COLUMN()/100,OFFSET(CalibData!$N$3,1,0,$Q$2))</f>
        <v>0</v>
      </c>
      <c r="D147" s="41">
        <f ca="1">SUMIF(OFFSET(CalibData!$M$3,1,0,$Q$2),ROW()+COLUMN()/100,OFFSET(CalibData!$N$3,1,0,$Q$2))</f>
        <v>0</v>
      </c>
      <c r="E147" s="41">
        <f ca="1">SUMIF(OFFSET(CalibData!$M$3,1,0,$Q$2),ROW()+COLUMN()/100,OFFSET(CalibData!$N$3,1,0,$Q$2))</f>
        <v>0</v>
      </c>
      <c r="F147" s="228">
        <f t="shared" ca="1" si="34"/>
        <v>1</v>
      </c>
      <c r="G147" s="195"/>
      <c r="H147" s="195"/>
      <c r="I147" s="195"/>
      <c r="J147" s="195"/>
      <c r="K147" s="195"/>
      <c r="L147" s="195"/>
      <c r="M147" s="195"/>
      <c r="N147" s="195"/>
      <c r="O147" s="195"/>
      <c r="P147" s="195"/>
      <c r="V147" s="171"/>
      <c r="W147" s="172"/>
      <c r="X147" s="172"/>
      <c r="Y147" s="172"/>
      <c r="Z147" s="172"/>
      <c r="AA147" s="172"/>
      <c r="AB147" s="172"/>
      <c r="AC147" s="172"/>
      <c r="AD147" s="172"/>
      <c r="AE147" s="172"/>
      <c r="AF147" s="172"/>
      <c r="AG147" s="172"/>
      <c r="AH147" s="172"/>
      <c r="AI147" s="172"/>
      <c r="AJ147" s="172"/>
      <c r="AK147" s="172"/>
      <c r="AL147" s="172"/>
      <c r="AM147" s="172"/>
      <c r="AN147" s="172"/>
      <c r="AO147" s="172"/>
      <c r="AP147" s="172"/>
      <c r="AQ147" s="172"/>
      <c r="AR147" s="172"/>
      <c r="AS147" s="172"/>
    </row>
    <row r="148" spans="1:45">
      <c r="A148" s="195" t="s">
        <v>576</v>
      </c>
      <c r="B148" s="41">
        <f t="shared" ca="1" si="33"/>
        <v>1</v>
      </c>
      <c r="C148" s="41">
        <f ca="1">SUMIF(OFFSET(CalibData!$M$3,1,0,$Q$2),ROW()+COLUMN()/100,OFFSET(CalibData!$N$3,1,0,$Q$2))</f>
        <v>0</v>
      </c>
      <c r="D148" s="41">
        <f ca="1">SUMIF(OFFSET(CalibData!$M$3,1,0,$Q$2),ROW()+COLUMN()/100,OFFSET(CalibData!$N$3,1,0,$Q$2))</f>
        <v>0</v>
      </c>
      <c r="E148" s="41">
        <f ca="1">SUMIF(OFFSET(CalibData!$M$3,1,0,$Q$2),ROW()+COLUMN()/100,OFFSET(CalibData!$N$3,1,0,$Q$2))</f>
        <v>0</v>
      </c>
      <c r="F148" s="228">
        <f t="shared" ca="1" si="34"/>
        <v>1</v>
      </c>
      <c r="G148" s="195"/>
      <c r="H148" s="195"/>
      <c r="I148" s="195"/>
      <c r="J148" s="195"/>
      <c r="K148" s="195"/>
      <c r="L148" s="195"/>
      <c r="M148" s="195"/>
      <c r="N148" s="195"/>
      <c r="O148" s="195"/>
      <c r="P148" s="195"/>
      <c r="V148" s="171"/>
      <c r="W148" s="172"/>
      <c r="X148" s="172"/>
      <c r="Y148" s="172"/>
      <c r="Z148" s="172"/>
      <c r="AA148" s="172"/>
      <c r="AB148" s="172"/>
      <c r="AC148" s="172"/>
      <c r="AD148" s="172"/>
      <c r="AE148" s="172"/>
      <c r="AF148" s="172"/>
      <c r="AG148" s="172"/>
      <c r="AH148" s="172"/>
      <c r="AI148" s="172"/>
      <c r="AJ148" s="172"/>
      <c r="AK148" s="172"/>
      <c r="AL148" s="172"/>
      <c r="AM148" s="172"/>
      <c r="AN148" s="172"/>
      <c r="AO148" s="172"/>
      <c r="AP148" s="172"/>
      <c r="AQ148" s="172"/>
      <c r="AR148" s="172"/>
      <c r="AS148" s="172"/>
    </row>
    <row r="149" spans="1:45">
      <c r="A149" s="195" t="s">
        <v>664</v>
      </c>
      <c r="B149" s="41">
        <f t="shared" ca="1" si="33"/>
        <v>1</v>
      </c>
      <c r="C149" s="41">
        <f ca="1">SUMIF(OFFSET(CalibData!$M$3,1,0,$Q$2),ROW()+COLUMN()/100,OFFSET(CalibData!$N$3,1,0,$Q$2))</f>
        <v>0</v>
      </c>
      <c r="D149" s="41">
        <f ca="1">SUMIF(OFFSET(CalibData!$M$3,1,0,$Q$2),ROW()+COLUMN()/100,OFFSET(CalibData!$N$3,1,0,$Q$2))</f>
        <v>0</v>
      </c>
      <c r="E149" s="41">
        <f ca="1">SUMIF(OFFSET(CalibData!$M$3,1,0,$Q$2),ROW()+COLUMN()/100,OFFSET(CalibData!$N$3,1,0,$Q$2))</f>
        <v>0</v>
      </c>
      <c r="F149" s="228">
        <f t="shared" ca="1" si="34"/>
        <v>1</v>
      </c>
      <c r="G149" s="195"/>
      <c r="H149" s="195"/>
      <c r="I149" s="195"/>
      <c r="J149" s="195"/>
      <c r="K149" s="195"/>
      <c r="L149" s="195"/>
      <c r="M149" s="195"/>
      <c r="N149" s="195"/>
      <c r="O149" s="195"/>
      <c r="P149" s="195"/>
      <c r="V149" s="171"/>
      <c r="W149" s="172"/>
      <c r="X149" s="172"/>
      <c r="Y149" s="172"/>
      <c r="Z149" s="172"/>
      <c r="AA149" s="172"/>
      <c r="AB149" s="172"/>
      <c r="AC149" s="172"/>
      <c r="AD149" s="172"/>
      <c r="AE149" s="172"/>
      <c r="AF149" s="172"/>
      <c r="AG149" s="172"/>
      <c r="AH149" s="172"/>
      <c r="AI149" s="172"/>
      <c r="AJ149" s="172"/>
      <c r="AK149" s="172"/>
      <c r="AL149" s="172"/>
      <c r="AM149" s="172"/>
      <c r="AN149" s="172"/>
      <c r="AO149" s="172"/>
      <c r="AP149" s="172"/>
      <c r="AQ149" s="172"/>
      <c r="AR149" s="172"/>
      <c r="AS149" s="172"/>
    </row>
    <row r="150" spans="1:45">
      <c r="A150" s="195" t="s">
        <v>665</v>
      </c>
      <c r="B150" s="41">
        <f t="shared" ca="1" si="33"/>
        <v>1</v>
      </c>
      <c r="C150" s="41">
        <f ca="1">SUMIF(OFFSET(CalibData!$M$3,1,0,$Q$2),ROW()+COLUMN()/100,OFFSET(CalibData!$N$3,1,0,$Q$2))</f>
        <v>0</v>
      </c>
      <c r="D150" s="41">
        <f ca="1">SUMIF(OFFSET(CalibData!$M$3,1,0,$Q$2),ROW()+COLUMN()/100,OFFSET(CalibData!$N$3,1,0,$Q$2))</f>
        <v>0</v>
      </c>
      <c r="E150" s="41">
        <f ca="1">SUMIF(OFFSET(CalibData!$M$3,1,0,$Q$2),ROW()+COLUMN()/100,OFFSET(CalibData!$N$3,1,0,$Q$2))</f>
        <v>0</v>
      </c>
      <c r="F150" s="228">
        <f t="shared" ca="1" si="34"/>
        <v>1</v>
      </c>
      <c r="G150" s="195"/>
      <c r="H150" s="195"/>
      <c r="I150" s="195"/>
      <c r="J150" s="195"/>
      <c r="K150" s="195"/>
      <c r="L150" s="195"/>
      <c r="M150" s="195"/>
      <c r="N150" s="195"/>
      <c r="O150" s="195"/>
      <c r="P150" s="195"/>
      <c r="Q150" s="102"/>
      <c r="V150" s="171"/>
      <c r="W150" s="172"/>
      <c r="X150" s="172"/>
      <c r="Y150" s="172"/>
      <c r="Z150" s="172"/>
      <c r="AA150" s="172"/>
      <c r="AB150" s="172"/>
      <c r="AC150" s="172"/>
      <c r="AD150" s="172"/>
      <c r="AE150" s="172"/>
      <c r="AF150" s="172"/>
      <c r="AG150" s="172"/>
      <c r="AH150" s="172"/>
      <c r="AI150" s="172"/>
      <c r="AJ150" s="172"/>
      <c r="AK150" s="172"/>
      <c r="AL150" s="172"/>
      <c r="AM150" s="172"/>
      <c r="AN150" s="172"/>
      <c r="AO150" s="172"/>
      <c r="AP150" s="172"/>
      <c r="AQ150" s="172"/>
      <c r="AR150" s="172"/>
      <c r="AS150" s="172"/>
    </row>
    <row r="151" spans="1:45">
      <c r="A151" s="240" t="s">
        <v>588</v>
      </c>
      <c r="B151" s="41">
        <f t="shared" ca="1" si="33"/>
        <v>1</v>
      </c>
      <c r="C151" s="41">
        <f ca="1">SUMIF(OFFSET(CalibData!$M$3,1,0,$Q$2),ROW()+COLUMN()/100,OFFSET(CalibData!$N$3,1,0,$Q$2))</f>
        <v>0</v>
      </c>
      <c r="D151" s="41">
        <f ca="1">SUMIF(OFFSET(CalibData!$M$3,1,0,$Q$2),ROW()+COLUMN()/100,OFFSET(CalibData!$N$3,1,0,$Q$2))</f>
        <v>0</v>
      </c>
      <c r="E151" s="41">
        <f ca="1">SUMIF(OFFSET(CalibData!$M$3,1,0,$Q$2),ROW()+COLUMN()/100,OFFSET(CalibData!$N$3,1,0,$Q$2))</f>
        <v>0</v>
      </c>
      <c r="F151" s="228">
        <f t="shared" ca="1" si="34"/>
        <v>1</v>
      </c>
      <c r="G151" s="195"/>
      <c r="H151" s="195"/>
      <c r="I151" s="195"/>
      <c r="J151" s="195"/>
      <c r="K151" s="195"/>
      <c r="L151" s="195"/>
      <c r="M151" s="195"/>
      <c r="N151" s="195"/>
      <c r="O151" s="195"/>
      <c r="P151" s="195"/>
      <c r="Q151" s="102"/>
      <c r="V151" s="171"/>
      <c r="W151" s="172"/>
      <c r="X151" s="172"/>
      <c r="Y151" s="172"/>
      <c r="Z151" s="172"/>
      <c r="AA151" s="172"/>
      <c r="AB151" s="172"/>
      <c r="AC151" s="172"/>
      <c r="AD151" s="172"/>
      <c r="AE151" s="172"/>
      <c r="AF151" s="172"/>
      <c r="AG151" s="172"/>
      <c r="AH151" s="172"/>
      <c r="AI151" s="172"/>
      <c r="AJ151" s="172"/>
      <c r="AK151" s="172"/>
      <c r="AL151" s="172"/>
      <c r="AM151" s="172"/>
      <c r="AN151" s="172"/>
      <c r="AO151" s="172"/>
      <c r="AP151" s="172"/>
      <c r="AQ151" s="172"/>
      <c r="AR151" s="172"/>
      <c r="AS151" s="172"/>
    </row>
    <row r="152" spans="1:45">
      <c r="A152" s="195" t="s">
        <v>247</v>
      </c>
      <c r="B152" s="41">
        <f t="shared" ca="1" si="33"/>
        <v>1</v>
      </c>
      <c r="C152" s="41">
        <f ca="1">SUMIF(OFFSET(CalibData!$M$3,1,0,$Q$2),ROW()+COLUMN()/100,OFFSET(CalibData!$N$3,1,0,$Q$2))</f>
        <v>0</v>
      </c>
      <c r="D152" s="41">
        <f ca="1">SUMIF(OFFSET(CalibData!$M$3,1,0,$Q$2),ROW()+COLUMN()/100,OFFSET(CalibData!$N$3,1,0,$Q$2))</f>
        <v>0</v>
      </c>
      <c r="E152" s="41">
        <f ca="1">SUMIF(OFFSET(CalibData!$M$3,1,0,$Q$2),ROW()+COLUMN()/100,OFFSET(CalibData!$N$3,1,0,$Q$2))</f>
        <v>0</v>
      </c>
      <c r="F152" s="228">
        <f t="shared" ca="1" si="34"/>
        <v>1</v>
      </c>
      <c r="G152" s="195"/>
      <c r="H152" s="195"/>
      <c r="I152" s="195"/>
      <c r="J152" s="195"/>
      <c r="K152" s="195"/>
      <c r="L152" s="195"/>
      <c r="M152" s="195"/>
      <c r="N152" s="195"/>
      <c r="O152" s="195"/>
      <c r="P152" s="195"/>
      <c r="Q152" s="102"/>
    </row>
    <row r="153" spans="1:45">
      <c r="A153" s="195" t="s">
        <v>414</v>
      </c>
      <c r="B153" s="41">
        <f t="shared" ca="1" si="33"/>
        <v>1</v>
      </c>
      <c r="C153" s="41">
        <f ca="1">SUMIF(OFFSET(CalibData!$M$3,1,0,$Q$2),ROW()+COLUMN()/100,OFFSET(CalibData!$N$3,1,0,$Q$2))</f>
        <v>0</v>
      </c>
      <c r="D153" s="41">
        <f ca="1">SUMIF(OFFSET(CalibData!$M$3,1,0,$Q$2),ROW()+COLUMN()/100,OFFSET(CalibData!$N$3,1,0,$Q$2))</f>
        <v>0</v>
      </c>
      <c r="E153" s="41">
        <f ca="1">SUMIF(OFFSET(CalibData!$M$3,1,0,$Q$2),ROW()+COLUMN()/100,OFFSET(CalibData!$N$3,1,0,$Q$2))</f>
        <v>0</v>
      </c>
      <c r="F153" s="228">
        <f t="shared" ca="1" si="34"/>
        <v>1</v>
      </c>
      <c r="G153" s="195"/>
      <c r="H153" s="195"/>
      <c r="I153" s="195"/>
      <c r="J153" s="195"/>
      <c r="K153" s="195"/>
      <c r="L153" s="195"/>
      <c r="M153" s="195"/>
      <c r="N153" s="195"/>
      <c r="O153" s="195"/>
      <c r="P153" s="195"/>
      <c r="Q153" s="102"/>
      <c r="V153" s="171"/>
    </row>
    <row r="154" spans="1:45">
      <c r="A154" s="195" t="s">
        <v>245</v>
      </c>
      <c r="B154" s="41">
        <f t="shared" ca="1" si="33"/>
        <v>1</v>
      </c>
      <c r="C154" s="41">
        <f ca="1">SUMIF(OFFSET(CalibData!$M$3,1,0,$Q$2),ROW()+COLUMN()/100,OFFSET(CalibData!$N$3,1,0,$Q$2))</f>
        <v>0</v>
      </c>
      <c r="D154" s="41">
        <f ca="1">SUMIF(OFFSET(CalibData!$M$3,1,0,$Q$2),ROW()+COLUMN()/100,OFFSET(CalibData!$N$3,1,0,$Q$2))</f>
        <v>0</v>
      </c>
      <c r="E154" s="41">
        <f ca="1">SUMIF(OFFSET(CalibData!$M$3,1,0,$Q$2),ROW()+COLUMN()/100,OFFSET(CalibData!$N$3,1,0,$Q$2))</f>
        <v>0</v>
      </c>
      <c r="F154" s="228">
        <f t="shared" ca="1" si="34"/>
        <v>1</v>
      </c>
      <c r="G154" s="195"/>
      <c r="H154" s="195"/>
      <c r="I154" s="195"/>
      <c r="J154" s="195"/>
      <c r="K154" s="195"/>
      <c r="L154" s="195"/>
      <c r="M154" s="195"/>
      <c r="N154" s="195"/>
      <c r="O154" s="195"/>
      <c r="P154" s="195"/>
      <c r="Q154" s="102"/>
    </row>
    <row r="155" spans="1:45">
      <c r="A155" s="195"/>
      <c r="B155" s="213"/>
      <c r="C155" s="213"/>
      <c r="D155" s="213"/>
      <c r="E155" s="195"/>
      <c r="F155" s="195"/>
      <c r="G155" s="195"/>
      <c r="H155" s="195"/>
      <c r="I155" s="195"/>
      <c r="J155" s="195"/>
      <c r="K155" s="195"/>
      <c r="L155" s="195"/>
      <c r="M155" s="195"/>
      <c r="N155" s="195"/>
      <c r="O155" s="195"/>
      <c r="P155" s="195"/>
      <c r="Q155" s="102"/>
      <c r="V155" s="171"/>
      <c r="W155" s="172"/>
      <c r="X155" s="172"/>
      <c r="Y155" s="172"/>
      <c r="Z155" s="172"/>
      <c r="AA155" s="172"/>
      <c r="AB155" s="172"/>
      <c r="AC155" s="172"/>
      <c r="AD155" s="172"/>
      <c r="AE155" s="172"/>
      <c r="AF155" s="172"/>
      <c r="AG155" s="172"/>
      <c r="AH155" s="172"/>
      <c r="AI155" s="172"/>
      <c r="AJ155" s="172"/>
      <c r="AK155" s="172"/>
      <c r="AL155" s="172"/>
      <c r="AM155" s="172"/>
      <c r="AN155" s="172"/>
      <c r="AO155" s="172"/>
      <c r="AP155" s="172"/>
      <c r="AQ155" s="172"/>
      <c r="AR155" s="172"/>
      <c r="AS155" s="172"/>
    </row>
    <row r="156" spans="1:45">
      <c r="A156" s="198" t="s">
        <v>283</v>
      </c>
      <c r="B156" s="213"/>
      <c r="C156" s="213"/>
      <c r="D156" s="213"/>
      <c r="E156" s="195"/>
      <c r="F156" s="195"/>
      <c r="G156" s="195"/>
      <c r="H156" s="195"/>
      <c r="I156" s="195"/>
      <c r="J156" s="195"/>
      <c r="K156" s="195"/>
      <c r="L156" s="195"/>
      <c r="M156" s="195"/>
      <c r="N156" s="195"/>
      <c r="O156" s="195"/>
      <c r="P156" s="195"/>
      <c r="Q156" s="102"/>
      <c r="V156" s="171"/>
      <c r="W156" s="172"/>
      <c r="X156" s="172"/>
      <c r="Y156" s="172"/>
      <c r="Z156" s="172"/>
      <c r="AA156" s="172"/>
      <c r="AB156" s="172"/>
      <c r="AC156" s="172"/>
      <c r="AD156" s="172"/>
      <c r="AE156" s="172"/>
      <c r="AF156" s="172"/>
      <c r="AG156" s="172"/>
      <c r="AH156" s="172"/>
      <c r="AI156" s="172"/>
      <c r="AJ156" s="172"/>
      <c r="AK156" s="172"/>
      <c r="AL156" s="172"/>
      <c r="AM156" s="172"/>
      <c r="AN156" s="172"/>
      <c r="AO156" s="172"/>
      <c r="AP156" s="172"/>
      <c r="AQ156" s="172"/>
      <c r="AR156" s="172"/>
      <c r="AS156" s="172"/>
    </row>
    <row r="157" spans="1:45">
      <c r="A157" s="198"/>
      <c r="B157" s="242" t="str">
        <f>B142</f>
        <v>Region1</v>
      </c>
      <c r="C157" s="242" t="str">
        <f>C142</f>
        <v>Region2</v>
      </c>
      <c r="D157" s="242" t="str">
        <f>D142</f>
        <v>Region3</v>
      </c>
      <c r="E157" s="242" t="str">
        <f>E142</f>
        <v>Region4</v>
      </c>
      <c r="F157" s="195" t="s">
        <v>248</v>
      </c>
      <c r="G157" s="195"/>
      <c r="H157" s="195"/>
      <c r="I157" s="195"/>
      <c r="J157" s="195"/>
      <c r="K157" s="195"/>
      <c r="L157" s="195"/>
      <c r="M157" s="195"/>
      <c r="N157" s="195"/>
      <c r="O157" s="195"/>
      <c r="P157" s="195"/>
      <c r="Q157" s="102"/>
      <c r="V157" s="171"/>
      <c r="W157" s="172"/>
      <c r="X157" s="172"/>
      <c r="Y157" s="172"/>
      <c r="Z157" s="172"/>
      <c r="AA157" s="172"/>
      <c r="AB157" s="172"/>
      <c r="AC157" s="172"/>
      <c r="AD157" s="172"/>
      <c r="AE157" s="172"/>
      <c r="AF157" s="172"/>
      <c r="AG157" s="172"/>
      <c r="AH157" s="172"/>
      <c r="AI157" s="172"/>
      <c r="AJ157" s="172"/>
      <c r="AK157" s="172"/>
      <c r="AL157" s="172"/>
      <c r="AM157" s="172"/>
      <c r="AN157" s="172"/>
      <c r="AO157" s="172"/>
      <c r="AP157" s="172"/>
      <c r="AQ157" s="172"/>
      <c r="AR157" s="172"/>
      <c r="AS157" s="172"/>
    </row>
    <row r="158" spans="1:45">
      <c r="A158" s="195" t="s">
        <v>244</v>
      </c>
      <c r="B158" s="41">
        <f t="shared" ref="B158:B167" ca="1" si="35">MAX(0,1-SUM(C158:E158))</f>
        <v>1</v>
      </c>
      <c r="C158" s="41">
        <f ca="1">SUMIF(OFFSET(CalibData!$M$3,1,0,$Q$2),ROW()+COLUMN()/100,OFFSET(CalibData!$N$3,1,0,$Q$2))</f>
        <v>0</v>
      </c>
      <c r="D158" s="41">
        <f ca="1">SUMIF(OFFSET(CalibData!$M$3,1,0,$Q$2),ROW()+COLUMN()/100,OFFSET(CalibData!$N$3,1,0,$Q$2))</f>
        <v>0</v>
      </c>
      <c r="E158" s="41">
        <f ca="1">SUMIF(OFFSET(CalibData!$M$3,1,0,$Q$2),ROW()+COLUMN()/100,OFFSET(CalibData!$N$3,1,0,$Q$2))</f>
        <v>0</v>
      </c>
      <c r="F158" s="228">
        <f t="shared" ref="F158:F167" ca="1" si="36">SUM(B158:E158)</f>
        <v>1</v>
      </c>
      <c r="G158" s="195"/>
      <c r="H158" s="195"/>
      <c r="I158" s="195"/>
      <c r="J158" s="195"/>
      <c r="K158" s="195"/>
      <c r="L158" s="195"/>
      <c r="M158" s="195"/>
      <c r="N158" s="195"/>
      <c r="O158" s="195"/>
      <c r="P158" s="195"/>
      <c r="Q158" s="102"/>
      <c r="V158" s="171"/>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row>
    <row r="159" spans="1:45">
      <c r="A159" s="195" t="s">
        <v>663</v>
      </c>
      <c r="B159" s="41">
        <f t="shared" ca="1" si="35"/>
        <v>1</v>
      </c>
      <c r="C159" s="41">
        <f ca="1">SUMIF(OFFSET(CalibData!$M$3,1,0,$Q$2),ROW()+COLUMN()/100,OFFSET(CalibData!$N$3,1,0,$Q$2))</f>
        <v>0</v>
      </c>
      <c r="D159" s="41">
        <f ca="1">SUMIF(OFFSET(CalibData!$M$3,1,0,$Q$2),ROW()+COLUMN()/100,OFFSET(CalibData!$N$3,1,0,$Q$2))</f>
        <v>0</v>
      </c>
      <c r="E159" s="41">
        <f ca="1">SUMIF(OFFSET(CalibData!$M$3,1,0,$Q$2),ROW()+COLUMN()/100,OFFSET(CalibData!$N$3,1,0,$Q$2))</f>
        <v>0</v>
      </c>
      <c r="F159" s="228">
        <f t="shared" ca="1" si="36"/>
        <v>1</v>
      </c>
      <c r="G159" s="195"/>
      <c r="H159" s="195"/>
      <c r="I159" s="195"/>
      <c r="J159" s="195"/>
      <c r="K159" s="195"/>
      <c r="L159" s="195"/>
      <c r="M159" s="195"/>
      <c r="N159" s="195"/>
      <c r="O159" s="195"/>
      <c r="P159" s="195"/>
      <c r="Q159" s="102"/>
      <c r="V159" s="171"/>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row>
    <row r="160" spans="1:45">
      <c r="A160" s="195" t="s">
        <v>574</v>
      </c>
      <c r="B160" s="41">
        <f t="shared" ca="1" si="35"/>
        <v>1</v>
      </c>
      <c r="C160" s="41">
        <f ca="1">SUMIF(OFFSET(CalibData!$M$3,1,0,$Q$2),ROW()+COLUMN()/100,OFFSET(CalibData!$N$3,1,0,$Q$2))</f>
        <v>0</v>
      </c>
      <c r="D160" s="41">
        <f ca="1">SUMIF(OFFSET(CalibData!$M$3,1,0,$Q$2),ROW()+COLUMN()/100,OFFSET(CalibData!$N$3,1,0,$Q$2))</f>
        <v>0</v>
      </c>
      <c r="E160" s="41">
        <f ca="1">SUMIF(OFFSET(CalibData!$M$3,1,0,$Q$2),ROW()+COLUMN()/100,OFFSET(CalibData!$N$3,1,0,$Q$2))</f>
        <v>0</v>
      </c>
      <c r="F160" s="228">
        <f t="shared" ca="1" si="36"/>
        <v>1</v>
      </c>
      <c r="G160" s="195"/>
      <c r="H160" s="195"/>
      <c r="I160" s="195"/>
      <c r="J160" s="195"/>
      <c r="K160" s="195"/>
      <c r="L160" s="195"/>
      <c r="M160" s="195"/>
      <c r="N160" s="195"/>
      <c r="O160" s="195"/>
      <c r="P160" s="195"/>
      <c r="Q160" s="102"/>
    </row>
    <row r="161" spans="1:45">
      <c r="A161" s="195" t="s">
        <v>576</v>
      </c>
      <c r="B161" s="41">
        <f t="shared" ca="1" si="35"/>
        <v>1</v>
      </c>
      <c r="C161" s="41">
        <f ca="1">SUMIF(OFFSET(CalibData!$M$3,1,0,$Q$2),ROW()+COLUMN()/100,OFFSET(CalibData!$N$3,1,0,$Q$2))</f>
        <v>0</v>
      </c>
      <c r="D161" s="41">
        <f ca="1">SUMIF(OFFSET(CalibData!$M$3,1,0,$Q$2),ROW()+COLUMN()/100,OFFSET(CalibData!$N$3,1,0,$Q$2))</f>
        <v>0</v>
      </c>
      <c r="E161" s="41">
        <f ca="1">SUMIF(OFFSET(CalibData!$M$3,1,0,$Q$2),ROW()+COLUMN()/100,OFFSET(CalibData!$N$3,1,0,$Q$2))</f>
        <v>0</v>
      </c>
      <c r="F161" s="228">
        <f t="shared" ca="1" si="36"/>
        <v>1</v>
      </c>
      <c r="G161" s="195"/>
      <c r="H161" s="195"/>
      <c r="I161" s="195"/>
      <c r="J161" s="195"/>
      <c r="K161" s="195"/>
      <c r="L161" s="195"/>
      <c r="M161" s="195"/>
      <c r="N161" s="195"/>
      <c r="O161" s="195"/>
      <c r="P161" s="195"/>
      <c r="Q161" s="102"/>
    </row>
    <row r="162" spans="1:45">
      <c r="A162" s="195" t="s">
        <v>664</v>
      </c>
      <c r="B162" s="41">
        <f t="shared" ca="1" si="35"/>
        <v>1</v>
      </c>
      <c r="C162" s="41">
        <f ca="1">SUMIF(OFFSET(CalibData!$M$3,1,0,$Q$2),ROW()+COLUMN()/100,OFFSET(CalibData!$N$3,1,0,$Q$2))</f>
        <v>0</v>
      </c>
      <c r="D162" s="41">
        <f ca="1">SUMIF(OFFSET(CalibData!$M$3,1,0,$Q$2),ROW()+COLUMN()/100,OFFSET(CalibData!$N$3,1,0,$Q$2))</f>
        <v>0</v>
      </c>
      <c r="E162" s="41">
        <f ca="1">SUMIF(OFFSET(CalibData!$M$3,1,0,$Q$2),ROW()+COLUMN()/100,OFFSET(CalibData!$N$3,1,0,$Q$2))</f>
        <v>0</v>
      </c>
      <c r="F162" s="228">
        <f t="shared" ca="1" si="36"/>
        <v>1</v>
      </c>
      <c r="G162" s="195"/>
      <c r="H162" s="195"/>
      <c r="I162" s="195"/>
      <c r="J162" s="195"/>
      <c r="K162" s="195"/>
      <c r="L162" s="195"/>
      <c r="M162" s="195"/>
      <c r="N162" s="195"/>
      <c r="O162" s="195"/>
      <c r="P162" s="195"/>
      <c r="Q162" s="102"/>
    </row>
    <row r="163" spans="1:45">
      <c r="A163" s="195" t="s">
        <v>665</v>
      </c>
      <c r="B163" s="41">
        <f t="shared" ca="1" si="35"/>
        <v>1</v>
      </c>
      <c r="C163" s="41">
        <f ca="1">SUMIF(OFFSET(CalibData!$M$3,1,0,$Q$2),ROW()+COLUMN()/100,OFFSET(CalibData!$N$3,1,0,$Q$2))</f>
        <v>0</v>
      </c>
      <c r="D163" s="41">
        <f ca="1">SUMIF(OFFSET(CalibData!$M$3,1,0,$Q$2),ROW()+COLUMN()/100,OFFSET(CalibData!$N$3,1,0,$Q$2))</f>
        <v>0</v>
      </c>
      <c r="E163" s="41">
        <f ca="1">SUMIF(OFFSET(CalibData!$M$3,1,0,$Q$2),ROW()+COLUMN()/100,OFFSET(CalibData!$N$3,1,0,$Q$2))</f>
        <v>0</v>
      </c>
      <c r="F163" s="228">
        <f t="shared" ca="1" si="36"/>
        <v>1</v>
      </c>
      <c r="G163" s="195"/>
      <c r="H163" s="195"/>
      <c r="I163" s="195"/>
      <c r="J163" s="195"/>
      <c r="K163" s="195"/>
      <c r="L163" s="195"/>
      <c r="M163" s="195"/>
      <c r="N163" s="195"/>
      <c r="O163" s="195"/>
      <c r="P163" s="195"/>
      <c r="Q163" s="102"/>
    </row>
    <row r="164" spans="1:45">
      <c r="A164" s="241" t="s">
        <v>588</v>
      </c>
      <c r="B164" s="41">
        <f t="shared" ca="1" si="35"/>
        <v>1</v>
      </c>
      <c r="C164" s="41">
        <f ca="1">SUMIF(OFFSET(CalibData!$M$3,1,0,$Q$2),ROW()+COLUMN()/100,OFFSET(CalibData!$N$3,1,0,$Q$2))</f>
        <v>0</v>
      </c>
      <c r="D164" s="41">
        <f ca="1">SUMIF(OFFSET(CalibData!$M$3,1,0,$Q$2),ROW()+COLUMN()/100,OFFSET(CalibData!$N$3,1,0,$Q$2))</f>
        <v>0</v>
      </c>
      <c r="E164" s="41">
        <f ca="1">SUMIF(OFFSET(CalibData!$M$3,1,0,$Q$2),ROW()+COLUMN()/100,OFFSET(CalibData!$N$3,1,0,$Q$2))</f>
        <v>0</v>
      </c>
      <c r="F164" s="228">
        <f t="shared" ca="1" si="36"/>
        <v>1</v>
      </c>
      <c r="G164" s="195"/>
      <c r="H164" s="195"/>
      <c r="I164" s="195"/>
      <c r="J164" s="195"/>
      <c r="K164" s="195"/>
      <c r="L164" s="195"/>
      <c r="M164" s="195"/>
      <c r="N164" s="195"/>
      <c r="O164" s="195"/>
      <c r="P164" s="195"/>
      <c r="Q164" s="102"/>
      <c r="V164" s="171"/>
    </row>
    <row r="165" spans="1:45">
      <c r="A165" s="195" t="s">
        <v>247</v>
      </c>
      <c r="B165" s="41">
        <f t="shared" ca="1" si="35"/>
        <v>1</v>
      </c>
      <c r="C165" s="41">
        <f ca="1">SUMIF(OFFSET(CalibData!$M$3,1,0,$Q$2),ROW()+COLUMN()/100,OFFSET(CalibData!$N$3,1,0,$Q$2))</f>
        <v>0</v>
      </c>
      <c r="D165" s="41">
        <f ca="1">SUMIF(OFFSET(CalibData!$M$3,1,0,$Q$2),ROW()+COLUMN()/100,OFFSET(CalibData!$N$3,1,0,$Q$2))</f>
        <v>0</v>
      </c>
      <c r="E165" s="41">
        <f ca="1">SUMIF(OFFSET(CalibData!$M$3,1,0,$Q$2),ROW()+COLUMN()/100,OFFSET(CalibData!$N$3,1,0,$Q$2))</f>
        <v>0</v>
      </c>
      <c r="F165" s="228">
        <f t="shared" ca="1" si="36"/>
        <v>1</v>
      </c>
      <c r="G165" s="195"/>
      <c r="H165" s="195"/>
      <c r="I165" s="195"/>
      <c r="J165" s="195"/>
      <c r="K165" s="195"/>
      <c r="L165" s="195"/>
      <c r="M165" s="195"/>
      <c r="N165" s="195"/>
      <c r="O165" s="195"/>
      <c r="P165" s="195"/>
      <c r="Q165" s="102"/>
      <c r="V165" s="171"/>
    </row>
    <row r="166" spans="1:45">
      <c r="A166" s="195" t="s">
        <v>414</v>
      </c>
      <c r="B166" s="41">
        <f t="shared" ca="1" si="35"/>
        <v>1</v>
      </c>
      <c r="C166" s="41">
        <f ca="1">SUMIF(OFFSET(CalibData!$M$3,1,0,$Q$2),ROW()+COLUMN()/100,OFFSET(CalibData!$N$3,1,0,$Q$2))</f>
        <v>0</v>
      </c>
      <c r="D166" s="41">
        <f ca="1">SUMIF(OFFSET(CalibData!$M$3,1,0,$Q$2),ROW()+COLUMN()/100,OFFSET(CalibData!$N$3,1,0,$Q$2))</f>
        <v>0</v>
      </c>
      <c r="E166" s="41">
        <f ca="1">SUMIF(OFFSET(CalibData!$M$3,1,0,$Q$2),ROW()+COLUMN()/100,OFFSET(CalibData!$N$3,1,0,$Q$2))</f>
        <v>0</v>
      </c>
      <c r="F166" s="228">
        <f t="shared" ca="1" si="36"/>
        <v>1</v>
      </c>
      <c r="G166" s="195"/>
      <c r="H166" s="195"/>
      <c r="I166" s="195"/>
      <c r="J166" s="195"/>
      <c r="K166" s="195"/>
      <c r="L166" s="195"/>
      <c r="M166" s="195"/>
      <c r="N166" s="195"/>
      <c r="O166" s="195"/>
      <c r="P166" s="195"/>
      <c r="Q166" s="102"/>
    </row>
    <row r="167" spans="1:45">
      <c r="A167" s="195" t="s">
        <v>245</v>
      </c>
      <c r="B167" s="41">
        <f t="shared" ca="1" si="35"/>
        <v>1</v>
      </c>
      <c r="C167" s="41">
        <f ca="1">SUMIF(OFFSET(CalibData!$M$3,1,0,$Q$2),ROW()+COLUMN()/100,OFFSET(CalibData!$N$3,1,0,$Q$2))</f>
        <v>0</v>
      </c>
      <c r="D167" s="41">
        <f ca="1">SUMIF(OFFSET(CalibData!$M$3,1,0,$Q$2),ROW()+COLUMN()/100,OFFSET(CalibData!$N$3,1,0,$Q$2))</f>
        <v>0</v>
      </c>
      <c r="E167" s="41">
        <f ca="1">SUMIF(OFFSET(CalibData!$M$3,1,0,$Q$2),ROW()+COLUMN()/100,OFFSET(CalibData!$N$3,1,0,$Q$2))</f>
        <v>0</v>
      </c>
      <c r="F167" s="228">
        <f t="shared" ca="1" si="36"/>
        <v>1</v>
      </c>
      <c r="G167" s="195"/>
      <c r="H167" s="195"/>
      <c r="I167" s="195"/>
      <c r="J167" s="195"/>
      <c r="K167" s="195"/>
      <c r="L167" s="195"/>
      <c r="M167" s="195"/>
      <c r="N167" s="195"/>
      <c r="O167" s="195"/>
      <c r="P167" s="195"/>
      <c r="Q167" s="102"/>
    </row>
    <row r="168" spans="1:45">
      <c r="A168" s="195"/>
      <c r="B168" s="195"/>
      <c r="C168" s="195"/>
      <c r="D168" s="195"/>
      <c r="E168" s="195"/>
      <c r="F168" s="195"/>
      <c r="G168" s="195"/>
      <c r="H168" s="195"/>
      <c r="I168" s="195"/>
      <c r="J168" s="22"/>
      <c r="K168" s="195"/>
      <c r="L168" s="195"/>
      <c r="M168" s="195"/>
      <c r="N168" s="195"/>
      <c r="O168" s="195"/>
      <c r="P168" s="195"/>
      <c r="Q168" s="102"/>
    </row>
    <row r="169" spans="1:45" ht="18">
      <c r="A169" s="131" t="s">
        <v>394</v>
      </c>
      <c r="B169" s="98"/>
      <c r="C169" s="98"/>
      <c r="D169" s="98"/>
      <c r="E169" s="98"/>
      <c r="F169" s="98"/>
      <c r="G169" s="98"/>
      <c r="H169" s="98"/>
      <c r="I169" s="98"/>
      <c r="J169" s="195"/>
      <c r="K169" s="195"/>
      <c r="L169" s="195"/>
      <c r="M169" s="195"/>
      <c r="N169" s="195"/>
      <c r="O169" s="195"/>
      <c r="P169" s="195"/>
      <c r="Q169" s="102"/>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row>
    <row r="170" spans="1:45" ht="22.5">
      <c r="A170" s="236"/>
      <c r="B170" s="235" t="s">
        <v>213</v>
      </c>
      <c r="C170" s="235" t="s">
        <v>105</v>
      </c>
      <c r="D170" s="235" t="s">
        <v>179</v>
      </c>
      <c r="E170" s="235" t="s">
        <v>104</v>
      </c>
      <c r="F170" s="235" t="s">
        <v>180</v>
      </c>
      <c r="G170" s="235" t="s">
        <v>181</v>
      </c>
      <c r="H170" s="237" t="s">
        <v>72</v>
      </c>
      <c r="I170" s="237" t="s">
        <v>216</v>
      </c>
      <c r="J170" s="235"/>
      <c r="K170" s="195"/>
      <c r="L170" s="195"/>
      <c r="M170" s="195"/>
      <c r="N170" s="195"/>
      <c r="O170" s="195"/>
      <c r="P170" s="195"/>
      <c r="Q170" s="102"/>
      <c r="V170" s="171"/>
      <c r="W170" s="172"/>
      <c r="X170" s="172"/>
      <c r="Y170" s="172"/>
      <c r="Z170" s="172"/>
      <c r="AA170" s="172"/>
      <c r="AB170" s="172"/>
      <c r="AC170" s="172"/>
      <c r="AD170" s="172"/>
      <c r="AE170" s="172"/>
      <c r="AF170" s="172"/>
      <c r="AG170" s="172"/>
      <c r="AH170" s="172"/>
      <c r="AI170" s="172"/>
      <c r="AJ170" s="172"/>
      <c r="AK170" s="172"/>
      <c r="AL170" s="172"/>
      <c r="AM170" s="172"/>
      <c r="AN170" s="172"/>
      <c r="AO170" s="172"/>
      <c r="AP170" s="172"/>
      <c r="AQ170" s="172"/>
      <c r="AR170" s="172"/>
      <c r="AS170" s="172"/>
    </row>
    <row r="171" spans="1:45">
      <c r="A171" s="195"/>
      <c r="B171" s="262" t="s">
        <v>214</v>
      </c>
      <c r="C171" s="262" t="s">
        <v>610</v>
      </c>
      <c r="D171" s="262" t="s">
        <v>235</v>
      </c>
      <c r="E171" s="262" t="s">
        <v>103</v>
      </c>
      <c r="F171" s="262" t="s">
        <v>71</v>
      </c>
      <c r="G171" s="262" t="s">
        <v>70</v>
      </c>
      <c r="H171" s="262" t="s">
        <v>482</v>
      </c>
      <c r="I171" s="262" t="s">
        <v>215</v>
      </c>
      <c r="J171" s="195" t="s">
        <v>248</v>
      </c>
      <c r="K171" s="195"/>
      <c r="L171" s="195"/>
      <c r="M171" s="195"/>
      <c r="N171" s="195"/>
      <c r="O171" s="195"/>
      <c r="P171" s="195"/>
      <c r="Q171" s="102"/>
      <c r="V171" s="171"/>
      <c r="W171" s="172"/>
      <c r="X171" s="172"/>
      <c r="Y171" s="172"/>
      <c r="Z171" s="172"/>
      <c r="AA171" s="172"/>
      <c r="AB171" s="172"/>
      <c r="AC171" s="172"/>
      <c r="AD171" s="172"/>
      <c r="AE171" s="172"/>
      <c r="AF171" s="172"/>
      <c r="AG171" s="172"/>
      <c r="AH171" s="172"/>
      <c r="AI171" s="172"/>
      <c r="AJ171" s="172"/>
      <c r="AK171" s="172"/>
      <c r="AL171" s="172"/>
      <c r="AM171" s="172"/>
      <c r="AN171" s="172"/>
      <c r="AO171" s="172"/>
      <c r="AP171" s="172"/>
      <c r="AQ171" s="172"/>
      <c r="AR171" s="172"/>
      <c r="AS171" s="172"/>
    </row>
    <row r="172" spans="1:45">
      <c r="A172" s="211" t="s">
        <v>244</v>
      </c>
      <c r="B172" s="33">
        <f t="shared" ref="B172:I179" ca="1" si="37">B127*$G99</f>
        <v>0.6302525241600001</v>
      </c>
      <c r="C172" s="33">
        <f t="shared" ca="1" si="37"/>
        <v>0</v>
      </c>
      <c r="D172" s="33">
        <f t="shared" ca="1" si="37"/>
        <v>0.15756313104000003</v>
      </c>
      <c r="E172" s="33">
        <f t="shared" si="37"/>
        <v>0</v>
      </c>
      <c r="F172" s="33">
        <f t="shared" ca="1" si="37"/>
        <v>8.7535072800000016E-2</v>
      </c>
      <c r="G172" s="33">
        <f t="shared" si="37"/>
        <v>0</v>
      </c>
      <c r="H172" s="33">
        <f t="shared" si="37"/>
        <v>0</v>
      </c>
      <c r="I172" s="33">
        <f t="shared" ca="1" si="37"/>
        <v>0</v>
      </c>
      <c r="J172" s="213">
        <f t="shared" ref="J172:J183" ca="1" si="38">SUM(B172:I172)</f>
        <v>0.87535072800000024</v>
      </c>
      <c r="K172" s="221">
        <f t="shared" ref="K172:K183" ca="1" si="39">J172/$J$183</f>
        <v>9.2346997943517535E-3</v>
      </c>
      <c r="L172" s="195"/>
      <c r="M172" s="195"/>
      <c r="N172" s="195"/>
      <c r="O172" s="195"/>
      <c r="P172" s="195"/>
      <c r="Q172" s="102"/>
      <c r="V172" s="171"/>
      <c r="W172" s="172"/>
      <c r="X172" s="172"/>
      <c r="Y172" s="172"/>
      <c r="Z172" s="172"/>
      <c r="AA172" s="172"/>
      <c r="AB172" s="172"/>
      <c r="AC172" s="172"/>
      <c r="AD172" s="172"/>
      <c r="AE172" s="172"/>
      <c r="AF172" s="172"/>
      <c r="AG172" s="172"/>
      <c r="AH172" s="172"/>
      <c r="AI172" s="172"/>
      <c r="AJ172" s="172"/>
      <c r="AK172" s="172"/>
      <c r="AL172" s="172"/>
      <c r="AM172" s="172"/>
      <c r="AN172" s="172"/>
      <c r="AO172" s="172"/>
      <c r="AP172" s="172"/>
      <c r="AQ172" s="172"/>
      <c r="AR172" s="172"/>
      <c r="AS172" s="172"/>
    </row>
    <row r="173" spans="1:45">
      <c r="A173" s="211" t="s">
        <v>663</v>
      </c>
      <c r="B173" s="33">
        <f t="shared" ca="1" si="37"/>
        <v>6.3630740913458625</v>
      </c>
      <c r="C173" s="33">
        <f t="shared" ca="1" si="37"/>
        <v>0</v>
      </c>
      <c r="D173" s="33">
        <f t="shared" ca="1" si="37"/>
        <v>1.5907685228364661</v>
      </c>
      <c r="E173" s="33">
        <f t="shared" si="37"/>
        <v>0</v>
      </c>
      <c r="F173" s="33">
        <f t="shared" ca="1" si="37"/>
        <v>0</v>
      </c>
      <c r="G173" s="33">
        <f t="shared" si="37"/>
        <v>0</v>
      </c>
      <c r="H173" s="33">
        <f t="shared" si="37"/>
        <v>0</v>
      </c>
      <c r="I173" s="33">
        <f t="shared" ca="1" si="37"/>
        <v>0.50889742040186448</v>
      </c>
      <c r="J173" s="213">
        <f t="shared" ca="1" si="38"/>
        <v>8.4627400345841934</v>
      </c>
      <c r="K173" s="221">
        <f t="shared" ca="1" si="39"/>
        <v>8.9279486675684791E-2</v>
      </c>
      <c r="L173" s="195"/>
      <c r="M173" s="195"/>
      <c r="N173" s="195"/>
      <c r="O173" s="195"/>
      <c r="P173" s="195"/>
      <c r="Q173" s="102"/>
      <c r="V173" s="171"/>
      <c r="W173" s="172"/>
      <c r="X173" s="172"/>
      <c r="Y173" s="172"/>
      <c r="Z173" s="172"/>
      <c r="AA173" s="172"/>
      <c r="AB173" s="172"/>
      <c r="AC173" s="172"/>
      <c r="AD173" s="172"/>
      <c r="AE173" s="172"/>
      <c r="AF173" s="172"/>
      <c r="AG173" s="172"/>
      <c r="AH173" s="172"/>
      <c r="AI173" s="172"/>
      <c r="AJ173" s="172"/>
      <c r="AK173" s="172"/>
      <c r="AL173" s="172"/>
      <c r="AM173" s="172"/>
      <c r="AN173" s="172"/>
      <c r="AO173" s="172"/>
      <c r="AP173" s="172"/>
      <c r="AQ173" s="172"/>
      <c r="AR173" s="172"/>
      <c r="AS173" s="172"/>
    </row>
    <row r="174" spans="1:45">
      <c r="A174" s="211" t="s">
        <v>87</v>
      </c>
      <c r="B174" s="33">
        <f t="shared" ca="1" si="37"/>
        <v>3.1039930368000004</v>
      </c>
      <c r="C174" s="33">
        <f t="shared" si="37"/>
        <v>0</v>
      </c>
      <c r="D174" s="33">
        <f t="shared" ca="1" si="37"/>
        <v>0.7759982592000001</v>
      </c>
      <c r="E174" s="33">
        <f t="shared" si="37"/>
        <v>0</v>
      </c>
      <c r="F174" s="33">
        <f t="shared" si="37"/>
        <v>0</v>
      </c>
      <c r="G174" s="33">
        <f t="shared" si="37"/>
        <v>0</v>
      </c>
      <c r="H174" s="33">
        <f t="shared" si="37"/>
        <v>0</v>
      </c>
      <c r="I174" s="33">
        <f t="shared" si="37"/>
        <v>0</v>
      </c>
      <c r="J174" s="213">
        <f t="shared" ca="1" si="38"/>
        <v>3.8799912960000005</v>
      </c>
      <c r="K174" s="221">
        <f t="shared" ca="1" si="39"/>
        <v>4.0932798336871648E-2</v>
      </c>
      <c r="L174" s="195"/>
      <c r="M174" s="195"/>
      <c r="N174" s="195"/>
      <c r="O174" s="195"/>
      <c r="P174" s="195"/>
      <c r="Q174" s="102"/>
      <c r="V174" s="171"/>
      <c r="W174" s="172"/>
      <c r="X174" s="172"/>
      <c r="Y174" s="172"/>
      <c r="Z174" s="172"/>
      <c r="AA174" s="172"/>
      <c r="AB174" s="172"/>
      <c r="AC174" s="172"/>
      <c r="AD174" s="172"/>
      <c r="AE174" s="172"/>
      <c r="AF174" s="172"/>
      <c r="AG174" s="172"/>
      <c r="AH174" s="172"/>
      <c r="AI174" s="172"/>
      <c r="AJ174" s="172"/>
      <c r="AK174" s="172"/>
      <c r="AL174" s="172"/>
      <c r="AM174" s="172"/>
      <c r="AN174" s="172"/>
      <c r="AO174" s="172"/>
      <c r="AP174" s="172"/>
      <c r="AQ174" s="172"/>
      <c r="AR174" s="172"/>
      <c r="AS174" s="172"/>
    </row>
    <row r="175" spans="1:45">
      <c r="A175" s="211" t="s">
        <v>576</v>
      </c>
      <c r="B175" s="33">
        <f t="shared" ca="1" si="37"/>
        <v>0</v>
      </c>
      <c r="C175" s="33">
        <f t="shared" si="37"/>
        <v>0</v>
      </c>
      <c r="D175" s="33">
        <f t="shared" ca="1" si="37"/>
        <v>0</v>
      </c>
      <c r="E175" s="33">
        <f t="shared" ca="1" si="37"/>
        <v>0</v>
      </c>
      <c r="F175" s="33">
        <f t="shared" ca="1" si="37"/>
        <v>0</v>
      </c>
      <c r="G175" s="33">
        <f t="shared" si="37"/>
        <v>0</v>
      </c>
      <c r="H175" s="33">
        <f t="shared" si="37"/>
        <v>0</v>
      </c>
      <c r="I175" s="33">
        <f t="shared" si="37"/>
        <v>0</v>
      </c>
      <c r="J175" s="213">
        <f t="shared" ca="1" si="38"/>
        <v>0</v>
      </c>
      <c r="K175" s="221">
        <f t="shared" ca="1" si="39"/>
        <v>0</v>
      </c>
      <c r="L175" s="195"/>
      <c r="M175" s="195"/>
      <c r="N175" s="195"/>
      <c r="O175" s="195"/>
      <c r="P175" s="195"/>
      <c r="Q175" s="102"/>
      <c r="V175" s="171"/>
      <c r="W175" s="172"/>
      <c r="X175" s="172"/>
      <c r="Y175" s="172"/>
      <c r="Z175" s="172"/>
      <c r="AA175" s="172"/>
      <c r="AB175" s="172"/>
      <c r="AC175" s="172"/>
      <c r="AD175" s="172"/>
      <c r="AE175" s="172"/>
      <c r="AF175" s="172"/>
      <c r="AG175" s="172"/>
      <c r="AH175" s="172"/>
      <c r="AI175" s="172"/>
      <c r="AJ175" s="172"/>
      <c r="AK175" s="172"/>
      <c r="AL175" s="172"/>
      <c r="AM175" s="172"/>
      <c r="AN175" s="172"/>
      <c r="AO175" s="172"/>
      <c r="AP175" s="172"/>
      <c r="AQ175" s="172"/>
      <c r="AR175" s="172"/>
      <c r="AS175" s="172"/>
    </row>
    <row r="176" spans="1:45">
      <c r="A176" s="211" t="str">
        <f>A131</f>
        <v>Coal-Commercial</v>
      </c>
      <c r="B176" s="33">
        <f t="shared" ca="1" si="37"/>
        <v>0.10597628160000001</v>
      </c>
      <c r="C176" s="33">
        <f t="shared" si="37"/>
        <v>0</v>
      </c>
      <c r="D176" s="33">
        <f t="shared" ca="1" si="37"/>
        <v>2.6494070400000003E-2</v>
      </c>
      <c r="E176" s="33">
        <f t="shared" si="37"/>
        <v>0</v>
      </c>
      <c r="F176" s="33">
        <f t="shared" ca="1" si="37"/>
        <v>0</v>
      </c>
      <c r="G176" s="33">
        <f t="shared" si="37"/>
        <v>0</v>
      </c>
      <c r="H176" s="33">
        <f t="shared" si="37"/>
        <v>0</v>
      </c>
      <c r="I176" s="33">
        <f t="shared" si="37"/>
        <v>0</v>
      </c>
      <c r="J176" s="213">
        <f t="shared" ca="1" si="38"/>
        <v>0.13247035200000001</v>
      </c>
      <c r="K176" s="221">
        <f t="shared" ca="1" si="39"/>
        <v>1.3975243216706437E-3</v>
      </c>
      <c r="L176" s="195"/>
      <c r="M176" s="195"/>
      <c r="N176" s="195"/>
      <c r="O176" s="195"/>
      <c r="P176" s="195"/>
      <c r="Q176" s="102"/>
      <c r="V176" s="171"/>
      <c r="W176" s="172"/>
      <c r="X176" s="172"/>
      <c r="Y176" s="172"/>
      <c r="Z176" s="172"/>
      <c r="AA176" s="172"/>
      <c r="AB176" s="172"/>
      <c r="AC176" s="172"/>
      <c r="AD176" s="172"/>
      <c r="AE176" s="172"/>
      <c r="AF176" s="172"/>
      <c r="AG176" s="172"/>
      <c r="AH176" s="172"/>
      <c r="AI176" s="172"/>
      <c r="AJ176" s="172"/>
      <c r="AK176" s="172"/>
      <c r="AL176" s="172"/>
      <c r="AM176" s="172"/>
      <c r="AN176" s="172"/>
      <c r="AO176" s="172"/>
      <c r="AP176" s="172"/>
      <c r="AQ176" s="172"/>
      <c r="AR176" s="172"/>
      <c r="AS176" s="172"/>
    </row>
    <row r="177" spans="1:66">
      <c r="A177" s="211" t="s">
        <v>665</v>
      </c>
      <c r="B177" s="33">
        <f t="shared" ca="1" si="37"/>
        <v>0</v>
      </c>
      <c r="C177" s="33">
        <f t="shared" si="37"/>
        <v>0</v>
      </c>
      <c r="D177" s="33">
        <f t="shared" ca="1" si="37"/>
        <v>0</v>
      </c>
      <c r="E177" s="33">
        <f t="shared" si="37"/>
        <v>0</v>
      </c>
      <c r="F177" s="33">
        <f t="shared" ca="1" si="37"/>
        <v>0</v>
      </c>
      <c r="G177" s="33">
        <f t="shared" si="37"/>
        <v>0</v>
      </c>
      <c r="H177" s="33">
        <f t="shared" si="37"/>
        <v>0</v>
      </c>
      <c r="I177" s="33">
        <f t="shared" si="37"/>
        <v>0</v>
      </c>
      <c r="J177" s="213">
        <f t="shared" ca="1" si="38"/>
        <v>0</v>
      </c>
      <c r="K177" s="221">
        <f t="shared" ca="1" si="39"/>
        <v>0</v>
      </c>
      <c r="L177" s="195"/>
      <c r="M177" s="195"/>
      <c r="N177" s="195"/>
      <c r="O177" s="195"/>
      <c r="P177" s="195"/>
      <c r="Q177" s="102"/>
      <c r="V177" s="171"/>
      <c r="W177" s="172"/>
      <c r="X177" s="172"/>
      <c r="Y177" s="172"/>
      <c r="Z177" s="172"/>
      <c r="AA177" s="172"/>
      <c r="AB177" s="172"/>
      <c r="AC177" s="172"/>
      <c r="AD177" s="172"/>
      <c r="AE177" s="172"/>
      <c r="AF177" s="172"/>
      <c r="AG177" s="172"/>
      <c r="AH177" s="172"/>
      <c r="AI177" s="172"/>
      <c r="AJ177" s="172"/>
      <c r="AK177" s="172"/>
      <c r="AL177" s="172"/>
      <c r="AM177" s="172"/>
      <c r="AN177" s="172"/>
      <c r="AO177" s="172"/>
      <c r="AP177" s="172"/>
      <c r="AQ177" s="172"/>
      <c r="AR177" s="172"/>
      <c r="AS177" s="172"/>
    </row>
    <row r="178" spans="1:66">
      <c r="A178" s="211" t="s">
        <v>588</v>
      </c>
      <c r="B178" s="33">
        <f t="shared" ca="1" si="37"/>
        <v>3.5493178320000003</v>
      </c>
      <c r="C178" s="33">
        <f t="shared" si="37"/>
        <v>0</v>
      </c>
      <c r="D178" s="33">
        <f t="shared" ca="1" si="37"/>
        <v>0</v>
      </c>
      <c r="E178" s="33">
        <f t="shared" si="37"/>
        <v>0</v>
      </c>
      <c r="F178" s="33">
        <f t="shared" ca="1" si="37"/>
        <v>0</v>
      </c>
      <c r="G178" s="33">
        <f t="shared" si="37"/>
        <v>0</v>
      </c>
      <c r="H178" s="33">
        <f t="shared" si="37"/>
        <v>0</v>
      </c>
      <c r="I178" s="33">
        <f t="shared" si="37"/>
        <v>0</v>
      </c>
      <c r="J178" s="213">
        <f t="shared" ca="1" si="38"/>
        <v>3.5493178320000003</v>
      </c>
      <c r="K178" s="221">
        <f t="shared" ca="1" si="39"/>
        <v>3.7444287877783547E-2</v>
      </c>
      <c r="L178" s="195"/>
      <c r="M178" s="195"/>
      <c r="N178" s="195"/>
      <c r="O178" s="195"/>
      <c r="P178" s="195"/>
      <c r="Q178" s="102"/>
      <c r="V178" s="171"/>
      <c r="W178" s="172"/>
      <c r="X178" s="172"/>
      <c r="Y178" s="172"/>
      <c r="Z178" s="172"/>
      <c r="AA178" s="172"/>
      <c r="AB178" s="172"/>
      <c r="AC178" s="172"/>
      <c r="AD178" s="172"/>
      <c r="AE178" s="172"/>
      <c r="AF178" s="172"/>
      <c r="AG178" s="172"/>
      <c r="AH178" s="172"/>
      <c r="AI178" s="172"/>
      <c r="AJ178" s="172"/>
      <c r="AK178" s="172"/>
      <c r="AL178" s="172"/>
      <c r="AM178" s="172"/>
      <c r="AN178" s="172"/>
      <c r="AO178" s="172"/>
      <c r="AP178" s="172"/>
      <c r="AQ178" s="172"/>
      <c r="AR178" s="172"/>
      <c r="AS178" s="172"/>
    </row>
    <row r="179" spans="1:66">
      <c r="A179" s="211" t="s">
        <v>247</v>
      </c>
      <c r="B179" s="33">
        <f t="shared" ca="1" si="37"/>
        <v>6.5720474489399487</v>
      </c>
      <c r="C179" s="33">
        <f t="shared" ca="1" si="37"/>
        <v>1.7847625823404139</v>
      </c>
      <c r="D179" s="33">
        <f t="shared" ca="1" si="37"/>
        <v>1.6430118622349879</v>
      </c>
      <c r="E179" s="33">
        <f t="shared" ca="1" si="37"/>
        <v>12.524649700634484</v>
      </c>
      <c r="F179" s="33">
        <f t="shared" ca="1" si="37"/>
        <v>1.8941835850263085</v>
      </c>
      <c r="G179" s="33">
        <f t="shared" ca="1" si="37"/>
        <v>3.3148212737960399</v>
      </c>
      <c r="H179" s="33">
        <f t="shared" ca="1" si="37"/>
        <v>3.1504464151745699</v>
      </c>
      <c r="I179" s="33">
        <f t="shared" ca="1" si="37"/>
        <v>16.470666757510958</v>
      </c>
      <c r="J179" s="213">
        <f t="shared" ca="1" si="38"/>
        <v>47.354589625657709</v>
      </c>
      <c r="K179" s="221">
        <f t="shared" ca="1" si="39"/>
        <v>0.49957737520459661</v>
      </c>
      <c r="L179" s="195"/>
      <c r="M179" s="195"/>
      <c r="N179" s="195"/>
      <c r="O179" s="195"/>
      <c r="P179" s="195"/>
      <c r="Q179" s="102"/>
      <c r="V179" s="171"/>
      <c r="W179" s="172"/>
      <c r="X179" s="172"/>
      <c r="Y179" s="172"/>
      <c r="Z179" s="172"/>
      <c r="AA179" s="172"/>
      <c r="AB179" s="172"/>
      <c r="AC179" s="172"/>
      <c r="AD179" s="172"/>
      <c r="AE179" s="172"/>
      <c r="AF179" s="172"/>
      <c r="AG179" s="172"/>
      <c r="AH179" s="172"/>
      <c r="AI179" s="172"/>
      <c r="AJ179" s="172"/>
      <c r="AK179" s="172"/>
      <c r="AL179" s="172"/>
      <c r="AM179" s="172"/>
      <c r="AN179" s="172"/>
      <c r="AO179" s="172"/>
      <c r="AP179" s="172"/>
      <c r="AQ179" s="172"/>
      <c r="AR179" s="172"/>
      <c r="AS179" s="172"/>
    </row>
    <row r="180" spans="1:66">
      <c r="A180" s="211" t="str">
        <f>A135</f>
        <v>Heat</v>
      </c>
      <c r="B180" s="33">
        <f ca="1">B135*$G107</f>
        <v>24.368695278879148</v>
      </c>
      <c r="C180" s="33">
        <f ca="1">MAX(C135*$G107,$P$104*3.6/1000)</f>
        <v>5.9176721120851816E-2</v>
      </c>
      <c r="D180" s="33">
        <f t="shared" ref="D180:I182" ca="1" si="40">D135*$G107</f>
        <v>6.1069680000000011</v>
      </c>
      <c r="E180" s="33">
        <f t="shared" si="40"/>
        <v>0</v>
      </c>
      <c r="F180" s="33">
        <f t="shared" si="40"/>
        <v>0</v>
      </c>
      <c r="G180" s="33">
        <f t="shared" si="40"/>
        <v>0</v>
      </c>
      <c r="H180" s="33">
        <f t="shared" si="40"/>
        <v>0</v>
      </c>
      <c r="I180" s="33">
        <f t="shared" si="40"/>
        <v>0</v>
      </c>
      <c r="J180" s="213">
        <f t="shared" ca="1" si="38"/>
        <v>30.534840000000003</v>
      </c>
      <c r="K180" s="221">
        <f t="shared" ca="1" si="39"/>
        <v>0.32213382778904098</v>
      </c>
      <c r="L180" s="195"/>
      <c r="M180" s="195"/>
      <c r="N180" s="195"/>
      <c r="O180" s="195"/>
      <c r="P180" s="195"/>
      <c r="Q180" s="102"/>
      <c r="V180" s="171"/>
      <c r="W180" s="172"/>
      <c r="X180" s="172"/>
      <c r="Y180" s="172"/>
      <c r="Z180" s="172"/>
      <c r="AA180" s="172"/>
      <c r="AB180" s="172"/>
      <c r="AC180" s="172"/>
      <c r="AD180" s="172"/>
      <c r="AE180" s="172"/>
      <c r="AF180" s="172"/>
      <c r="AG180" s="172"/>
      <c r="AH180" s="172"/>
      <c r="AI180" s="172"/>
      <c r="AJ180" s="172"/>
      <c r="AK180" s="172"/>
      <c r="AL180" s="172"/>
      <c r="AM180" s="172"/>
      <c r="AN180" s="172"/>
      <c r="AO180" s="172"/>
      <c r="AP180" s="172"/>
      <c r="AQ180" s="172"/>
      <c r="AR180" s="172"/>
      <c r="AS180" s="172"/>
    </row>
    <row r="181" spans="1:66">
      <c r="A181" s="211" t="s">
        <v>245</v>
      </c>
      <c r="B181" s="33">
        <f ca="1">B136*$G108</f>
        <v>0</v>
      </c>
      <c r="C181" s="33">
        <f ca="1">C136*$G108</f>
        <v>0</v>
      </c>
      <c r="D181" s="33">
        <f t="shared" ca="1" si="40"/>
        <v>0</v>
      </c>
      <c r="E181" s="33">
        <f t="shared" si="40"/>
        <v>0</v>
      </c>
      <c r="F181" s="33">
        <f t="shared" si="40"/>
        <v>0</v>
      </c>
      <c r="G181" s="33">
        <f t="shared" si="40"/>
        <v>0</v>
      </c>
      <c r="H181" s="33">
        <f t="shared" si="40"/>
        <v>0</v>
      </c>
      <c r="I181" s="33">
        <f t="shared" si="40"/>
        <v>0</v>
      </c>
      <c r="J181" s="213">
        <f t="shared" ca="1" si="38"/>
        <v>0</v>
      </c>
      <c r="K181" s="221">
        <f t="shared" ca="1" si="39"/>
        <v>0</v>
      </c>
      <c r="L181" s="195"/>
      <c r="M181" s="195"/>
      <c r="N181" s="195"/>
      <c r="O181" s="195"/>
      <c r="P181" s="195"/>
      <c r="Q181" s="102"/>
      <c r="V181" s="171"/>
      <c r="W181" s="172"/>
      <c r="X181" s="172"/>
      <c r="Y181" s="172"/>
      <c r="Z181" s="172"/>
      <c r="AA181" s="172"/>
      <c r="AB181" s="172"/>
      <c r="AC181" s="172"/>
      <c r="AD181" s="172"/>
      <c r="AE181" s="172"/>
      <c r="AF181" s="172"/>
      <c r="AG181" s="172"/>
      <c r="AH181" s="172"/>
      <c r="AI181" s="172"/>
      <c r="AJ181" s="172"/>
      <c r="AK181" s="172"/>
      <c r="AL181" s="172"/>
      <c r="AM181" s="172"/>
      <c r="AN181" s="172"/>
      <c r="AO181" s="172"/>
      <c r="AP181" s="172"/>
      <c r="AQ181" s="172"/>
      <c r="AR181" s="172"/>
      <c r="AS181" s="172"/>
    </row>
    <row r="182" spans="1:66">
      <c r="A182" s="211" t="s">
        <v>246</v>
      </c>
      <c r="B182" s="33">
        <f ca="1">B137*$G109</f>
        <v>0</v>
      </c>
      <c r="C182" s="33">
        <f>C137*$G109</f>
        <v>0</v>
      </c>
      <c r="D182" s="33">
        <f t="shared" ca="1" si="40"/>
        <v>0</v>
      </c>
      <c r="E182" s="33">
        <f t="shared" si="40"/>
        <v>0</v>
      </c>
      <c r="F182" s="33">
        <f t="shared" ca="1" si="40"/>
        <v>0</v>
      </c>
      <c r="G182" s="33">
        <f t="shared" si="40"/>
        <v>0</v>
      </c>
      <c r="H182" s="33">
        <f t="shared" si="40"/>
        <v>0</v>
      </c>
      <c r="I182" s="33">
        <f t="shared" si="40"/>
        <v>0</v>
      </c>
      <c r="J182" s="213">
        <f t="shared" ca="1" si="38"/>
        <v>0</v>
      </c>
      <c r="K182" s="221">
        <f t="shared" ca="1" si="39"/>
        <v>0</v>
      </c>
      <c r="L182" s="195"/>
      <c r="M182" s="195"/>
      <c r="N182" s="195"/>
      <c r="O182" s="195"/>
      <c r="P182" s="195"/>
      <c r="Q182" s="102"/>
      <c r="V182" s="171"/>
      <c r="W182" s="172"/>
      <c r="X182" s="172"/>
      <c r="Y182" s="172"/>
      <c r="Z182" s="172"/>
      <c r="AA182" s="172"/>
      <c r="AB182" s="172"/>
      <c r="AC182" s="172"/>
      <c r="AD182" s="172"/>
      <c r="AE182" s="172"/>
      <c r="AF182" s="172"/>
      <c r="AG182" s="172"/>
      <c r="AH182" s="172"/>
      <c r="AI182" s="172"/>
      <c r="AJ182" s="172"/>
      <c r="AK182" s="172"/>
      <c r="AL182" s="172"/>
      <c r="AM182" s="172"/>
      <c r="AN182" s="172"/>
      <c r="AO182" s="172"/>
      <c r="AP182" s="172"/>
      <c r="AQ182" s="172"/>
      <c r="AR182" s="172"/>
      <c r="AS182" s="172"/>
    </row>
    <row r="183" spans="1:66">
      <c r="A183" s="195" t="s">
        <v>248</v>
      </c>
      <c r="B183" s="213">
        <f t="shared" ref="B183:I183" ca="1" si="41">SUM(B172:B182)</f>
        <v>44.693356493724963</v>
      </c>
      <c r="C183" s="213">
        <f t="shared" ca="1" si="41"/>
        <v>1.8439393034612657</v>
      </c>
      <c r="D183" s="213">
        <f t="shared" ca="1" si="41"/>
        <v>10.300803845711457</v>
      </c>
      <c r="E183" s="213">
        <f t="shared" ca="1" si="41"/>
        <v>12.524649700634484</v>
      </c>
      <c r="F183" s="213">
        <f t="shared" ca="1" si="41"/>
        <v>1.9817186578263084</v>
      </c>
      <c r="G183" s="213">
        <f t="shared" ca="1" si="41"/>
        <v>3.3148212737960399</v>
      </c>
      <c r="H183" s="213">
        <f t="shared" ca="1" si="41"/>
        <v>3.1504464151745699</v>
      </c>
      <c r="I183" s="213">
        <f t="shared" ca="1" si="41"/>
        <v>16.979564177912824</v>
      </c>
      <c r="J183" s="213">
        <f t="shared" ca="1" si="38"/>
        <v>94.789299868241912</v>
      </c>
      <c r="K183" s="221">
        <f t="shared" ca="1" si="39"/>
        <v>1</v>
      </c>
      <c r="L183" s="195"/>
      <c r="M183" s="195"/>
      <c r="N183" s="195"/>
      <c r="O183" s="195"/>
      <c r="P183" s="195"/>
      <c r="Q183" s="102"/>
      <c r="V183" s="171"/>
      <c r="W183" s="172"/>
      <c r="X183" s="172"/>
      <c r="Y183" s="172"/>
      <c r="Z183" s="172"/>
      <c r="AA183" s="172"/>
      <c r="AB183" s="172"/>
      <c r="AC183" s="172"/>
      <c r="AD183" s="172"/>
      <c r="AE183" s="172"/>
      <c r="AF183" s="172"/>
      <c r="AG183" s="172"/>
      <c r="AH183" s="172"/>
      <c r="AI183" s="172"/>
      <c r="AJ183" s="172"/>
      <c r="AK183" s="172"/>
      <c r="AL183" s="172"/>
      <c r="AM183" s="172"/>
      <c r="AN183" s="172"/>
      <c r="AO183" s="172"/>
      <c r="AP183" s="172"/>
      <c r="AQ183" s="172"/>
      <c r="AR183" s="172"/>
      <c r="AS183" s="172"/>
    </row>
    <row r="184" spans="1:66">
      <c r="A184" s="195" t="s">
        <v>337</v>
      </c>
      <c r="B184" s="215">
        <f t="shared" ref="B184:J184" ca="1" si="42">B183/$J$183</f>
        <v>0.47150212688403842</v>
      </c>
      <c r="C184" s="215">
        <f t="shared" ca="1" si="42"/>
        <v>1.9453032209588637E-2</v>
      </c>
      <c r="D184" s="215">
        <f t="shared" ca="1" si="42"/>
        <v>0.10867053412178039</v>
      </c>
      <c r="E184" s="215">
        <f t="shared" ca="1" si="42"/>
        <v>0.13213147178050555</v>
      </c>
      <c r="F184" s="215">
        <f t="shared" ca="1" si="42"/>
        <v>2.0906564987619041E-2</v>
      </c>
      <c r="G184" s="215">
        <f t="shared" ca="1" si="42"/>
        <v>3.4970416264321763E-2</v>
      </c>
      <c r="H184" s="215">
        <f t="shared" ca="1" si="42"/>
        <v>3.3236308523786146E-2</v>
      </c>
      <c r="I184" s="215">
        <f t="shared" ca="1" si="42"/>
        <v>0.17912954522836005</v>
      </c>
      <c r="J184" s="215">
        <f t="shared" ca="1" si="42"/>
        <v>1</v>
      </c>
      <c r="K184" s="195"/>
      <c r="L184" s="195"/>
      <c r="M184" s="195"/>
      <c r="N184" s="195"/>
      <c r="O184" s="195"/>
      <c r="P184" s="195"/>
      <c r="Q184" s="102"/>
      <c r="V184" s="171"/>
      <c r="W184" s="172"/>
      <c r="X184" s="172"/>
      <c r="Y184" s="172"/>
      <c r="Z184" s="172"/>
      <c r="AA184" s="172"/>
      <c r="AB184" s="172"/>
      <c r="AC184" s="172"/>
      <c r="AD184" s="172"/>
      <c r="AE184" s="172"/>
      <c r="AF184" s="172"/>
      <c r="AG184" s="172"/>
      <c r="AH184" s="172"/>
      <c r="AI184" s="172"/>
      <c r="AJ184" s="172"/>
      <c r="AK184" s="172"/>
      <c r="AL184" s="172"/>
      <c r="AM184" s="172"/>
      <c r="AN184" s="172"/>
      <c r="AO184" s="172"/>
      <c r="AP184" s="172"/>
      <c r="AQ184" s="172"/>
      <c r="AR184" s="172"/>
      <c r="AS184" s="172"/>
    </row>
    <row r="185" spans="1:66">
      <c r="A185" s="195"/>
      <c r="B185" s="195"/>
      <c r="C185" s="195"/>
      <c r="D185" s="195"/>
      <c r="E185" s="195"/>
      <c r="F185" s="195"/>
      <c r="G185" s="195"/>
      <c r="H185" s="195"/>
      <c r="I185" s="195"/>
      <c r="J185" s="195"/>
      <c r="K185" s="195"/>
      <c r="L185" s="195"/>
      <c r="M185" s="195"/>
      <c r="N185" s="195"/>
      <c r="O185" s="195"/>
      <c r="P185" s="195"/>
      <c r="Q185" s="102"/>
      <c r="V185" s="171"/>
      <c r="W185" s="172"/>
      <c r="X185" s="172"/>
      <c r="Y185" s="172"/>
      <c r="Z185" s="172"/>
      <c r="AA185" s="172"/>
      <c r="AB185" s="172"/>
      <c r="AC185" s="172"/>
      <c r="AD185" s="172"/>
      <c r="AE185" s="172"/>
      <c r="AF185" s="172"/>
      <c r="AG185" s="172"/>
      <c r="AH185" s="172"/>
      <c r="AI185" s="172"/>
      <c r="AJ185" s="172"/>
      <c r="AK185" s="172"/>
      <c r="AL185" s="172"/>
      <c r="AM185" s="172"/>
      <c r="AN185" s="172"/>
      <c r="AO185" s="172"/>
      <c r="AP185" s="172"/>
      <c r="AQ185" s="172"/>
      <c r="AR185" s="172"/>
      <c r="AS185" s="172"/>
    </row>
    <row r="186" spans="1:66">
      <c r="A186" s="195"/>
      <c r="B186" s="195"/>
      <c r="C186" s="195"/>
      <c r="D186" s="195"/>
      <c r="E186" s="195"/>
      <c r="F186" s="195"/>
      <c r="G186" s="195"/>
      <c r="H186" s="195"/>
      <c r="I186" s="195"/>
      <c r="J186" s="195"/>
      <c r="K186" s="195"/>
      <c r="L186" s="195"/>
      <c r="M186" s="195"/>
      <c r="N186" s="195"/>
      <c r="O186" s="195"/>
      <c r="P186" s="195"/>
      <c r="Q186" s="102"/>
      <c r="V186" s="171"/>
      <c r="W186" s="172"/>
      <c r="X186" s="172"/>
      <c r="Y186" s="172"/>
      <c r="Z186" s="172"/>
      <c r="AA186" s="172"/>
      <c r="AB186" s="172"/>
      <c r="AC186" s="172"/>
      <c r="AD186" s="172"/>
      <c r="AE186" s="172"/>
      <c r="AF186" s="172"/>
      <c r="AG186" s="172"/>
      <c r="AH186" s="172"/>
      <c r="AI186" s="172"/>
      <c r="AJ186" s="172"/>
      <c r="AK186" s="172"/>
      <c r="AL186" s="172"/>
      <c r="AM186" s="172"/>
      <c r="AN186" s="172"/>
      <c r="AO186" s="172"/>
      <c r="AP186" s="172"/>
      <c r="AQ186" s="172"/>
      <c r="AR186" s="172"/>
      <c r="AS186" s="172"/>
    </row>
    <row r="187" spans="1:66" ht="18">
      <c r="A187" s="243" t="s">
        <v>236</v>
      </c>
      <c r="B187" s="195"/>
      <c r="C187" s="195"/>
      <c r="D187" s="195"/>
      <c r="E187" s="195"/>
      <c r="F187" s="195"/>
      <c r="G187" s="195"/>
      <c r="H187" s="230"/>
      <c r="I187" s="195"/>
      <c r="J187" s="195"/>
      <c r="K187" s="195"/>
      <c r="L187" s="195"/>
      <c r="M187" s="195"/>
      <c r="N187" s="195"/>
      <c r="O187" s="195"/>
      <c r="P187" s="195"/>
      <c r="Q187" s="102"/>
      <c r="V187" s="171"/>
      <c r="W187" s="172"/>
      <c r="X187" s="172"/>
      <c r="Y187" s="172"/>
      <c r="Z187" s="172"/>
      <c r="AA187" s="172"/>
      <c r="AB187" s="172"/>
      <c r="AC187" s="172"/>
      <c r="AD187" s="172"/>
      <c r="AE187" s="172"/>
      <c r="AF187" s="172"/>
      <c r="AG187" s="172"/>
      <c r="AH187" s="172"/>
      <c r="AI187" s="172"/>
      <c r="AJ187" s="172"/>
      <c r="AK187" s="172"/>
      <c r="AL187" s="172"/>
      <c r="AM187" s="172"/>
      <c r="AN187" s="172"/>
      <c r="AO187" s="172"/>
      <c r="AP187" s="172"/>
      <c r="AQ187" s="172"/>
      <c r="AR187" s="172"/>
      <c r="AS187" s="172"/>
    </row>
    <row r="188" spans="1:66" s="22" customFormat="1" ht="18">
      <c r="A188" s="204"/>
      <c r="B188" s="131" t="s">
        <v>527</v>
      </c>
      <c r="C188" s="98"/>
      <c r="D188" s="98"/>
      <c r="E188" s="195"/>
      <c r="F188" s="131" t="s">
        <v>528</v>
      </c>
      <c r="G188" s="98"/>
      <c r="H188" s="134"/>
      <c r="I188" s="98"/>
      <c r="J188" s="195"/>
      <c r="K188" s="131" t="s">
        <v>723</v>
      </c>
      <c r="L188" s="98"/>
      <c r="M188" s="134"/>
      <c r="N188" s="134"/>
      <c r="O188" s="195"/>
      <c r="P188" s="195"/>
      <c r="Q188" s="102"/>
      <c r="R188"/>
      <c r="S188"/>
      <c r="T188"/>
      <c r="U188"/>
      <c r="V188" s="171"/>
      <c r="W188" s="172"/>
      <c r="X188" s="172"/>
      <c r="Y188" s="172"/>
      <c r="Z188" s="172"/>
      <c r="AA188" s="172"/>
      <c r="AB188" s="172"/>
      <c r="AC188" s="172"/>
      <c r="AD188" s="172"/>
      <c r="AE188" s="172"/>
      <c r="AF188" s="172"/>
      <c r="AG188" s="172"/>
      <c r="AH188" s="172"/>
      <c r="AI188" s="172"/>
      <c r="AJ188" s="172"/>
      <c r="AK188" s="172"/>
      <c r="AL188" s="172"/>
      <c r="AM188" s="172"/>
      <c r="AN188" s="172"/>
      <c r="AO188" s="172"/>
      <c r="AP188" s="172"/>
      <c r="AQ188" s="172"/>
      <c r="AR188" s="172"/>
      <c r="AS188" s="172"/>
      <c r="AT188"/>
      <c r="AU188"/>
      <c r="AV188"/>
      <c r="AW188"/>
      <c r="AX188"/>
      <c r="AY188"/>
      <c r="AZ188"/>
      <c r="BA188"/>
      <c r="BB188"/>
      <c r="BC188"/>
      <c r="BD188"/>
      <c r="BE188"/>
      <c r="BF188"/>
      <c r="BG188"/>
      <c r="BH188"/>
      <c r="BI188"/>
      <c r="BJ188"/>
      <c r="BK188"/>
      <c r="BL188"/>
      <c r="BM188"/>
    </row>
    <row r="189" spans="1:66" s="22" customFormat="1">
      <c r="A189" s="196" t="s">
        <v>374</v>
      </c>
      <c r="B189" s="200" t="s">
        <v>369</v>
      </c>
      <c r="C189" s="195"/>
      <c r="D189" s="195"/>
      <c r="E189" s="195"/>
      <c r="L189" s="306" t="s">
        <v>724</v>
      </c>
      <c r="M189" s="306" t="s">
        <v>725</v>
      </c>
      <c r="N189" s="306" t="s">
        <v>414</v>
      </c>
      <c r="O189" s="306" t="s">
        <v>724</v>
      </c>
      <c r="P189" s="306" t="s">
        <v>725</v>
      </c>
      <c r="Q189" s="306" t="s">
        <v>414</v>
      </c>
      <c r="R189"/>
      <c r="S189"/>
      <c r="T189"/>
      <c r="U189"/>
      <c r="V189" s="171"/>
      <c r="W189" s="172"/>
      <c r="X189" s="172"/>
      <c r="Y189" s="172"/>
      <c r="Z189" s="172"/>
      <c r="AA189" s="172"/>
      <c r="AB189" s="172"/>
      <c r="AC189" s="172"/>
      <c r="AD189" s="172"/>
      <c r="AE189" s="172"/>
      <c r="AF189" s="172"/>
      <c r="AG189" s="172"/>
      <c r="AH189" s="172"/>
      <c r="AI189" s="172"/>
      <c r="AJ189" s="172"/>
      <c r="AK189" s="172"/>
      <c r="AL189" s="172"/>
      <c r="AM189" s="172"/>
      <c r="AN189" s="172"/>
      <c r="AO189" s="172"/>
      <c r="AP189" s="172"/>
      <c r="AQ189" s="172"/>
      <c r="AR189" s="172"/>
      <c r="AS189" s="172"/>
      <c r="AT189"/>
      <c r="AU189"/>
      <c r="AV189"/>
      <c r="AW189"/>
      <c r="AX189"/>
      <c r="AY189"/>
      <c r="AZ189"/>
      <c r="BA189"/>
      <c r="BB189"/>
      <c r="BC189"/>
      <c r="BD189"/>
      <c r="BE189"/>
      <c r="BF189"/>
      <c r="BG189"/>
      <c r="BH189"/>
      <c r="BI189"/>
      <c r="BJ189"/>
      <c r="BK189"/>
      <c r="BL189"/>
      <c r="BM189"/>
    </row>
    <row r="190" spans="1:66" s="22" customFormat="1">
      <c r="A190" s="195" t="s">
        <v>403</v>
      </c>
      <c r="B190" s="47">
        <v>0.39407133600000005</v>
      </c>
      <c r="C190" s="202">
        <v>0.39407133600000005</v>
      </c>
      <c r="D190" s="75" t="s">
        <v>436</v>
      </c>
      <c r="E190" s="195"/>
      <c r="F190" s="43" t="s">
        <v>244</v>
      </c>
      <c r="G190" s="44">
        <f>$B190+$B191+$B192+$B205</f>
        <v>0.39407133600000005</v>
      </c>
      <c r="H190" s="91" t="s">
        <v>427</v>
      </c>
      <c r="I190" s="195"/>
      <c r="J190" s="195"/>
      <c r="K190" s="43" t="s">
        <v>427</v>
      </c>
      <c r="L190" s="268"/>
      <c r="M190" s="268">
        <v>0.1</v>
      </c>
      <c r="N190" s="268">
        <f t="shared" ref="N190:N201" si="43">1-SUM(L190:M190)</f>
        <v>0.9</v>
      </c>
      <c r="O190" s="308">
        <f t="array" ref="O190:Q201">L190:N201*G190:G201</f>
        <v>0</v>
      </c>
      <c r="P190" s="308">
        <v>3.9407133600000005E-2</v>
      </c>
      <c r="Q190" s="308">
        <v>0.35466420240000007</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row>
    <row r="191" spans="1:66" s="22" customFormat="1">
      <c r="A191" s="205" t="s">
        <v>182</v>
      </c>
      <c r="B191" s="47">
        <v>0</v>
      </c>
      <c r="C191" s="202">
        <v>0</v>
      </c>
      <c r="D191" s="75" t="s">
        <v>440</v>
      </c>
      <c r="E191" s="195"/>
      <c r="F191" s="43" t="s">
        <v>413</v>
      </c>
      <c r="G191" s="44">
        <f>$B193+$B197+B204</f>
        <v>18.051392448000005</v>
      </c>
      <c r="H191" s="91" t="s">
        <v>428</v>
      </c>
      <c r="I191" s="195"/>
      <c r="J191" s="195"/>
      <c r="K191" s="43" t="s">
        <v>428</v>
      </c>
      <c r="L191" s="268">
        <v>0.8</v>
      </c>
      <c r="M191" s="268">
        <v>0</v>
      </c>
      <c r="N191" s="268">
        <f t="shared" si="43"/>
        <v>0.19999999999999996</v>
      </c>
      <c r="O191" s="308">
        <v>14.441113958400004</v>
      </c>
      <c r="P191" s="308">
        <v>0</v>
      </c>
      <c r="Q191" s="308">
        <v>3.6102784896000002</v>
      </c>
      <c r="R191"/>
      <c r="S191"/>
      <c r="T191"/>
      <c r="U191"/>
      <c r="V191" s="171"/>
      <c r="W191" s="172"/>
      <c r="X191" s="172"/>
      <c r="Y191" s="172"/>
      <c r="Z191" s="172"/>
      <c r="AA191" s="172"/>
      <c r="AB191" s="172"/>
      <c r="AC191" s="172"/>
      <c r="AD191" s="172"/>
      <c r="AE191" s="172"/>
      <c r="AF191" s="172"/>
      <c r="AG191" s="172"/>
      <c r="AH191" s="172"/>
      <c r="AI191" s="172"/>
      <c r="AJ191" s="172"/>
      <c r="AK191" s="172"/>
      <c r="AL191" s="172"/>
      <c r="AM191" s="172"/>
      <c r="AN191" s="172"/>
      <c r="AO191" s="172"/>
      <c r="AP191" s="172"/>
      <c r="AQ191" s="172"/>
      <c r="AR191" s="172"/>
      <c r="AS191" s="172"/>
      <c r="AT191"/>
      <c r="AU191"/>
      <c r="AV191"/>
      <c r="AW191"/>
      <c r="AX191"/>
      <c r="AY191"/>
      <c r="AZ191"/>
      <c r="BA191"/>
      <c r="BB191"/>
      <c r="BC191"/>
      <c r="BD191"/>
      <c r="BE191"/>
      <c r="BF191"/>
      <c r="BG191"/>
      <c r="BH191"/>
      <c r="BI191"/>
      <c r="BJ191"/>
      <c r="BK191"/>
      <c r="BL191"/>
      <c r="BM191"/>
      <c r="BN191"/>
    </row>
    <row r="192" spans="1:66" s="22" customFormat="1">
      <c r="A192" s="205" t="s">
        <v>183</v>
      </c>
      <c r="B192" s="47">
        <v>0</v>
      </c>
      <c r="C192" s="202">
        <v>0</v>
      </c>
      <c r="D192" s="75" t="s">
        <v>441</v>
      </c>
      <c r="E192" s="195"/>
      <c r="F192" s="43" t="s">
        <v>251</v>
      </c>
      <c r="G192" s="44">
        <f>$B196</f>
        <v>3.4320036959999998</v>
      </c>
      <c r="H192" s="91" t="s">
        <v>137</v>
      </c>
      <c r="I192" s="195"/>
      <c r="J192" s="195"/>
      <c r="K192" s="43" t="s">
        <v>137</v>
      </c>
      <c r="L192" s="268">
        <v>1</v>
      </c>
      <c r="M192" s="268"/>
      <c r="N192" s="268">
        <f t="shared" si="43"/>
        <v>0</v>
      </c>
      <c r="O192" s="308">
        <v>3.4320036959999998</v>
      </c>
      <c r="P192" s="308">
        <v>0</v>
      </c>
      <c r="Q192" s="308">
        <v>0</v>
      </c>
      <c r="R192"/>
      <c r="S192"/>
      <c r="T192"/>
      <c r="U192"/>
      <c r="V192" s="171"/>
      <c r="W192" s="172"/>
      <c r="X192" s="172"/>
      <c r="Y192" s="172"/>
      <c r="Z192" s="172"/>
      <c r="AA192" s="172"/>
      <c r="AB192" s="172"/>
      <c r="AC192" s="172"/>
      <c r="AD192" s="172"/>
      <c r="AE192" s="172"/>
      <c r="AF192" s="172"/>
      <c r="AG192" s="172"/>
      <c r="AH192" s="172"/>
      <c r="AI192" s="172"/>
      <c r="AJ192" s="172"/>
      <c r="AK192" s="172"/>
      <c r="AL192" s="172"/>
      <c r="AM192" s="172"/>
      <c r="AN192" s="172"/>
      <c r="AO192" s="172"/>
      <c r="AP192" s="172"/>
      <c r="AQ192" s="172"/>
      <c r="AR192" s="172"/>
      <c r="AS192" s="172"/>
      <c r="AT192"/>
      <c r="AU192"/>
      <c r="AV192"/>
      <c r="AW192"/>
      <c r="AX192"/>
      <c r="AY192"/>
      <c r="AZ192"/>
      <c r="BA192"/>
      <c r="BB192"/>
      <c r="BC192"/>
      <c r="BD192"/>
      <c r="BE192"/>
      <c r="BF192"/>
      <c r="BG192"/>
      <c r="BH192"/>
      <c r="BI192"/>
      <c r="BJ192"/>
      <c r="BK192"/>
      <c r="BL192"/>
      <c r="BM192"/>
      <c r="BN192"/>
    </row>
    <row r="193" spans="1:66" s="22" customFormat="1">
      <c r="A193" s="195" t="s">
        <v>411</v>
      </c>
      <c r="B193" s="47">
        <v>16.113029652000005</v>
      </c>
      <c r="C193" s="202">
        <v>16.113029652000005</v>
      </c>
      <c r="D193" s="75" t="s">
        <v>221</v>
      </c>
      <c r="E193" s="195"/>
      <c r="F193" s="43" t="s">
        <v>574</v>
      </c>
      <c r="G193" s="44">
        <f>$B194</f>
        <v>2.8399901759999997</v>
      </c>
      <c r="H193" s="91" t="s">
        <v>583</v>
      </c>
      <c r="I193" s="195"/>
      <c r="J193" s="195"/>
      <c r="K193" s="43" t="s">
        <v>583</v>
      </c>
      <c r="L193" s="268"/>
      <c r="M193" s="268"/>
      <c r="N193" s="268">
        <f t="shared" si="43"/>
        <v>1</v>
      </c>
      <c r="O193" s="308">
        <v>0</v>
      </c>
      <c r="P193" s="308">
        <v>0</v>
      </c>
      <c r="Q193" s="308">
        <v>2.8399901759999997</v>
      </c>
      <c r="R193"/>
      <c r="S193"/>
      <c r="T193"/>
      <c r="U193"/>
      <c r="V193" s="171"/>
      <c r="W193" s="172"/>
      <c r="X193" s="172"/>
      <c r="Y193" s="172"/>
      <c r="Z193" s="172"/>
      <c r="AA193" s="172"/>
      <c r="AB193" s="172"/>
      <c r="AC193" s="172"/>
      <c r="AD193" s="172"/>
      <c r="AE193" s="172"/>
      <c r="AF193" s="172"/>
      <c r="AG193" s="172"/>
      <c r="AH193" s="172"/>
      <c r="AI193" s="172"/>
      <c r="AJ193" s="172"/>
      <c r="AK193" s="172"/>
      <c r="AL193" s="172"/>
      <c r="AM193" s="172"/>
      <c r="AN193" s="172"/>
      <c r="AO193" s="172"/>
      <c r="AP193" s="172"/>
      <c r="AQ193" s="172"/>
      <c r="AR193" s="172"/>
      <c r="AS193" s="172"/>
      <c r="AT193"/>
      <c r="AU193"/>
      <c r="AV193"/>
      <c r="AW193"/>
      <c r="AX193"/>
      <c r="AY193"/>
      <c r="AZ193"/>
      <c r="BA193"/>
      <c r="BB193"/>
      <c r="BC193"/>
      <c r="BD193"/>
      <c r="BE193"/>
      <c r="BF193"/>
      <c r="BG193"/>
      <c r="BH193"/>
      <c r="BI193"/>
      <c r="BJ193"/>
      <c r="BK193"/>
      <c r="BL193"/>
      <c r="BM193"/>
      <c r="BN193"/>
    </row>
    <row r="194" spans="1:66" s="22" customFormat="1">
      <c r="A194" s="195" t="s">
        <v>410</v>
      </c>
      <c r="B194" s="47">
        <v>2.8399901759999997</v>
      </c>
      <c r="C194" s="202">
        <v>2.8399901759999997</v>
      </c>
      <c r="D194" s="75" t="s">
        <v>217</v>
      </c>
      <c r="E194" s="195"/>
      <c r="F194" s="43" t="s">
        <v>576</v>
      </c>
      <c r="G194" s="44">
        <f>$B195</f>
        <v>0</v>
      </c>
      <c r="H194" s="91" t="s">
        <v>584</v>
      </c>
      <c r="I194" s="195"/>
      <c r="J194" s="195"/>
      <c r="K194" s="43" t="s">
        <v>584</v>
      </c>
      <c r="L194" s="268"/>
      <c r="M194" s="268">
        <v>0.2</v>
      </c>
      <c r="N194" s="268">
        <f t="shared" si="43"/>
        <v>0.8</v>
      </c>
      <c r="O194" s="308">
        <v>0</v>
      </c>
      <c r="P194" s="308">
        <v>0</v>
      </c>
      <c r="Q194" s="308">
        <v>0</v>
      </c>
      <c r="R194"/>
      <c r="S194"/>
      <c r="T194"/>
      <c r="U194"/>
      <c r="V194" s="171"/>
      <c r="W194" s="172"/>
      <c r="X194" s="172"/>
      <c r="Y194" s="172"/>
      <c r="Z194" s="172"/>
      <c r="AA194" s="172"/>
      <c r="AB194" s="172"/>
      <c r="AC194" s="172"/>
      <c r="AD194" s="172"/>
      <c r="AE194" s="172"/>
      <c r="AF194" s="172"/>
      <c r="AG194" s="172"/>
      <c r="AH194" s="172"/>
      <c r="AI194" s="172"/>
      <c r="AJ194" s="172"/>
      <c r="AK194" s="172"/>
      <c r="AL194" s="172"/>
      <c r="AM194" s="172"/>
      <c r="AN194" s="172"/>
      <c r="AO194" s="172"/>
      <c r="AP194" s="172"/>
      <c r="AQ194" s="172"/>
      <c r="AR194" s="172"/>
      <c r="AS194" s="172"/>
      <c r="AT194"/>
      <c r="AU194"/>
      <c r="AV194"/>
      <c r="AW194"/>
      <c r="AX194"/>
      <c r="AY194"/>
      <c r="AZ194"/>
      <c r="BA194"/>
      <c r="BB194"/>
      <c r="BC194"/>
      <c r="BD194"/>
      <c r="BE194"/>
      <c r="BF194"/>
      <c r="BG194"/>
      <c r="BH194"/>
      <c r="BI194"/>
      <c r="BJ194"/>
      <c r="BK194"/>
      <c r="BL194"/>
      <c r="BM194"/>
      <c r="BN194"/>
    </row>
    <row r="195" spans="1:66" s="22" customFormat="1">
      <c r="A195" s="195" t="s">
        <v>409</v>
      </c>
      <c r="B195" s="47">
        <v>0</v>
      </c>
      <c r="C195" s="195">
        <v>0</v>
      </c>
      <c r="D195" s="75" t="s">
        <v>219</v>
      </c>
      <c r="E195" s="195"/>
      <c r="F195" s="43" t="s">
        <v>664</v>
      </c>
      <c r="G195" s="44">
        <f>($B198+$B199+$B200)</f>
        <v>0.88898324400000006</v>
      </c>
      <c r="H195" s="91" t="s">
        <v>1018</v>
      </c>
      <c r="I195" s="195"/>
      <c r="J195" s="195"/>
      <c r="K195" s="43" t="s">
        <v>1018</v>
      </c>
      <c r="L195" s="268"/>
      <c r="M195" s="268"/>
      <c r="N195" s="268">
        <f t="shared" si="43"/>
        <v>1</v>
      </c>
      <c r="O195" s="308">
        <v>0</v>
      </c>
      <c r="P195" s="308">
        <v>0</v>
      </c>
      <c r="Q195" s="308">
        <v>0.88898324400000006</v>
      </c>
      <c r="R195"/>
      <c r="S195"/>
      <c r="T195"/>
      <c r="U195"/>
      <c r="V195" s="171"/>
      <c r="W195" s="172"/>
      <c r="X195" s="172"/>
      <c r="Y195" s="172"/>
      <c r="Z195" s="172"/>
      <c r="AA195" s="172"/>
      <c r="AB195" s="172"/>
      <c r="AC195" s="172"/>
      <c r="AD195" s="172"/>
      <c r="AE195" s="172"/>
      <c r="AF195" s="172"/>
      <c r="AG195" s="172"/>
      <c r="AH195" s="172"/>
      <c r="AI195" s="172"/>
      <c r="AJ195" s="172"/>
      <c r="AK195" s="172"/>
      <c r="AL195" s="172"/>
      <c r="AM195" s="172"/>
      <c r="AN195" s="172"/>
      <c r="AO195" s="172"/>
      <c r="AP195" s="172"/>
      <c r="AQ195" s="172"/>
      <c r="AR195" s="172"/>
      <c r="AS195" s="172"/>
      <c r="AT195"/>
      <c r="AU195"/>
      <c r="AV195"/>
      <c r="AW195"/>
      <c r="AX195"/>
      <c r="AY195"/>
      <c r="AZ195"/>
      <c r="BA195"/>
      <c r="BB195"/>
      <c r="BC195"/>
      <c r="BD195"/>
      <c r="BE195"/>
      <c r="BF195"/>
      <c r="BG195"/>
      <c r="BH195"/>
      <c r="BI195"/>
      <c r="BJ195"/>
      <c r="BK195"/>
      <c r="BL195"/>
      <c r="BM195"/>
      <c r="BN195"/>
    </row>
    <row r="196" spans="1:66" s="22" customFormat="1">
      <c r="A196" s="195" t="s">
        <v>426</v>
      </c>
      <c r="B196" s="45">
        <v>3.4320036959999998</v>
      </c>
      <c r="C196" s="202">
        <v>3.4320036959999998</v>
      </c>
      <c r="D196" s="76" t="s">
        <v>220</v>
      </c>
      <c r="E196" s="195"/>
      <c r="F196" s="43" t="s">
        <v>405</v>
      </c>
      <c r="G196" s="44">
        <f>$B201</f>
        <v>0.18400986</v>
      </c>
      <c r="H196" s="91" t="s">
        <v>430</v>
      </c>
      <c r="I196" s="195"/>
      <c r="J196" s="195"/>
      <c r="K196" s="43" t="s">
        <v>430</v>
      </c>
      <c r="L196" s="268"/>
      <c r="M196" s="268">
        <v>0.2</v>
      </c>
      <c r="N196" s="268">
        <f t="shared" si="43"/>
        <v>0.8</v>
      </c>
      <c r="O196" s="308">
        <v>0</v>
      </c>
      <c r="P196" s="308">
        <v>3.6801972000000002E-2</v>
      </c>
      <c r="Q196" s="308">
        <v>0.14720788800000001</v>
      </c>
      <c r="R196"/>
      <c r="S196"/>
      <c r="T196"/>
      <c r="U196"/>
      <c r="V196" s="171"/>
      <c r="W196" s="172"/>
      <c r="X196" s="172"/>
      <c r="Y196" s="172"/>
      <c r="Z196" s="172"/>
      <c r="AA196" s="172"/>
      <c r="AB196" s="172"/>
      <c r="AC196" s="172"/>
      <c r="AD196" s="172"/>
      <c r="AE196" s="172"/>
      <c r="AF196" s="172"/>
      <c r="AG196" s="172"/>
      <c r="AH196" s="172"/>
      <c r="AI196" s="172"/>
      <c r="AJ196" s="172"/>
      <c r="AK196" s="172"/>
      <c r="AL196" s="172"/>
      <c r="AM196" s="172"/>
      <c r="AN196" s="172"/>
      <c r="AO196" s="172"/>
      <c r="AP196" s="172"/>
      <c r="AQ196" s="172"/>
      <c r="AR196" s="172"/>
      <c r="AS196" s="172"/>
      <c r="AT196"/>
      <c r="AU196"/>
      <c r="AV196"/>
      <c r="AW196"/>
      <c r="AX196"/>
      <c r="AY196"/>
      <c r="AZ196"/>
      <c r="BA196"/>
      <c r="BB196"/>
      <c r="BC196"/>
      <c r="BD196"/>
      <c r="BE196"/>
      <c r="BF196"/>
      <c r="BG196"/>
      <c r="BH196"/>
      <c r="BI196"/>
      <c r="BJ196"/>
      <c r="BK196"/>
      <c r="BL196"/>
      <c r="BM196"/>
      <c r="BN196"/>
    </row>
    <row r="197" spans="1:66" s="22" customFormat="1">
      <c r="A197" s="205" t="s">
        <v>184</v>
      </c>
      <c r="B197" s="45">
        <v>1.533582972</v>
      </c>
      <c r="C197" s="202">
        <v>1.533582972</v>
      </c>
      <c r="D197" s="75" t="s">
        <v>647</v>
      </c>
      <c r="E197" s="195"/>
      <c r="F197" s="43" t="s">
        <v>588</v>
      </c>
      <c r="G197" s="44">
        <f>$B202+$B203+$B206+$B207</f>
        <v>5.9664470400000003</v>
      </c>
      <c r="H197" s="91" t="s">
        <v>431</v>
      </c>
      <c r="I197" s="195"/>
      <c r="J197" s="195"/>
      <c r="K197" s="43" t="s">
        <v>431</v>
      </c>
      <c r="L197" s="268"/>
      <c r="M197" s="268"/>
      <c r="N197" s="268">
        <f t="shared" si="43"/>
        <v>1</v>
      </c>
      <c r="O197" s="308">
        <v>0</v>
      </c>
      <c r="P197" s="308">
        <v>0</v>
      </c>
      <c r="Q197" s="308">
        <v>5.9664470400000003</v>
      </c>
      <c r="R197"/>
      <c r="S197"/>
      <c r="T197"/>
      <c r="U197"/>
      <c r="V197" s="171"/>
      <c r="W197" s="172"/>
      <c r="X197" s="172"/>
      <c r="Y197" s="172"/>
      <c r="Z197" s="172"/>
      <c r="AA197" s="172"/>
      <c r="AB197" s="172"/>
      <c r="AC197" s="172"/>
      <c r="AD197" s="172"/>
      <c r="AE197" s="172"/>
      <c r="AF197" s="172"/>
      <c r="AG197" s="172"/>
      <c r="AH197" s="172"/>
      <c r="AI197" s="172"/>
      <c r="AJ197" s="172"/>
      <c r="AK197" s="172"/>
      <c r="AL197" s="172"/>
      <c r="AM197" s="172"/>
      <c r="AN197" s="172"/>
      <c r="AO197" s="172"/>
      <c r="AP197" s="172"/>
      <c r="AQ197" s="172"/>
      <c r="AR197" s="172"/>
      <c r="AS197" s="172"/>
      <c r="AT197"/>
      <c r="AU197"/>
      <c r="AV197"/>
      <c r="AW197"/>
      <c r="AX197"/>
      <c r="AY197"/>
      <c r="AZ197"/>
      <c r="BA197"/>
      <c r="BB197"/>
      <c r="BC197"/>
      <c r="BD197"/>
      <c r="BE197"/>
      <c r="BF197"/>
      <c r="BG197"/>
      <c r="BH197"/>
      <c r="BI197"/>
      <c r="BJ197"/>
      <c r="BK197"/>
      <c r="BL197"/>
      <c r="BM197"/>
      <c r="BN197"/>
    </row>
    <row r="198" spans="1:66" s="22" customFormat="1">
      <c r="A198" s="205" t="s">
        <v>375</v>
      </c>
      <c r="B198" s="47">
        <v>0.17567812799999999</v>
      </c>
      <c r="C198" s="202">
        <v>0.17567812799999999</v>
      </c>
      <c r="D198" s="75" t="s">
        <v>437</v>
      </c>
      <c r="E198" s="195"/>
      <c r="F198" s="43" t="s">
        <v>247</v>
      </c>
      <c r="G198" s="44">
        <f>$B208</f>
        <v>5.3275320000000006</v>
      </c>
      <c r="H198" s="91" t="s">
        <v>432</v>
      </c>
      <c r="I198" s="195"/>
      <c r="J198" s="195"/>
      <c r="K198" s="43" t="s">
        <v>1257</v>
      </c>
      <c r="L198" s="268"/>
      <c r="M198" s="268">
        <v>0.4</v>
      </c>
      <c r="N198" s="268">
        <f t="shared" si="43"/>
        <v>0.6</v>
      </c>
      <c r="O198" s="308">
        <v>0</v>
      </c>
      <c r="P198" s="308">
        <v>2.1310128000000002</v>
      </c>
      <c r="Q198" s="308">
        <v>3.1965192000000004</v>
      </c>
      <c r="R198"/>
      <c r="S198"/>
      <c r="T198"/>
      <c r="U198"/>
      <c r="V198" s="171"/>
      <c r="W198" s="172"/>
      <c r="X198" s="172"/>
      <c r="Y198" s="172"/>
      <c r="Z198" s="172"/>
      <c r="AA198" s="172"/>
      <c r="AB198" s="172"/>
      <c r="AC198" s="172"/>
      <c r="AD198" s="172"/>
      <c r="AE198" s="172"/>
      <c r="AF198" s="172"/>
      <c r="AG198" s="172"/>
      <c r="AH198" s="172"/>
      <c r="AI198" s="172"/>
      <c r="AJ198" s="172"/>
      <c r="AK198" s="172"/>
      <c r="AL198" s="172"/>
      <c r="AM198" s="172"/>
      <c r="AN198" s="172"/>
      <c r="AO198" s="172"/>
      <c r="AP198" s="172"/>
      <c r="AQ198" s="172"/>
      <c r="AR198" s="172"/>
      <c r="AS198" s="172"/>
      <c r="AT198"/>
      <c r="AU198"/>
      <c r="AV198"/>
      <c r="AW198"/>
      <c r="AX198"/>
      <c r="AY198"/>
      <c r="AZ198"/>
      <c r="BA198"/>
      <c r="BB198"/>
      <c r="BC198"/>
      <c r="BD198"/>
      <c r="BE198"/>
      <c r="BF198"/>
      <c r="BG198"/>
      <c r="BH198"/>
      <c r="BI198"/>
      <c r="BJ198"/>
      <c r="BK198"/>
      <c r="BL198"/>
      <c r="BM198"/>
      <c r="BN198"/>
    </row>
    <row r="199" spans="1:66" s="22" customFormat="1">
      <c r="A199" s="287" t="s">
        <v>376</v>
      </c>
      <c r="B199" s="47">
        <v>0.71330511600000002</v>
      </c>
      <c r="C199" s="202">
        <v>0.71330511600000002</v>
      </c>
      <c r="D199" s="75" t="s">
        <v>438</v>
      </c>
      <c r="E199" s="195"/>
      <c r="F199" s="43" t="s">
        <v>414</v>
      </c>
      <c r="G199" s="44">
        <f>$B209</f>
        <v>0.504</v>
      </c>
      <c r="H199" s="91" t="s">
        <v>433</v>
      </c>
      <c r="I199" s="195"/>
      <c r="J199" s="195"/>
      <c r="K199" s="43" t="s">
        <v>433</v>
      </c>
      <c r="L199" s="268"/>
      <c r="M199" s="268"/>
      <c r="N199" s="268">
        <f t="shared" si="43"/>
        <v>1</v>
      </c>
      <c r="O199" s="308">
        <v>0</v>
      </c>
      <c r="P199" s="308">
        <v>0</v>
      </c>
      <c r="Q199" s="308">
        <v>0.504</v>
      </c>
      <c r="R199"/>
      <c r="S199"/>
      <c r="T199"/>
      <c r="U199"/>
      <c r="V199" s="171"/>
      <c r="W199" s="172"/>
      <c r="X199" s="172"/>
      <c r="Y199" s="172"/>
      <c r="Z199" s="172"/>
      <c r="AA199" s="172"/>
      <c r="AB199" s="172"/>
      <c r="AC199" s="172"/>
      <c r="AD199" s="172"/>
      <c r="AE199" s="172"/>
      <c r="AF199" s="172"/>
      <c r="AG199" s="172"/>
      <c r="AH199" s="172"/>
      <c r="AI199" s="172"/>
      <c r="AJ199" s="172"/>
      <c r="AK199" s="172"/>
      <c r="AL199" s="172"/>
      <c r="AM199" s="172"/>
      <c r="AN199" s="172"/>
      <c r="AO199" s="172"/>
      <c r="AP199" s="172"/>
      <c r="AQ199" s="172"/>
      <c r="AR199" s="172"/>
      <c r="AS199" s="172"/>
      <c r="AT199"/>
      <c r="AU199"/>
      <c r="AV199"/>
      <c r="AW199"/>
      <c r="AX199"/>
      <c r="AY199"/>
      <c r="AZ199"/>
      <c r="BA199"/>
      <c r="BB199"/>
      <c r="BC199"/>
      <c r="BD199"/>
      <c r="BE199"/>
      <c r="BF199"/>
      <c r="BG199"/>
      <c r="BH199"/>
      <c r="BI199"/>
      <c r="BJ199"/>
      <c r="BK199"/>
      <c r="BL199"/>
      <c r="BM199"/>
      <c r="BN199"/>
    </row>
    <row r="200" spans="1:66" s="22" customFormat="1">
      <c r="A200" s="205" t="s">
        <v>185</v>
      </c>
      <c r="B200" s="47">
        <v>0</v>
      </c>
      <c r="C200" s="202">
        <v>0</v>
      </c>
      <c r="D200" s="75" t="s">
        <v>439</v>
      </c>
      <c r="E200" s="195"/>
      <c r="F200" s="43" t="s">
        <v>245</v>
      </c>
      <c r="G200" s="44">
        <f>$B210</f>
        <v>0</v>
      </c>
      <c r="H200" s="91" t="s">
        <v>150</v>
      </c>
      <c r="I200" s="195"/>
      <c r="J200" s="195"/>
      <c r="K200" s="43" t="s">
        <v>150</v>
      </c>
      <c r="L200" s="268"/>
      <c r="M200" s="268"/>
      <c r="N200" s="268">
        <f t="shared" si="43"/>
        <v>1</v>
      </c>
      <c r="O200" s="308">
        <v>0</v>
      </c>
      <c r="P200" s="308">
        <v>0</v>
      </c>
      <c r="Q200" s="308">
        <v>0</v>
      </c>
      <c r="R200"/>
      <c r="S200"/>
      <c r="T200"/>
      <c r="U200"/>
      <c r="V200" s="171"/>
      <c r="W200" s="172"/>
      <c r="X200" s="172"/>
      <c r="Y200" s="172"/>
      <c r="Z200" s="172"/>
      <c r="AA200" s="172"/>
      <c r="AB200" s="172"/>
      <c r="AC200" s="172"/>
      <c r="AD200" s="172"/>
      <c r="AE200" s="172"/>
      <c r="AF200" s="172"/>
      <c r="AG200" s="172"/>
      <c r="AH200" s="172"/>
      <c r="AI200" s="172"/>
      <c r="AJ200" s="172"/>
      <c r="AK200" s="172"/>
      <c r="AL200" s="172"/>
      <c r="AM200" s="172"/>
      <c r="AN200" s="172"/>
      <c r="AO200" s="172"/>
      <c r="AP200" s="172"/>
      <c r="AQ200" s="172"/>
      <c r="AR200" s="172"/>
      <c r="AS200" s="172"/>
      <c r="AT200"/>
      <c r="AU200"/>
      <c r="AV200"/>
      <c r="AW200"/>
      <c r="AX200"/>
      <c r="AY200"/>
      <c r="AZ200"/>
      <c r="BA200"/>
      <c r="BB200"/>
      <c r="BC200"/>
      <c r="BD200"/>
      <c r="BE200"/>
      <c r="BF200"/>
      <c r="BG200"/>
      <c r="BH200"/>
      <c r="BI200"/>
      <c r="BJ200"/>
      <c r="BK200"/>
      <c r="BL200"/>
      <c r="BM200"/>
      <c r="BN200"/>
    </row>
    <row r="201" spans="1:66" s="22" customFormat="1">
      <c r="A201" s="195" t="s">
        <v>405</v>
      </c>
      <c r="B201" s="47">
        <v>0.18400986</v>
      </c>
      <c r="C201" s="202">
        <v>0.18400986</v>
      </c>
      <c r="D201" s="75" t="s">
        <v>110</v>
      </c>
      <c r="E201" s="195"/>
      <c r="F201" s="43" t="s">
        <v>246</v>
      </c>
      <c r="G201" s="44">
        <f>$B211</f>
        <v>0</v>
      </c>
      <c r="H201" s="91" t="s">
        <v>151</v>
      </c>
      <c r="I201" s="195"/>
      <c r="J201" s="195"/>
      <c r="K201" s="43" t="s">
        <v>151</v>
      </c>
      <c r="L201" s="268"/>
      <c r="M201" s="268"/>
      <c r="N201" s="268">
        <f t="shared" si="43"/>
        <v>1</v>
      </c>
      <c r="O201" s="308">
        <v>0</v>
      </c>
      <c r="P201" s="308">
        <v>0</v>
      </c>
      <c r="Q201" s="308">
        <v>0</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row>
    <row r="202" spans="1:66" s="22" customFormat="1">
      <c r="A202" s="195" t="s">
        <v>585</v>
      </c>
      <c r="B202" s="47">
        <v>5.9664470400000003</v>
      </c>
      <c r="C202" s="202">
        <v>5.9664470400000003</v>
      </c>
      <c r="D202" s="75" t="s">
        <v>53</v>
      </c>
      <c r="E202" s="195"/>
      <c r="F202" s="195"/>
      <c r="G202" s="305">
        <f>SUM(G190:G201)</f>
        <v>37.5884298</v>
      </c>
      <c r="H202" s="206"/>
      <c r="I202" s="195"/>
      <c r="J202" s="195"/>
      <c r="K202" s="216"/>
      <c r="L202" s="217">
        <f>SUMPRODUCT(L190:L201,$G190:$G201)</f>
        <v>17.873117654400005</v>
      </c>
      <c r="M202" s="376">
        <f>SUMPRODUCT(M190:M201,$G190:$G201)</f>
        <v>2.2072219056</v>
      </c>
      <c r="N202" s="376">
        <f>SUMPRODUCT(N190:N201,$G190:$G201)</f>
        <v>17.508090240000001</v>
      </c>
      <c r="O202" s="305"/>
      <c r="P202" s="261"/>
      <c r="Q202" s="102"/>
      <c r="R202"/>
      <c r="S202"/>
      <c r="T202"/>
      <c r="U202"/>
      <c r="V202" s="171"/>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c r="AU202"/>
      <c r="AV202"/>
      <c r="AW202"/>
      <c r="AX202"/>
      <c r="AY202"/>
      <c r="AZ202"/>
      <c r="BA202"/>
      <c r="BB202"/>
      <c r="BC202"/>
      <c r="BD202"/>
      <c r="BE202"/>
      <c r="BF202"/>
      <c r="BG202"/>
      <c r="BH202"/>
      <c r="BI202"/>
      <c r="BJ202"/>
      <c r="BK202"/>
      <c r="BL202"/>
      <c r="BM202"/>
    </row>
    <row r="203" spans="1:66" s="22" customFormat="1">
      <c r="A203" s="195" t="s">
        <v>586</v>
      </c>
      <c r="B203" s="47">
        <v>0</v>
      </c>
      <c r="C203" s="202">
        <v>0</v>
      </c>
      <c r="D203" s="75" t="s">
        <v>589</v>
      </c>
      <c r="E203" s="195"/>
      <c r="F203" s="195"/>
      <c r="G203" s="202"/>
      <c r="H203" s="206"/>
      <c r="I203" s="195"/>
      <c r="J203" s="195"/>
      <c r="O203" s="261"/>
      <c r="P203" s="261"/>
      <c r="Q203" s="102"/>
      <c r="R203"/>
      <c r="S203"/>
      <c r="T203"/>
      <c r="U203"/>
      <c r="V203" s="171"/>
      <c r="W203" s="172"/>
      <c r="X203" s="172"/>
      <c r="Y203" s="172"/>
      <c r="Z203" s="172"/>
      <c r="AA203" s="172"/>
      <c r="AB203" s="172"/>
      <c r="AC203" s="172"/>
      <c r="AD203" s="172"/>
      <c r="AE203" s="172"/>
      <c r="AF203" s="172"/>
      <c r="AG203" s="172"/>
      <c r="AH203" s="172"/>
      <c r="AI203" s="172"/>
      <c r="AJ203" s="172"/>
      <c r="AK203" s="172"/>
      <c r="AL203" s="172"/>
      <c r="AM203" s="172"/>
      <c r="AN203" s="172"/>
      <c r="AO203" s="172"/>
      <c r="AP203" s="172"/>
      <c r="AQ203" s="172"/>
      <c r="AR203" s="172"/>
      <c r="AS203" s="172"/>
      <c r="AT203"/>
      <c r="AU203"/>
      <c r="AV203"/>
      <c r="AW203"/>
      <c r="AX203"/>
      <c r="AY203"/>
      <c r="AZ203"/>
      <c r="BA203"/>
      <c r="BB203"/>
      <c r="BC203"/>
      <c r="BD203"/>
      <c r="BE203"/>
      <c r="BF203"/>
      <c r="BG203"/>
      <c r="BH203"/>
      <c r="BI203"/>
      <c r="BJ203"/>
      <c r="BK203"/>
      <c r="BL203"/>
      <c r="BM203"/>
    </row>
    <row r="204" spans="1:66" s="22" customFormat="1">
      <c r="A204" s="195" t="s">
        <v>966</v>
      </c>
      <c r="B204" s="47">
        <v>0.40477982400000001</v>
      </c>
      <c r="C204" s="202">
        <v>0.40477982400000001</v>
      </c>
      <c r="D204" s="75" t="s">
        <v>742</v>
      </c>
      <c r="E204" s="195"/>
      <c r="F204" s="195"/>
      <c r="G204" s="202"/>
      <c r="H204" s="206"/>
      <c r="I204" s="195"/>
      <c r="J204" s="195"/>
      <c r="K204" s="216"/>
      <c r="L204" s="216"/>
      <c r="M204" s="216"/>
      <c r="N204" s="216"/>
      <c r="O204" s="261"/>
      <c r="P204" s="261"/>
      <c r="Q204" s="102"/>
      <c r="R204"/>
      <c r="S204"/>
      <c r="T204"/>
      <c r="U204"/>
      <c r="V204" s="171"/>
      <c r="W204" s="172"/>
      <c r="X204" s="172"/>
      <c r="Y204" s="172"/>
      <c r="Z204" s="172"/>
      <c r="AA204" s="172"/>
      <c r="AB204" s="172"/>
      <c r="AC204" s="172"/>
      <c r="AD204" s="172"/>
      <c r="AE204" s="172"/>
      <c r="AF204" s="172"/>
      <c r="AG204" s="172"/>
      <c r="AH204" s="172"/>
      <c r="AI204" s="172"/>
      <c r="AJ204" s="172"/>
      <c r="AK204" s="172"/>
      <c r="AL204" s="172"/>
      <c r="AM204" s="172"/>
      <c r="AN204" s="172"/>
      <c r="AO204" s="172"/>
      <c r="AP204" s="172"/>
      <c r="AQ204" s="172"/>
      <c r="AR204" s="172"/>
      <c r="AS204" s="172"/>
      <c r="AT204"/>
      <c r="AU204"/>
      <c r="AV204"/>
      <c r="AW204"/>
      <c r="AX204"/>
      <c r="AY204"/>
      <c r="AZ204"/>
      <c r="BA204"/>
      <c r="BB204"/>
      <c r="BC204"/>
      <c r="BD204"/>
      <c r="BE204"/>
      <c r="BF204"/>
      <c r="BG204"/>
      <c r="BH204"/>
      <c r="BI204"/>
      <c r="BJ204"/>
      <c r="BK204"/>
      <c r="BL204"/>
      <c r="BM204"/>
    </row>
    <row r="205" spans="1:66" s="22" customFormat="1">
      <c r="A205" s="195" t="s">
        <v>967</v>
      </c>
      <c r="B205" s="47">
        <v>0</v>
      </c>
      <c r="C205" s="202">
        <v>0</v>
      </c>
      <c r="D205" s="75" t="s">
        <v>43</v>
      </c>
      <c r="E205" s="195"/>
      <c r="F205" s="195"/>
      <c r="G205" s="195"/>
      <c r="H205" s="195"/>
      <c r="I205" s="195"/>
      <c r="J205" s="195"/>
      <c r="K205" s="216"/>
      <c r="L205" s="216"/>
      <c r="M205" s="216"/>
      <c r="N205" s="216"/>
      <c r="O205" s="216"/>
      <c r="P205" s="216"/>
      <c r="Q205" s="102"/>
      <c r="R205"/>
      <c r="S205"/>
      <c r="T205"/>
      <c r="U205"/>
      <c r="V205" s="171"/>
      <c r="W205" s="172"/>
      <c r="X205" s="172"/>
      <c r="Y205" s="172"/>
      <c r="Z205" s="172"/>
      <c r="AA205" s="172"/>
      <c r="AB205" s="172"/>
      <c r="AC205" s="172"/>
      <c r="AD205" s="172"/>
      <c r="AE205" s="172"/>
      <c r="AF205" s="172"/>
      <c r="AG205" s="172"/>
      <c r="AH205" s="172"/>
      <c r="AI205" s="172"/>
      <c r="AJ205" s="172"/>
      <c r="AK205" s="172"/>
      <c r="AL205" s="172"/>
      <c r="AM205" s="172"/>
      <c r="AN205" s="172"/>
      <c r="AO205" s="172"/>
      <c r="AP205" s="172"/>
      <c r="AQ205" s="172"/>
      <c r="AR205" s="172"/>
      <c r="AS205" s="172"/>
      <c r="AT205"/>
      <c r="AU205"/>
      <c r="AV205"/>
      <c r="AW205"/>
      <c r="AX205"/>
      <c r="AY205"/>
      <c r="AZ205"/>
      <c r="BA205"/>
      <c r="BB205"/>
      <c r="BC205"/>
      <c r="BD205"/>
      <c r="BE205"/>
      <c r="BF205"/>
      <c r="BG205"/>
      <c r="BH205"/>
      <c r="BI205"/>
      <c r="BJ205"/>
      <c r="BK205"/>
      <c r="BL205"/>
      <c r="BM205"/>
    </row>
    <row r="206" spans="1:66" s="22" customFormat="1">
      <c r="A206" s="205" t="s">
        <v>367</v>
      </c>
      <c r="B206" s="47">
        <v>0</v>
      </c>
      <c r="C206" s="202">
        <v>0</v>
      </c>
      <c r="D206" s="75" t="s">
        <v>54</v>
      </c>
      <c r="E206" s="195"/>
      <c r="F206" s="195"/>
      <c r="G206" s="195"/>
      <c r="H206" s="195"/>
      <c r="I206" s="195"/>
      <c r="J206" s="195"/>
      <c r="K206" s="216"/>
      <c r="L206" s="216"/>
      <c r="M206" s="216"/>
      <c r="N206" s="216"/>
      <c r="O206" s="216"/>
      <c r="P206" s="216"/>
      <c r="Q206" s="102"/>
      <c r="R206"/>
      <c r="S206"/>
      <c r="T206"/>
      <c r="U206"/>
      <c r="V206" s="171"/>
      <c r="W206" s="172"/>
      <c r="X206" s="172"/>
      <c r="Y206" s="172"/>
      <c r="Z206" s="172"/>
      <c r="AA206" s="172"/>
      <c r="AB206" s="172"/>
      <c r="AC206" s="172"/>
      <c r="AD206" s="172"/>
      <c r="AE206" s="172"/>
      <c r="AF206" s="172"/>
      <c r="AG206" s="172"/>
      <c r="AH206" s="172"/>
      <c r="AI206" s="172"/>
      <c r="AJ206" s="172"/>
      <c r="AK206" s="172"/>
      <c r="AL206" s="172"/>
      <c r="AM206" s="172"/>
      <c r="AN206" s="172"/>
      <c r="AO206" s="172"/>
      <c r="AP206" s="172"/>
      <c r="AQ206" s="172"/>
      <c r="AR206" s="172"/>
      <c r="AS206" s="172"/>
      <c r="AT206"/>
      <c r="AU206"/>
      <c r="AV206"/>
      <c r="AW206"/>
      <c r="AX206"/>
      <c r="AY206"/>
      <c r="AZ206"/>
      <c r="BA206"/>
      <c r="BB206"/>
      <c r="BC206"/>
      <c r="BD206"/>
      <c r="BE206"/>
      <c r="BF206"/>
      <c r="BG206"/>
      <c r="BH206"/>
      <c r="BI206"/>
      <c r="BJ206"/>
      <c r="BK206"/>
      <c r="BL206"/>
      <c r="BM206"/>
    </row>
    <row r="207" spans="1:66" s="22" customFormat="1">
      <c r="A207" s="195" t="s">
        <v>587</v>
      </c>
      <c r="B207" s="47">
        <v>0</v>
      </c>
      <c r="C207" s="202">
        <v>0</v>
      </c>
      <c r="D207" s="75" t="s">
        <v>55</v>
      </c>
      <c r="E207" s="195"/>
      <c r="F207" s="195"/>
      <c r="G207" s="195"/>
      <c r="H207" s="195"/>
      <c r="I207" s="195"/>
      <c r="J207" s="195"/>
      <c r="K207" s="216"/>
      <c r="L207" s="216"/>
      <c r="M207" s="216"/>
      <c r="N207" s="216"/>
      <c r="O207" s="216"/>
      <c r="P207" s="216"/>
      <c r="Q207" s="102"/>
      <c r="R207"/>
      <c r="S207"/>
      <c r="T207"/>
      <c r="U207"/>
      <c r="V207" s="171"/>
      <c r="W207" s="172"/>
      <c r="X207" s="172"/>
      <c r="Y207" s="172"/>
      <c r="Z207" s="172"/>
      <c r="AA207" s="172"/>
      <c r="AB207" s="172"/>
      <c r="AC207" s="172"/>
      <c r="AD207" s="172"/>
      <c r="AE207" s="172"/>
      <c r="AF207" s="172"/>
      <c r="AG207" s="172"/>
      <c r="AH207" s="172"/>
      <c r="AI207" s="172"/>
      <c r="AJ207" s="172"/>
      <c r="AK207" s="172"/>
      <c r="AL207" s="172"/>
      <c r="AM207" s="172"/>
      <c r="AN207" s="172"/>
      <c r="AO207" s="172"/>
      <c r="AP207" s="172"/>
      <c r="AQ207" s="172"/>
      <c r="AR207" s="172"/>
      <c r="AS207" s="172"/>
      <c r="AT207"/>
      <c r="AU207"/>
      <c r="AV207"/>
      <c r="AW207"/>
      <c r="AX207"/>
      <c r="AY207"/>
      <c r="AZ207"/>
      <c r="BA207"/>
      <c r="BB207"/>
      <c r="BC207"/>
      <c r="BD207"/>
      <c r="BE207"/>
      <c r="BF207"/>
      <c r="BG207"/>
      <c r="BH207"/>
      <c r="BI207"/>
      <c r="BJ207"/>
      <c r="BK207"/>
      <c r="BL207"/>
      <c r="BM207"/>
    </row>
    <row r="208" spans="1:66" s="22" customFormat="1">
      <c r="A208" s="195" t="s">
        <v>404</v>
      </c>
      <c r="B208" s="47">
        <v>5.3275320000000006</v>
      </c>
      <c r="C208" s="202">
        <v>5.3275320000000006</v>
      </c>
      <c r="D208" s="75" t="s">
        <v>106</v>
      </c>
      <c r="E208" s="195"/>
      <c r="F208" s="195"/>
      <c r="G208" s="202"/>
      <c r="H208" s="206"/>
      <c r="I208" s="195"/>
      <c r="J208" s="195"/>
      <c r="K208" s="216"/>
      <c r="L208" s="216"/>
      <c r="M208" s="216"/>
      <c r="N208" s="216"/>
      <c r="O208" s="216"/>
      <c r="P208" s="216"/>
      <c r="Q208" s="102"/>
      <c r="R208"/>
      <c r="S208"/>
      <c r="T208"/>
      <c r="U208"/>
      <c r="V208" s="171"/>
      <c r="W208" s="172"/>
      <c r="X208" s="172"/>
      <c r="Y208" s="172"/>
      <c r="Z208" s="172"/>
      <c r="AA208" s="172"/>
      <c r="AB208" s="172"/>
      <c r="AC208" s="172"/>
      <c r="AD208" s="172"/>
      <c r="AE208" s="172"/>
      <c r="AF208" s="172"/>
      <c r="AG208" s="172"/>
      <c r="AH208" s="172"/>
      <c r="AI208" s="172"/>
      <c r="AJ208" s="172"/>
      <c r="AK208" s="172"/>
      <c r="AL208" s="172"/>
      <c r="AM208" s="172"/>
      <c r="AN208" s="172"/>
      <c r="AO208" s="172"/>
      <c r="AP208" s="172"/>
      <c r="AQ208" s="172"/>
      <c r="AR208" s="172"/>
      <c r="AS208" s="172"/>
      <c r="AT208"/>
      <c r="AU208"/>
      <c r="AV208"/>
      <c r="AW208"/>
      <c r="AX208"/>
      <c r="AY208"/>
      <c r="AZ208"/>
      <c r="BA208"/>
      <c r="BB208"/>
      <c r="BC208"/>
      <c r="BD208"/>
      <c r="BE208"/>
      <c r="BF208"/>
      <c r="BG208"/>
      <c r="BH208"/>
      <c r="BI208"/>
      <c r="BJ208"/>
      <c r="BK208"/>
      <c r="BL208"/>
      <c r="BM208"/>
    </row>
    <row r="209" spans="1:65" s="22" customFormat="1">
      <c r="A209" s="195" t="s">
        <v>408</v>
      </c>
      <c r="B209" s="45">
        <v>0.504</v>
      </c>
      <c r="C209" s="202">
        <v>0.504</v>
      </c>
      <c r="D209" s="75" t="s">
        <v>573</v>
      </c>
      <c r="E209" s="195"/>
      <c r="F209" s="195"/>
      <c r="G209" s="195"/>
      <c r="H209" s="195"/>
      <c r="I209" s="195"/>
      <c r="J209" s="195"/>
      <c r="K209" s="216"/>
      <c r="L209" s="216"/>
      <c r="M209" s="216"/>
      <c r="N209" s="216"/>
      <c r="O209" s="216"/>
      <c r="P209" s="216"/>
      <c r="Q209" s="102"/>
      <c r="R209"/>
      <c r="S209"/>
      <c r="T209"/>
      <c r="U209"/>
      <c r="V209" s="171"/>
      <c r="W209" s="172"/>
      <c r="X209" s="172"/>
      <c r="Y209" s="172"/>
      <c r="Z209" s="172"/>
      <c r="AA209" s="172"/>
      <c r="AB209" s="172"/>
      <c r="AC209" s="172"/>
      <c r="AD209" s="172"/>
      <c r="AE209" s="172"/>
      <c r="AF209" s="172"/>
      <c r="AG209" s="172"/>
      <c r="AH209" s="172"/>
      <c r="AI209" s="172"/>
      <c r="AJ209" s="172"/>
      <c r="AK209" s="172"/>
      <c r="AL209" s="172"/>
      <c r="AM209" s="172"/>
      <c r="AN209" s="172"/>
      <c r="AO209" s="172"/>
      <c r="AP209" s="172"/>
      <c r="AQ209" s="172"/>
      <c r="AR209" s="172"/>
      <c r="AS209" s="172"/>
      <c r="AT209"/>
      <c r="AU209"/>
      <c r="AV209"/>
      <c r="AW209"/>
      <c r="AX209"/>
      <c r="AY209"/>
      <c r="AZ209"/>
      <c r="BA209"/>
      <c r="BB209"/>
      <c r="BC209"/>
      <c r="BD209"/>
      <c r="BE209"/>
      <c r="BF209"/>
      <c r="BG209"/>
      <c r="BH209"/>
      <c r="BI209"/>
      <c r="BJ209"/>
      <c r="BK209"/>
      <c r="BL209"/>
      <c r="BM209"/>
    </row>
    <row r="210" spans="1:65" s="22" customFormat="1">
      <c r="A210" s="195" t="s">
        <v>578</v>
      </c>
      <c r="B210" s="45">
        <v>0</v>
      </c>
      <c r="C210" s="202">
        <v>0</v>
      </c>
      <c r="D210" s="75" t="s">
        <v>579</v>
      </c>
      <c r="E210" s="195"/>
      <c r="F210" s="195"/>
      <c r="G210" s="195"/>
      <c r="H210" s="195"/>
      <c r="I210" s="195"/>
      <c r="J210" s="195"/>
      <c r="K210" s="195"/>
      <c r="L210" s="195"/>
      <c r="M210" s="195"/>
      <c r="N210" s="195"/>
      <c r="O210" s="195"/>
      <c r="P210" s="195"/>
      <c r="Q210" s="102"/>
      <c r="R210"/>
      <c r="S210"/>
      <c r="T210"/>
      <c r="U210"/>
      <c r="V210" s="171"/>
      <c r="W210" s="172"/>
      <c r="X210" s="172"/>
      <c r="Y210" s="172"/>
      <c r="Z210" s="172"/>
      <c r="AA210" s="172"/>
      <c r="AB210" s="172"/>
      <c r="AC210" s="172"/>
      <c r="AD210" s="172"/>
      <c r="AE210" s="172"/>
      <c r="AF210" s="172"/>
      <c r="AG210" s="172"/>
      <c r="AH210" s="172"/>
      <c r="AI210" s="172"/>
      <c r="AJ210" s="172"/>
      <c r="AK210" s="172"/>
      <c r="AL210" s="172"/>
      <c r="AM210" s="172"/>
      <c r="AN210" s="172"/>
      <c r="AO210" s="172"/>
      <c r="AP210" s="172"/>
      <c r="AQ210" s="172"/>
      <c r="AR210" s="172"/>
      <c r="AS210" s="172"/>
      <c r="AT210"/>
      <c r="AU210"/>
      <c r="AV210"/>
      <c r="AW210"/>
      <c r="AX210"/>
      <c r="AY210"/>
      <c r="AZ210"/>
      <c r="BA210"/>
      <c r="BB210"/>
      <c r="BC210"/>
      <c r="BD210"/>
      <c r="BE210"/>
      <c r="BF210"/>
      <c r="BG210"/>
      <c r="BH210"/>
      <c r="BI210"/>
      <c r="BJ210"/>
      <c r="BK210"/>
      <c r="BL210"/>
      <c r="BM210"/>
    </row>
    <row r="211" spans="1:65" s="22" customFormat="1">
      <c r="A211" s="195" t="s">
        <v>602</v>
      </c>
      <c r="B211" s="45">
        <v>0</v>
      </c>
      <c r="C211" s="202">
        <v>0</v>
      </c>
      <c r="D211" s="75" t="s">
        <v>580</v>
      </c>
      <c r="E211" s="195"/>
      <c r="F211" s="195"/>
      <c r="G211" s="195"/>
      <c r="H211" s="195"/>
      <c r="I211" s="195"/>
      <c r="J211" s="195"/>
      <c r="K211" s="195"/>
      <c r="L211" s="195"/>
      <c r="M211" s="195"/>
      <c r="N211" s="195"/>
      <c r="O211" s="195"/>
      <c r="P211" s="195"/>
      <c r="Q211" s="102"/>
      <c r="R211"/>
      <c r="S211"/>
      <c r="T211"/>
      <c r="U211"/>
      <c r="V211" s="171"/>
      <c r="W211" s="172"/>
      <c r="X211" s="172"/>
      <c r="Y211" s="172"/>
      <c r="Z211" s="172"/>
      <c r="AA211" s="172"/>
      <c r="AB211" s="172"/>
      <c r="AC211" s="172"/>
      <c r="AD211" s="172"/>
      <c r="AE211" s="172"/>
      <c r="AF211" s="172"/>
      <c r="AG211" s="172"/>
      <c r="AH211" s="172"/>
      <c r="AI211" s="172"/>
      <c r="AJ211" s="172"/>
      <c r="AK211" s="172"/>
      <c r="AL211" s="172"/>
      <c r="AM211" s="172"/>
      <c r="AN211" s="172"/>
      <c r="AO211" s="172"/>
      <c r="AP211" s="172"/>
      <c r="AQ211" s="172"/>
      <c r="AR211" s="172"/>
      <c r="AS211" s="172"/>
      <c r="AT211"/>
      <c r="AU211"/>
      <c r="AV211"/>
      <c r="AW211"/>
      <c r="AX211"/>
      <c r="AY211"/>
      <c r="AZ211"/>
      <c r="BA211"/>
      <c r="BB211"/>
      <c r="BC211"/>
      <c r="BD211"/>
      <c r="BE211"/>
      <c r="BF211"/>
      <c r="BG211"/>
      <c r="BH211"/>
      <c r="BI211"/>
      <c r="BJ211"/>
      <c r="BK211"/>
      <c r="BL211"/>
      <c r="BM211"/>
    </row>
    <row r="212" spans="1:65" s="22" customFormat="1">
      <c r="A212" s="195" t="s">
        <v>406</v>
      </c>
      <c r="B212" s="47">
        <v>37.588429800000007</v>
      </c>
      <c r="C212" s="202">
        <v>37.588429800000007</v>
      </c>
      <c r="D212" s="356">
        <f>(B212-C212)/B212</f>
        <v>0</v>
      </c>
      <c r="E212" s="195"/>
      <c r="F212" s="195"/>
      <c r="G212" s="195"/>
      <c r="H212" s="195"/>
      <c r="I212" s="195"/>
      <c r="J212" s="195"/>
      <c r="K212" s="195"/>
      <c r="L212" s="195"/>
      <c r="M212" s="195"/>
      <c r="N212" s="195"/>
      <c r="O212" s="195"/>
      <c r="P212" s="195"/>
      <c r="Q212" s="102"/>
      <c r="R212"/>
      <c r="S212"/>
      <c r="T212"/>
      <c r="U212"/>
      <c r="V212" s="171"/>
      <c r="W212" s="172"/>
      <c r="X212" s="172"/>
      <c r="Y212" s="172"/>
      <c r="Z212" s="172"/>
      <c r="AA212" s="172"/>
      <c r="AB212" s="172"/>
      <c r="AC212" s="172"/>
      <c r="AD212" s="172"/>
      <c r="AE212" s="172"/>
      <c r="AF212" s="172"/>
      <c r="AG212" s="172"/>
      <c r="AH212" s="172"/>
      <c r="AI212" s="172"/>
      <c r="AJ212" s="172"/>
      <c r="AK212" s="172"/>
      <c r="AL212" s="172"/>
      <c r="AM212" s="172"/>
      <c r="AN212" s="172"/>
      <c r="AO212" s="172"/>
      <c r="AP212" s="172"/>
      <c r="AQ212" s="172"/>
      <c r="AR212" s="172"/>
      <c r="AS212" s="172"/>
      <c r="AT212"/>
      <c r="AU212"/>
      <c r="AV212"/>
      <c r="AW212"/>
      <c r="AX212"/>
      <c r="AY212"/>
      <c r="AZ212"/>
      <c r="BA212"/>
      <c r="BB212"/>
      <c r="BC212"/>
      <c r="BD212"/>
      <c r="BE212"/>
      <c r="BF212"/>
      <c r="BG212"/>
      <c r="BH212"/>
      <c r="BI212"/>
      <c r="BJ212"/>
      <c r="BK212"/>
      <c r="BL212"/>
      <c r="BM212"/>
    </row>
    <row r="213" spans="1:65" s="22" customFormat="1">
      <c r="A213" s="195"/>
      <c r="B213" s="195"/>
      <c r="C213" s="195"/>
      <c r="D213" s="195"/>
      <c r="E213" s="195"/>
      <c r="F213" s="195"/>
      <c r="G213" s="195"/>
      <c r="H213" s="195"/>
      <c r="I213" s="195"/>
      <c r="J213" s="195"/>
      <c r="K213" s="195"/>
      <c r="L213" s="195"/>
      <c r="M213" s="195"/>
      <c r="N213" s="195"/>
      <c r="O213" s="195"/>
      <c r="P213" s="195"/>
      <c r="Q213" s="102"/>
      <c r="V213"/>
      <c r="W213"/>
      <c r="X213"/>
      <c r="Y213"/>
      <c r="Z213"/>
      <c r="AA213"/>
      <c r="AB213"/>
      <c r="AC213"/>
      <c r="AD213"/>
      <c r="AE213"/>
      <c r="AF213"/>
      <c r="AG213"/>
      <c r="AH213"/>
      <c r="AI213"/>
      <c r="AJ213"/>
      <c r="AK213"/>
      <c r="AL213"/>
      <c r="AM213"/>
      <c r="AN213"/>
      <c r="AO213"/>
      <c r="AP213"/>
      <c r="AQ213"/>
      <c r="AR213"/>
      <c r="AS213"/>
    </row>
    <row r="214" spans="1:65" s="22" customFormat="1">
      <c r="A214" s="195"/>
      <c r="B214" s="195"/>
      <c r="C214" s="195"/>
      <c r="D214" s="195"/>
      <c r="E214" s="195"/>
      <c r="F214" s="195"/>
      <c r="G214" s="195"/>
      <c r="H214" s="195"/>
      <c r="I214" s="195"/>
      <c r="J214" s="195"/>
      <c r="K214" s="195"/>
      <c r="L214" s="195"/>
      <c r="M214" s="195"/>
      <c r="N214" s="195"/>
      <c r="O214" s="195"/>
      <c r="P214" s="195"/>
      <c r="Q214" s="102"/>
      <c r="V214" s="171"/>
      <c r="W214" s="172"/>
      <c r="X214" s="172"/>
      <c r="Y214" s="172"/>
      <c r="Z214" s="172"/>
      <c r="AA214" s="172"/>
      <c r="AB214" s="172"/>
      <c r="AC214" s="172"/>
      <c r="AD214" s="172"/>
      <c r="AE214" s="172"/>
      <c r="AF214" s="172"/>
      <c r="AG214" s="172"/>
      <c r="AH214" s="172"/>
      <c r="AI214" s="172"/>
      <c r="AJ214" s="172"/>
      <c r="AK214" s="172"/>
      <c r="AL214" s="172"/>
      <c r="AM214" s="172"/>
      <c r="AN214" s="172"/>
      <c r="AO214" s="172"/>
      <c r="AP214" s="172"/>
      <c r="AQ214" s="172"/>
      <c r="AR214" s="172"/>
      <c r="AS214" s="172"/>
    </row>
    <row r="215" spans="1:65" s="22" customFormat="1">
      <c r="Q215" s="102"/>
      <c r="V215" s="171"/>
      <c r="W215" s="172"/>
      <c r="X215" s="172"/>
      <c r="Y215" s="172"/>
      <c r="Z215" s="172"/>
      <c r="AA215" s="172"/>
      <c r="AB215" s="172"/>
      <c r="AC215" s="172"/>
      <c r="AD215" s="172"/>
      <c r="AE215" s="172"/>
      <c r="AF215" s="172"/>
      <c r="AG215" s="172"/>
      <c r="AH215" s="172"/>
      <c r="AI215" s="172"/>
      <c r="AJ215" s="172"/>
      <c r="AK215" s="172"/>
      <c r="AL215" s="172"/>
      <c r="AM215" s="172"/>
      <c r="AN215" s="172"/>
      <c r="AO215" s="172"/>
      <c r="AP215" s="172"/>
      <c r="AQ215" s="172"/>
      <c r="AR215" s="172"/>
      <c r="AS215" s="172"/>
    </row>
    <row r="216" spans="1:65">
      <c r="F216" s="22"/>
      <c r="G216" s="22"/>
      <c r="H216" s="22"/>
      <c r="Q216" s="102"/>
      <c r="V216" s="171"/>
      <c r="W216" s="172"/>
      <c r="X216" s="172"/>
      <c r="Y216" s="172"/>
      <c r="Z216" s="172"/>
      <c r="AA216" s="172"/>
      <c r="AB216" s="172"/>
      <c r="AC216" s="172"/>
      <c r="AD216" s="172"/>
      <c r="AE216" s="172"/>
      <c r="AF216" s="172"/>
      <c r="AG216" s="172"/>
      <c r="AH216" s="172"/>
      <c r="AI216" s="172"/>
      <c r="AJ216" s="172"/>
      <c r="AK216" s="172"/>
      <c r="AL216" s="172"/>
      <c r="AM216" s="172"/>
      <c r="AN216" s="172"/>
      <c r="AO216" s="172"/>
      <c r="AP216" s="172"/>
      <c r="AQ216" s="172"/>
      <c r="AR216" s="172"/>
      <c r="AS216" s="172"/>
    </row>
    <row r="217" spans="1:65">
      <c r="Q217" s="102"/>
    </row>
    <row r="218" spans="1:65">
      <c r="Q218" s="102"/>
      <c r="V218" s="171"/>
    </row>
    <row r="220" spans="1:65">
      <c r="V220" s="171"/>
    </row>
    <row r="221" spans="1:65">
      <c r="V221" s="171"/>
    </row>
    <row r="225" spans="22:4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row>
    <row r="228" spans="22:45">
      <c r="V228" s="171"/>
    </row>
    <row r="229" spans="22:45">
      <c r="V229" s="171"/>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row>
    <row r="230" spans="22:45">
      <c r="V230" s="171"/>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row>
    <row r="231" spans="22:45">
      <c r="V231" s="171"/>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row>
    <row r="232" spans="22:45">
      <c r="V232" s="171"/>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row>
    <row r="233" spans="22:45">
      <c r="V233" s="171"/>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row>
    <row r="234" spans="22:45">
      <c r="V234" s="171"/>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row>
    <row r="235" spans="22:45">
      <c r="V235" s="171"/>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row>
    <row r="236" spans="22:45">
      <c r="V236" s="171"/>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row>
    <row r="237" spans="22:45">
      <c r="V237" s="171"/>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row>
    <row r="238" spans="22:45">
      <c r="V238" s="171"/>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row>
    <row r="240" spans="22:45">
      <c r="V240" s="171"/>
      <c r="W240" s="172"/>
      <c r="X240" s="172"/>
      <c r="Y240" s="172"/>
      <c r="Z240" s="172"/>
      <c r="AA240" s="172"/>
      <c r="AB240" s="172"/>
      <c r="AC240" s="172"/>
      <c r="AD240" s="172"/>
      <c r="AE240" s="172"/>
      <c r="AF240" s="172"/>
      <c r="AG240" s="172"/>
      <c r="AH240" s="172"/>
      <c r="AI240" s="172"/>
      <c r="AJ240" s="172"/>
      <c r="AK240" s="172"/>
      <c r="AL240" s="172"/>
      <c r="AM240" s="172"/>
      <c r="AN240" s="172"/>
      <c r="AO240" s="172"/>
      <c r="AP240" s="172"/>
      <c r="AQ240" s="172"/>
      <c r="AR240" s="172"/>
      <c r="AS240" s="172"/>
    </row>
    <row r="241" spans="22:45">
      <c r="V241" s="171"/>
    </row>
    <row r="242" spans="22:45">
      <c r="V242" s="171"/>
      <c r="W242" s="172"/>
      <c r="X242" s="172"/>
      <c r="Y242" s="172"/>
      <c r="Z242" s="172"/>
      <c r="AA242" s="172"/>
      <c r="AB242" s="172"/>
      <c r="AC242" s="172"/>
      <c r="AD242" s="172"/>
      <c r="AE242" s="172"/>
      <c r="AF242" s="172"/>
      <c r="AG242" s="172"/>
      <c r="AH242" s="172"/>
      <c r="AI242" s="172"/>
      <c r="AJ242" s="172"/>
      <c r="AK242" s="172"/>
      <c r="AL242" s="172"/>
      <c r="AM242" s="172"/>
      <c r="AN242" s="172"/>
      <c r="AO242" s="172"/>
      <c r="AP242" s="172"/>
      <c r="AQ242" s="172"/>
      <c r="AR242" s="172"/>
      <c r="AS242" s="172"/>
    </row>
    <row r="243" spans="22:45">
      <c r="V243" s="171"/>
    </row>
    <row r="244" spans="22:45">
      <c r="V244" s="171"/>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row>
  </sheetData>
  <phoneticPr fontId="0" type="noConversion"/>
  <conditionalFormatting sqref="G44:G45 G38 E36:E42 H36:I42 F37:F42 E44:F46 H44:I46 J43 L36:L38 L40:L42 K36:K42 K44:L46">
    <cfRule type="cellIs" dxfId="3" priority="1" stopIfTrue="1" operator="equal">
      <formula>#N/A</formula>
    </cfRule>
  </conditionalFormatting>
  <pageMargins left="0.75" right="0.75" top="1" bottom="1" header="0.5" footer="0.5"/>
  <pageSetup scale="93"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BN218"/>
  <sheetViews>
    <sheetView showZeros="0" topLeftCell="A160" zoomScale="75" workbookViewId="0">
      <selection activeCell="B73" sqref="B73"/>
    </sheetView>
  </sheetViews>
  <sheetFormatPr defaultColWidth="11.42578125" defaultRowHeight="12.75"/>
  <cols>
    <col min="1" max="1" width="17.85546875" customWidth="1"/>
    <col min="2" max="7" width="8.7109375" customWidth="1"/>
    <col min="8" max="8" width="13.28515625" customWidth="1"/>
    <col min="9" max="9" width="8.7109375" customWidth="1"/>
    <col min="10" max="10" width="10" customWidth="1"/>
    <col min="11" max="14" width="9.140625" customWidth="1"/>
    <col min="15" max="15" width="11" customWidth="1"/>
    <col min="16" max="16" width="9.85546875" customWidth="1"/>
  </cols>
  <sheetData>
    <row r="1" spans="1:22" ht="15.75">
      <c r="A1" s="194" t="s">
        <v>395</v>
      </c>
      <c r="B1" s="195"/>
      <c r="C1" s="195"/>
      <c r="D1" s="195"/>
      <c r="E1" s="204" t="s">
        <v>370</v>
      </c>
      <c r="F1" s="59" t="s">
        <v>115</v>
      </c>
      <c r="G1" s="195"/>
      <c r="H1" s="204" t="s">
        <v>373</v>
      </c>
      <c r="I1" s="59" t="s">
        <v>380</v>
      </c>
      <c r="J1" s="195"/>
      <c r="K1" s="195"/>
      <c r="L1" s="49" t="s">
        <v>396</v>
      </c>
      <c r="M1" s="49"/>
      <c r="N1" s="195"/>
      <c r="O1" s="195"/>
      <c r="P1" s="297" t="s">
        <v>714</v>
      </c>
      <c r="Q1" s="297" t="str">
        <f ca="1">MID(CELL("filename",P1),FIND("VT_",CELL("filename",P1))+3,3)</f>
        <v>FI_</v>
      </c>
      <c r="R1" s="297" t="s">
        <v>715</v>
      </c>
      <c r="S1" s="298">
        <v>1.0000000000000001E-9</v>
      </c>
    </row>
    <row r="2" spans="1:22">
      <c r="A2" s="195"/>
      <c r="B2" s="195"/>
      <c r="C2" s="195"/>
      <c r="D2" s="195"/>
      <c r="E2" s="204" t="s">
        <v>371</v>
      </c>
      <c r="F2" s="18">
        <v>2017</v>
      </c>
      <c r="G2" s="195"/>
      <c r="H2" s="204" t="s">
        <v>425</v>
      </c>
      <c r="I2" s="59">
        <v>1</v>
      </c>
      <c r="J2" s="195"/>
      <c r="K2" s="195"/>
      <c r="L2" s="50" t="s">
        <v>397</v>
      </c>
      <c r="M2" s="50"/>
      <c r="N2" s="195"/>
      <c r="O2" s="195"/>
      <c r="P2" s="303" t="s">
        <v>719</v>
      </c>
      <c r="Q2" s="297">
        <f ca="1">MATCH("RH1",OFFSET(CalibData!$C$3,1,0,200),0)-3</f>
        <v>73</v>
      </c>
    </row>
    <row r="3" spans="1:22">
      <c r="A3" s="195"/>
      <c r="B3" s="195"/>
      <c r="C3" s="195"/>
      <c r="D3" s="195"/>
      <c r="E3" s="204" t="s">
        <v>372</v>
      </c>
      <c r="F3" s="18">
        <v>4.1868000000000002E-2</v>
      </c>
      <c r="G3" s="195"/>
      <c r="H3" s="204" t="s">
        <v>424</v>
      </c>
      <c r="I3" s="59">
        <v>1</v>
      </c>
      <c r="J3" s="195"/>
      <c r="K3" s="195"/>
      <c r="L3" s="51" t="s">
        <v>398</v>
      </c>
      <c r="M3" s="51"/>
      <c r="N3" s="195"/>
      <c r="O3" s="195"/>
      <c r="P3" s="195"/>
    </row>
    <row r="4" spans="1:22">
      <c r="A4" s="195"/>
      <c r="B4" s="195"/>
      <c r="C4" s="195"/>
      <c r="D4" s="195"/>
      <c r="E4" s="195"/>
      <c r="F4" s="195"/>
      <c r="G4" s="195"/>
      <c r="H4" s="204" t="s">
        <v>48</v>
      </c>
      <c r="I4" s="18">
        <v>1</v>
      </c>
      <c r="J4" s="195"/>
      <c r="K4" s="195"/>
      <c r="L4" s="263" t="s">
        <v>399</v>
      </c>
      <c r="M4" s="263"/>
      <c r="N4" s="195"/>
      <c r="O4" s="195"/>
      <c r="P4" s="195"/>
    </row>
    <row r="5" spans="1:22">
      <c r="A5" s="203"/>
      <c r="B5" s="195"/>
      <c r="C5" s="195"/>
      <c r="D5" s="195"/>
      <c r="E5" s="195"/>
      <c r="F5" s="195"/>
      <c r="G5" s="206"/>
      <c r="H5" s="195"/>
      <c r="I5" s="195"/>
      <c r="J5" s="195"/>
      <c r="K5" s="195"/>
      <c r="L5" s="12" t="s">
        <v>400</v>
      </c>
      <c r="M5" s="12"/>
      <c r="N5" s="195"/>
      <c r="O5" s="195"/>
      <c r="P5" s="195"/>
    </row>
    <row r="6" spans="1:22" ht="15.75">
      <c r="A6" s="194" t="s">
        <v>518</v>
      </c>
      <c r="B6" s="195"/>
      <c r="C6" s="195"/>
      <c r="D6" s="195"/>
      <c r="E6" s="195"/>
      <c r="F6" s="195"/>
      <c r="G6" s="206"/>
      <c r="H6" s="195"/>
      <c r="I6" s="195"/>
      <c r="J6" s="195"/>
      <c r="K6" s="195"/>
      <c r="L6" s="48" t="s">
        <v>401</v>
      </c>
      <c r="M6" s="48"/>
      <c r="N6" s="195"/>
      <c r="O6" s="195"/>
      <c r="P6" s="195"/>
    </row>
    <row r="7" spans="1:22" ht="18">
      <c r="A7" s="204"/>
      <c r="B7" s="131" t="s">
        <v>231</v>
      </c>
      <c r="C7" s="98"/>
      <c r="D7" s="136"/>
      <c r="E7" s="195" t="s">
        <v>250</v>
      </c>
      <c r="F7" s="195"/>
      <c r="H7" s="195"/>
      <c r="I7" s="195"/>
      <c r="J7" s="195"/>
      <c r="K7" s="195"/>
      <c r="L7" s="264" t="s">
        <v>402</v>
      </c>
      <c r="M7" s="264"/>
      <c r="N7" s="195"/>
      <c r="O7" s="195"/>
      <c r="P7" s="195"/>
    </row>
    <row r="8" spans="1:22" ht="18">
      <c r="A8" s="196" t="s">
        <v>374</v>
      </c>
      <c r="B8" s="200" t="s">
        <v>368</v>
      </c>
      <c r="C8" s="196"/>
      <c r="D8" s="196"/>
      <c r="F8" s="201" t="s">
        <v>232</v>
      </c>
      <c r="G8" s="131"/>
      <c r="H8" s="131"/>
      <c r="I8" s="288" t="s">
        <v>377</v>
      </c>
      <c r="J8" s="195"/>
      <c r="K8" s="195"/>
      <c r="L8" s="195"/>
      <c r="M8" s="195"/>
      <c r="N8" s="195"/>
      <c r="O8" s="195"/>
      <c r="P8" s="195"/>
    </row>
    <row r="9" spans="1:22">
      <c r="A9" s="195" t="s">
        <v>403</v>
      </c>
      <c r="B9" s="47">
        <v>0.60480089999999997</v>
      </c>
      <c r="C9" s="365">
        <v>0.60480089999999997</v>
      </c>
      <c r="D9" s="75" t="s">
        <v>436</v>
      </c>
      <c r="E9" s="195"/>
      <c r="F9" s="43" t="s">
        <v>244</v>
      </c>
      <c r="G9" s="44">
        <f>C9+C10+C11+C24</f>
        <v>0.60480089999999997</v>
      </c>
      <c r="H9" s="76" t="s">
        <v>415</v>
      </c>
      <c r="I9" s="202">
        <f>G9+G190</f>
        <v>0.62399870000000002</v>
      </c>
      <c r="J9" s="195"/>
      <c r="K9" s="195"/>
      <c r="L9" s="195"/>
      <c r="M9" s="195"/>
      <c r="N9" s="195"/>
      <c r="O9" s="195"/>
      <c r="P9" s="195"/>
    </row>
    <row r="10" spans="1:22">
      <c r="A10" s="205" t="s">
        <v>182</v>
      </c>
      <c r="B10" s="47">
        <v>0</v>
      </c>
      <c r="C10" s="365">
        <v>0</v>
      </c>
      <c r="D10" s="75" t="s">
        <v>440</v>
      </c>
      <c r="E10" s="195"/>
      <c r="F10" s="43" t="s">
        <v>413</v>
      </c>
      <c r="G10" s="44">
        <f>C12+C15+C16+C23</f>
        <v>13.650568641910338</v>
      </c>
      <c r="H10" s="76" t="s">
        <v>416</v>
      </c>
      <c r="I10" s="202">
        <f>G10+G191</f>
        <v>27.677098141910339</v>
      </c>
      <c r="J10" s="195"/>
      <c r="K10" s="195"/>
      <c r="L10" s="195"/>
      <c r="M10" s="195"/>
      <c r="N10" s="195"/>
      <c r="O10" s="195"/>
      <c r="P10" s="195"/>
    </row>
    <row r="11" spans="1:22">
      <c r="A11" s="205" t="s">
        <v>183</v>
      </c>
      <c r="B11" s="47">
        <v>0</v>
      </c>
      <c r="C11" s="365">
        <v>0</v>
      </c>
      <c r="D11" s="75" t="s">
        <v>441</v>
      </c>
      <c r="E11" s="195"/>
      <c r="F11" s="43" t="s">
        <v>574</v>
      </c>
      <c r="G11" s="44">
        <f>C13</f>
        <v>0.1200021</v>
      </c>
      <c r="H11" s="76" t="s">
        <v>575</v>
      </c>
      <c r="I11" s="202">
        <f t="shared" ref="I11:I19" si="0">G11+G193</f>
        <v>0.48000409999999999</v>
      </c>
      <c r="J11" s="195"/>
      <c r="K11" s="195"/>
      <c r="L11" s="195"/>
      <c r="M11" s="195"/>
      <c r="N11" s="195"/>
      <c r="O11" s="195"/>
      <c r="P11" s="195"/>
    </row>
    <row r="12" spans="1:22">
      <c r="A12" s="195" t="s">
        <v>411</v>
      </c>
      <c r="B12" s="47">
        <v>11.602838341910338</v>
      </c>
      <c r="C12" s="365">
        <v>11.602838341910338</v>
      </c>
      <c r="D12" s="75" t="s">
        <v>221</v>
      </c>
      <c r="E12" s="195"/>
      <c r="F12" s="43" t="s">
        <v>576</v>
      </c>
      <c r="G12" s="44">
        <f>C14</f>
        <v>0</v>
      </c>
      <c r="H12" s="76" t="s">
        <v>577</v>
      </c>
      <c r="I12" s="202">
        <f t="shared" si="0"/>
        <v>0</v>
      </c>
      <c r="J12" s="195"/>
      <c r="K12" s="195"/>
      <c r="L12" s="195"/>
      <c r="M12" s="195"/>
      <c r="N12" s="195"/>
      <c r="O12" s="195"/>
      <c r="P12" s="195"/>
    </row>
    <row r="13" spans="1:22">
      <c r="A13" s="195" t="s">
        <v>410</v>
      </c>
      <c r="B13" s="47">
        <v>0.1200021</v>
      </c>
      <c r="C13" s="365">
        <v>0.1200021</v>
      </c>
      <c r="D13" s="75" t="s">
        <v>217</v>
      </c>
      <c r="E13" s="195"/>
      <c r="F13" s="43" t="s">
        <v>664</v>
      </c>
      <c r="G13" s="44">
        <f>C17+C18+C19</f>
        <v>0.14879890000000001</v>
      </c>
      <c r="H13" s="76" t="s">
        <v>417</v>
      </c>
      <c r="I13" s="202">
        <f t="shared" si="0"/>
        <v>2.2965142000000003</v>
      </c>
      <c r="J13" s="195"/>
      <c r="K13" s="195"/>
      <c r="L13" s="197"/>
      <c r="M13" s="197"/>
      <c r="N13" s="197"/>
      <c r="O13" s="202"/>
      <c r="P13" s="197"/>
    </row>
    <row r="14" spans="1:22">
      <c r="A14" s="195" t="s">
        <v>409</v>
      </c>
      <c r="B14" s="47">
        <v>0</v>
      </c>
      <c r="C14" s="365">
        <v>0</v>
      </c>
      <c r="D14" s="75" t="s">
        <v>219</v>
      </c>
      <c r="E14" s="195"/>
      <c r="F14" s="43" t="s">
        <v>405</v>
      </c>
      <c r="G14" s="44">
        <f>C20</f>
        <v>0.18400149999999998</v>
      </c>
      <c r="H14" s="76" t="s">
        <v>418</v>
      </c>
      <c r="I14" s="202">
        <f t="shared" si="0"/>
        <v>0.32200260000000003</v>
      </c>
      <c r="J14" s="195"/>
      <c r="K14" s="195"/>
      <c r="L14" s="195"/>
      <c r="M14" s="195"/>
      <c r="N14" s="199"/>
      <c r="O14" s="223"/>
      <c r="P14" s="223"/>
      <c r="V14" s="171"/>
    </row>
    <row r="15" spans="1:22">
      <c r="A15" s="195" t="s">
        <v>426</v>
      </c>
      <c r="B15" s="47">
        <v>1.9360014000000001</v>
      </c>
      <c r="C15" s="365">
        <v>1.9360014000000001</v>
      </c>
      <c r="D15" s="76" t="s">
        <v>220</v>
      </c>
      <c r="E15" s="195"/>
      <c r="F15" s="43" t="s">
        <v>588</v>
      </c>
      <c r="G15" s="44">
        <f>C21+C22+C25+C26</f>
        <v>53.223062678080993</v>
      </c>
      <c r="H15" s="76" t="s">
        <v>419</v>
      </c>
      <c r="I15" s="202">
        <f t="shared" si="0"/>
        <v>60.230662178080991</v>
      </c>
      <c r="J15" s="195"/>
      <c r="K15" s="195"/>
      <c r="L15" s="195"/>
      <c r="M15" s="195"/>
      <c r="N15" s="195"/>
      <c r="O15" s="195"/>
      <c r="P15" s="195"/>
      <c r="V15" s="171"/>
    </row>
    <row r="16" spans="1:22">
      <c r="A16" s="205" t="s">
        <v>184</v>
      </c>
      <c r="B16" s="47">
        <v>0</v>
      </c>
      <c r="C16" s="365">
        <v>0</v>
      </c>
      <c r="D16" s="75" t="s">
        <v>647</v>
      </c>
      <c r="E16" s="195"/>
      <c r="F16" s="43" t="s">
        <v>247</v>
      </c>
      <c r="G16" s="44">
        <f>C27</f>
        <v>68.979250899940183</v>
      </c>
      <c r="H16" s="76" t="s">
        <v>420</v>
      </c>
      <c r="I16" s="202">
        <f t="shared" si="0"/>
        <v>74.511462119940177</v>
      </c>
      <c r="J16" s="195"/>
      <c r="K16" s="195"/>
      <c r="L16" s="195"/>
      <c r="M16" s="195"/>
      <c r="N16" s="195"/>
      <c r="O16" s="195"/>
      <c r="P16" s="195"/>
    </row>
    <row r="17" spans="1:45">
      <c r="A17" s="205" t="s">
        <v>375</v>
      </c>
      <c r="B17" s="47">
        <v>0</v>
      </c>
      <c r="C17" s="365">
        <v>0</v>
      </c>
      <c r="D17" s="75" t="s">
        <v>437</v>
      </c>
      <c r="E17" s="195"/>
      <c r="F17" s="43" t="s">
        <v>414</v>
      </c>
      <c r="G17" s="44">
        <f>C28</f>
        <v>46.700640000000007</v>
      </c>
      <c r="H17" s="76" t="s">
        <v>421</v>
      </c>
      <c r="I17" s="202">
        <f t="shared" si="0"/>
        <v>47.208240000000004</v>
      </c>
      <c r="J17" s="195"/>
      <c r="K17" s="195"/>
      <c r="L17" s="195"/>
      <c r="M17" s="195"/>
      <c r="N17" s="195"/>
      <c r="O17" s="195"/>
      <c r="P17" s="195"/>
    </row>
    <row r="18" spans="1:45">
      <c r="A18" s="287" t="s">
        <v>376</v>
      </c>
      <c r="B18" s="47">
        <v>0.14879890000000001</v>
      </c>
      <c r="C18" s="365">
        <v>0.14879890000000001</v>
      </c>
      <c r="D18" s="75" t="s">
        <v>438</v>
      </c>
      <c r="E18" s="195"/>
      <c r="F18" s="43" t="s">
        <v>245</v>
      </c>
      <c r="G18" s="44">
        <f>C29</f>
        <v>0</v>
      </c>
      <c r="H18" s="76" t="s">
        <v>581</v>
      </c>
      <c r="I18" s="202">
        <f t="shared" si="0"/>
        <v>0</v>
      </c>
      <c r="J18" s="195"/>
      <c r="K18" s="195"/>
      <c r="L18" s="195"/>
      <c r="M18" s="195"/>
      <c r="N18" s="195"/>
      <c r="O18" s="195"/>
      <c r="P18" s="195"/>
    </row>
    <row r="19" spans="1:45">
      <c r="A19" s="205" t="s">
        <v>185</v>
      </c>
      <c r="B19" s="47">
        <v>0</v>
      </c>
      <c r="C19" s="365">
        <v>0</v>
      </c>
      <c r="D19" s="75" t="s">
        <v>439</v>
      </c>
      <c r="E19" s="195"/>
      <c r="F19" s="43" t="s">
        <v>246</v>
      </c>
      <c r="G19" s="44">
        <f>C30</f>
        <v>7.4998099999999998E-2</v>
      </c>
      <c r="H19" s="76" t="s">
        <v>582</v>
      </c>
      <c r="I19" s="202">
        <f t="shared" si="0"/>
        <v>7.4998099999999998E-2</v>
      </c>
      <c r="J19" s="195"/>
      <c r="K19" s="195"/>
      <c r="L19" s="195"/>
      <c r="M19" s="195"/>
      <c r="N19" s="195"/>
      <c r="O19" s="195"/>
      <c r="P19" s="19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row>
    <row r="20" spans="1:45">
      <c r="A20" s="195" t="s">
        <v>405</v>
      </c>
      <c r="B20" s="47">
        <v>0.18400149999999998</v>
      </c>
      <c r="C20" s="365">
        <v>0.18400149999999998</v>
      </c>
      <c r="D20" s="75" t="s">
        <v>110</v>
      </c>
      <c r="E20" s="195"/>
      <c r="F20" s="195"/>
      <c r="G20" s="195"/>
      <c r="H20" s="195"/>
      <c r="I20" s="195"/>
      <c r="J20" s="195"/>
      <c r="K20" s="195"/>
      <c r="L20" s="195"/>
      <c r="M20" s="195"/>
      <c r="N20" s="195"/>
      <c r="O20" s="195"/>
      <c r="P20" s="195"/>
    </row>
    <row r="21" spans="1:45">
      <c r="A21" s="195" t="s">
        <v>585</v>
      </c>
      <c r="B21" s="47">
        <v>53.223062678080993</v>
      </c>
      <c r="C21" s="365">
        <v>53.223062678080993</v>
      </c>
      <c r="D21" s="75" t="s">
        <v>53</v>
      </c>
      <c r="E21" s="195"/>
      <c r="F21" s="195"/>
      <c r="G21" s="195"/>
      <c r="H21" s="195"/>
      <c r="I21" s="195"/>
      <c r="J21" s="195"/>
      <c r="K21" s="195"/>
      <c r="L21" s="195"/>
      <c r="M21" s="195"/>
      <c r="N21" s="195"/>
      <c r="O21" s="195"/>
      <c r="P21" s="195"/>
    </row>
    <row r="22" spans="1:45">
      <c r="A22" s="195" t="s">
        <v>586</v>
      </c>
      <c r="B22" s="47">
        <v>0</v>
      </c>
      <c r="C22" s="365">
        <v>0</v>
      </c>
      <c r="D22" s="75" t="s">
        <v>589</v>
      </c>
      <c r="E22" s="195"/>
      <c r="F22" s="195"/>
      <c r="G22" s="195"/>
      <c r="H22" s="195"/>
      <c r="I22" s="195"/>
      <c r="J22" s="195"/>
      <c r="K22" s="195"/>
      <c r="L22" s="195"/>
      <c r="M22" s="195"/>
      <c r="N22" s="195"/>
      <c r="O22" s="195"/>
      <c r="P22" s="195"/>
      <c r="Q22" s="102"/>
      <c r="V22" s="171"/>
    </row>
    <row r="23" spans="1:45">
      <c r="A23" s="195" t="s">
        <v>966</v>
      </c>
      <c r="B23" s="47">
        <v>0.11172889999999999</v>
      </c>
      <c r="C23" s="365">
        <v>0.11172889999999999</v>
      </c>
      <c r="D23" s="75" t="s">
        <v>742</v>
      </c>
      <c r="E23" s="195"/>
      <c r="F23" s="195"/>
      <c r="G23" s="195"/>
      <c r="H23" s="195"/>
      <c r="I23" s="195"/>
      <c r="J23" s="195"/>
      <c r="K23" s="195"/>
      <c r="L23" s="195"/>
      <c r="M23" s="195"/>
      <c r="N23" s="195"/>
      <c r="O23" s="195"/>
      <c r="P23" s="195"/>
      <c r="Q23" s="102"/>
    </row>
    <row r="24" spans="1:45">
      <c r="A24" s="195" t="s">
        <v>967</v>
      </c>
      <c r="B24" s="47">
        <v>0</v>
      </c>
      <c r="C24" s="365">
        <v>0</v>
      </c>
      <c r="D24" s="75" t="s">
        <v>43</v>
      </c>
      <c r="E24" s="195"/>
      <c r="F24" s="195"/>
      <c r="G24" s="195"/>
      <c r="H24" s="195"/>
      <c r="I24" s="195"/>
      <c r="J24" s="195"/>
      <c r="K24" s="195"/>
      <c r="L24" s="195"/>
      <c r="M24" s="195"/>
      <c r="N24" s="195"/>
      <c r="O24" s="195"/>
      <c r="P24" s="195"/>
      <c r="Q24" s="102"/>
      <c r="V24" s="171"/>
    </row>
    <row r="25" spans="1:45">
      <c r="A25" s="205" t="s">
        <v>367</v>
      </c>
      <c r="B25" s="47">
        <v>0</v>
      </c>
      <c r="C25" s="365">
        <v>0</v>
      </c>
      <c r="D25" s="75" t="s">
        <v>54</v>
      </c>
      <c r="E25" s="195"/>
      <c r="F25" s="195"/>
      <c r="G25" s="195"/>
      <c r="H25" s="195"/>
      <c r="I25" s="195"/>
      <c r="J25" s="195"/>
      <c r="K25" s="195"/>
      <c r="L25" s="195"/>
      <c r="M25" s="195"/>
      <c r="N25" s="195"/>
      <c r="O25" s="195"/>
      <c r="P25" s="195"/>
      <c r="Q25" s="102"/>
      <c r="V25" s="171"/>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row>
    <row r="26" spans="1:45">
      <c r="A26" s="195" t="s">
        <v>587</v>
      </c>
      <c r="B26" s="47">
        <v>0</v>
      </c>
      <c r="C26" s="365">
        <v>0</v>
      </c>
      <c r="D26" s="75" t="s">
        <v>55</v>
      </c>
      <c r="E26" s="195"/>
      <c r="F26" s="195"/>
      <c r="G26" s="195"/>
      <c r="H26" s="195"/>
      <c r="I26" s="195"/>
      <c r="J26" s="195"/>
      <c r="K26" s="195"/>
      <c r="L26" s="195"/>
      <c r="M26" s="195"/>
      <c r="N26" s="195"/>
      <c r="O26" s="195"/>
      <c r="P26" s="195"/>
      <c r="Q26" s="102"/>
      <c r="V26" s="171"/>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row>
    <row r="27" spans="1:45">
      <c r="A27" s="195" t="s">
        <v>404</v>
      </c>
      <c r="B27" s="47">
        <v>68.979250899940183</v>
      </c>
      <c r="C27" s="365">
        <v>68.979250899940183</v>
      </c>
      <c r="D27" s="75" t="s">
        <v>106</v>
      </c>
      <c r="E27" s="195"/>
      <c r="F27" s="195"/>
      <c r="G27" s="195"/>
      <c r="H27" s="195"/>
      <c r="I27" s="195"/>
      <c r="J27" s="195"/>
      <c r="K27" s="195"/>
      <c r="L27" s="195"/>
      <c r="M27" s="195"/>
      <c r="N27" s="195"/>
      <c r="O27" s="195"/>
      <c r="P27" s="195"/>
      <c r="Q27" s="102"/>
      <c r="V27" s="171"/>
      <c r="W27" s="172"/>
      <c r="X27" s="172"/>
      <c r="Y27" s="172"/>
      <c r="Z27" s="172"/>
      <c r="AA27" s="172"/>
      <c r="AB27" s="172"/>
      <c r="AC27" s="172"/>
      <c r="AD27" s="172"/>
      <c r="AE27" s="172"/>
      <c r="AF27" s="172"/>
      <c r="AG27" s="172"/>
      <c r="AH27" s="172"/>
      <c r="AI27" s="172"/>
      <c r="AJ27" s="172"/>
      <c r="AK27" s="172"/>
      <c r="AL27" s="172"/>
      <c r="AM27" s="172"/>
      <c r="AN27" s="172"/>
      <c r="AO27" s="172"/>
      <c r="AP27" s="172"/>
      <c r="AQ27" s="172"/>
      <c r="AR27" s="172"/>
      <c r="AS27" s="172"/>
    </row>
    <row r="28" spans="1:45">
      <c r="A28" s="195" t="s">
        <v>408</v>
      </c>
      <c r="B28" s="45">
        <v>46.700640000000007</v>
      </c>
      <c r="C28" s="365">
        <v>46.700640000000007</v>
      </c>
      <c r="D28" s="75" t="s">
        <v>573</v>
      </c>
      <c r="E28" s="195"/>
      <c r="F28" s="195"/>
      <c r="G28" s="195"/>
      <c r="H28" s="195"/>
      <c r="I28" s="195"/>
      <c r="J28" s="195"/>
      <c r="K28" s="195"/>
      <c r="L28" s="195"/>
      <c r="M28" s="195"/>
      <c r="N28" s="195"/>
      <c r="O28" s="195"/>
      <c r="P28" s="195"/>
      <c r="Q28" s="102"/>
      <c r="V28" s="171"/>
      <c r="W28" s="172"/>
      <c r="X28" s="172"/>
      <c r="Y28" s="172"/>
      <c r="Z28" s="172"/>
      <c r="AA28" s="172"/>
      <c r="AB28" s="172"/>
      <c r="AC28" s="172"/>
      <c r="AD28" s="172"/>
      <c r="AE28" s="172"/>
      <c r="AF28" s="172"/>
      <c r="AG28" s="172"/>
      <c r="AH28" s="172"/>
      <c r="AI28" s="172"/>
      <c r="AJ28" s="172"/>
      <c r="AK28" s="172"/>
      <c r="AL28" s="172"/>
      <c r="AM28" s="172"/>
      <c r="AN28" s="172"/>
      <c r="AO28" s="172"/>
      <c r="AP28" s="172"/>
      <c r="AQ28" s="172"/>
      <c r="AR28" s="172"/>
      <c r="AS28" s="172"/>
    </row>
    <row r="29" spans="1:45">
      <c r="A29" s="195" t="s">
        <v>578</v>
      </c>
      <c r="B29" s="45">
        <v>0</v>
      </c>
      <c r="C29" s="365">
        <v>0</v>
      </c>
      <c r="D29" s="75" t="s">
        <v>579</v>
      </c>
      <c r="E29" s="195"/>
      <c r="F29" s="195"/>
      <c r="G29" s="195"/>
      <c r="H29" s="195"/>
      <c r="I29" s="195"/>
      <c r="J29" s="195"/>
      <c r="K29" s="195"/>
      <c r="L29" s="195"/>
      <c r="M29" s="195"/>
      <c r="N29" s="195"/>
      <c r="O29" s="195"/>
      <c r="P29" s="195"/>
      <c r="Q29" s="102"/>
      <c r="V29" s="171"/>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row>
    <row r="30" spans="1:45">
      <c r="A30" s="195" t="s">
        <v>602</v>
      </c>
      <c r="B30" s="45">
        <v>7.4998099999999998E-2</v>
      </c>
      <c r="C30" s="365">
        <v>7.4998099999999998E-2</v>
      </c>
      <c r="D30" s="75" t="s">
        <v>580</v>
      </c>
      <c r="E30" s="195"/>
      <c r="F30" s="195"/>
      <c r="G30" s="195"/>
      <c r="H30" s="195"/>
      <c r="I30" s="195"/>
      <c r="J30" s="195"/>
      <c r="K30" s="195"/>
      <c r="L30" s="195"/>
      <c r="M30" s="195"/>
      <c r="N30" s="195"/>
      <c r="O30" s="195"/>
      <c r="P30" s="195"/>
      <c r="Q30" s="102"/>
      <c r="V30" s="171"/>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row>
    <row r="31" spans="1:45">
      <c r="A31" s="195" t="s">
        <v>406</v>
      </c>
      <c r="B31" s="47">
        <v>183.68612371993154</v>
      </c>
      <c r="C31" s="202">
        <v>183.68612371993154</v>
      </c>
      <c r="D31" s="356">
        <f>(B31-C31)/B31</f>
        <v>0</v>
      </c>
      <c r="E31" s="195"/>
      <c r="F31" s="195"/>
      <c r="G31" s="195"/>
      <c r="H31" s="195"/>
      <c r="I31" s="195"/>
      <c r="J31" s="195"/>
      <c r="K31" s="195"/>
      <c r="L31" s="195"/>
      <c r="M31" s="195"/>
      <c r="N31" s="195"/>
      <c r="O31" s="195"/>
      <c r="P31" s="195"/>
      <c r="Q31" s="102"/>
      <c r="V31" s="171"/>
      <c r="W31" s="172"/>
      <c r="X31" s="172"/>
      <c r="Y31" s="172"/>
      <c r="Z31" s="172"/>
      <c r="AA31" s="172"/>
      <c r="AB31" s="172"/>
      <c r="AC31" s="172"/>
      <c r="AD31" s="172"/>
      <c r="AE31" s="172"/>
      <c r="AF31" s="172"/>
      <c r="AG31" s="172"/>
      <c r="AH31" s="172"/>
      <c r="AI31" s="172"/>
      <c r="AJ31" s="172"/>
      <c r="AK31" s="172"/>
      <c r="AL31" s="172"/>
      <c r="AM31" s="172"/>
      <c r="AN31" s="172"/>
      <c r="AO31" s="172"/>
      <c r="AP31" s="172"/>
      <c r="AQ31" s="172"/>
      <c r="AR31" s="172"/>
      <c r="AS31" s="172"/>
    </row>
    <row r="32" spans="1:45">
      <c r="A32" s="195"/>
      <c r="B32" s="197"/>
      <c r="C32" s="202"/>
      <c r="D32" s="357"/>
      <c r="E32" s="195"/>
      <c r="F32" s="195"/>
      <c r="G32" s="195"/>
      <c r="H32" s="195"/>
      <c r="I32" s="195"/>
      <c r="J32" s="195"/>
      <c r="K32" s="195"/>
      <c r="L32" s="195"/>
      <c r="M32" s="195"/>
      <c r="N32" s="195"/>
      <c r="O32" s="195"/>
      <c r="P32" s="195"/>
    </row>
    <row r="33" spans="1:45" ht="18">
      <c r="A33" s="131" t="s">
        <v>519</v>
      </c>
      <c r="B33" s="98"/>
      <c r="C33" s="98"/>
      <c r="D33" s="98"/>
      <c r="E33" s="98"/>
      <c r="F33" s="98"/>
      <c r="G33" s="98"/>
      <c r="H33" s="181" t="s">
        <v>522</v>
      </c>
      <c r="I33" s="182"/>
      <c r="J33" s="182"/>
      <c r="K33" s="182"/>
      <c r="L33" s="195"/>
      <c r="M33" s="195"/>
      <c r="N33" s="195"/>
      <c r="O33" s="195"/>
      <c r="P33" s="195"/>
      <c r="V33" s="171"/>
      <c r="W33" s="172"/>
      <c r="X33" s="172"/>
      <c r="Y33" s="172"/>
      <c r="Z33" s="172"/>
      <c r="AA33" s="172"/>
      <c r="AB33" s="172"/>
      <c r="AC33" s="172"/>
      <c r="AD33" s="172"/>
      <c r="AE33" s="172"/>
      <c r="AF33" s="172"/>
      <c r="AG33" s="172"/>
      <c r="AH33" s="172"/>
      <c r="AI33" s="172"/>
      <c r="AJ33" s="172"/>
      <c r="AK33" s="172"/>
      <c r="AL33" s="172"/>
      <c r="AM33" s="172"/>
      <c r="AN33" s="172"/>
      <c r="AO33" s="172"/>
      <c r="AP33" s="172"/>
      <c r="AQ33" s="172"/>
      <c r="AR33" s="172"/>
      <c r="AS33" s="172"/>
    </row>
    <row r="34" spans="1:45" ht="33.75">
      <c r="A34" s="208"/>
      <c r="B34" s="209" t="s">
        <v>213</v>
      </c>
      <c r="C34" s="209" t="s">
        <v>105</v>
      </c>
      <c r="D34" s="209" t="s">
        <v>179</v>
      </c>
      <c r="E34" s="209" t="s">
        <v>90</v>
      </c>
      <c r="F34" s="209" t="s">
        <v>93</v>
      </c>
      <c r="G34" s="209" t="s">
        <v>95</v>
      </c>
      <c r="H34" s="209" t="s">
        <v>269</v>
      </c>
      <c r="I34" s="209" t="s">
        <v>97</v>
      </c>
      <c r="J34" s="209" t="s">
        <v>268</v>
      </c>
      <c r="K34" s="209" t="s">
        <v>636</v>
      </c>
      <c r="L34" s="209" t="s">
        <v>104</v>
      </c>
      <c r="M34" s="195" t="s">
        <v>248</v>
      </c>
      <c r="N34" s="195"/>
      <c r="O34" s="195"/>
      <c r="P34" s="195"/>
      <c r="V34" s="171"/>
      <c r="W34" s="172"/>
      <c r="X34" s="172"/>
      <c r="Y34" s="172"/>
      <c r="Z34" s="172"/>
      <c r="AA34" s="172"/>
      <c r="AB34" s="172"/>
      <c r="AC34" s="172"/>
      <c r="AD34" s="172"/>
      <c r="AE34" s="172"/>
      <c r="AF34" s="172"/>
      <c r="AG34" s="172"/>
      <c r="AH34" s="172"/>
      <c r="AI34" s="172"/>
      <c r="AJ34" s="172"/>
      <c r="AK34" s="172"/>
      <c r="AL34" s="172"/>
      <c r="AM34" s="172"/>
      <c r="AN34" s="172"/>
      <c r="AO34" s="172"/>
      <c r="AP34" s="172"/>
      <c r="AQ34" s="172"/>
      <c r="AR34" s="172"/>
      <c r="AS34" s="172"/>
    </row>
    <row r="35" spans="1:45">
      <c r="A35" s="195"/>
      <c r="B35" s="210" t="s">
        <v>127</v>
      </c>
      <c r="C35" s="210" t="s">
        <v>128</v>
      </c>
      <c r="D35" s="210" t="s">
        <v>44</v>
      </c>
      <c r="E35" s="210" t="s">
        <v>91</v>
      </c>
      <c r="F35" s="210" t="s">
        <v>94</v>
      </c>
      <c r="G35" s="210" t="s">
        <v>129</v>
      </c>
      <c r="H35" s="210" t="s">
        <v>96</v>
      </c>
      <c r="I35" s="210" t="s">
        <v>92</v>
      </c>
      <c r="J35" s="210" t="s">
        <v>637</v>
      </c>
      <c r="K35" s="210" t="s">
        <v>642</v>
      </c>
      <c r="L35" s="210" t="s">
        <v>130</v>
      </c>
      <c r="M35" s="195"/>
      <c r="N35" s="195"/>
      <c r="O35" s="195"/>
      <c r="P35" s="195"/>
      <c r="V35" s="171"/>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row>
    <row r="36" spans="1:45" ht="18" customHeight="1">
      <c r="A36" s="211" t="s">
        <v>244</v>
      </c>
      <c r="B36" s="41">
        <f t="shared" ref="B36:B46" ca="1" si="1">1-SUM(C36:L36)</f>
        <v>0.67982007769372321</v>
      </c>
      <c r="C36" s="41">
        <f ca="1">SUMIF(OFFSET(CalibData!$M$3,1,0,$Q$2),ROW()+COLUMN()/100,OFFSET(CalibData!$O$3,1,0,$Q$2))</f>
        <v>0</v>
      </c>
      <c r="D36" s="41">
        <f ca="1">SUMIF(OFFSET(CalibData!$M$3,1,0,$Q$2),ROW()+COLUMN()/100,OFFSET(CalibData!$O$3,1,0,$Q$2))</f>
        <v>0.21468002453485993</v>
      </c>
      <c r="E36" s="224"/>
      <c r="F36" s="41">
        <f ca="1">SUMIF(OFFSET(CalibData!$M$3,1,0,$Q$2),ROW()+COLUMN()/100,OFFSET(CalibData!$O$3,1,0,$Q$2))</f>
        <v>0</v>
      </c>
      <c r="G36" s="41">
        <f ca="1">SUMIF(OFFSET(CalibData!$M$3,1,0,$Q$2),ROW()+COLUMN()/100,OFFSET(CalibData!$O$3,1,0,$Q$2))</f>
        <v>0.10549989777141687</v>
      </c>
      <c r="H36" s="224"/>
      <c r="I36" s="224"/>
      <c r="J36" s="41">
        <f ca="1">SUMIF(OFFSET(CalibData!$M$3,1,0,$Q$2),ROW()+COLUMN()/100,OFFSET(CalibData!$O$3,1,0,$Q$2))</f>
        <v>0</v>
      </c>
      <c r="K36" s="224"/>
      <c r="L36" s="224"/>
      <c r="M36" s="212">
        <f t="shared" ref="M36:M46" ca="1" si="2">SUM(B36:L36)</f>
        <v>1</v>
      </c>
      <c r="N36" s="195"/>
      <c r="O36" s="195"/>
      <c r="P36" s="195"/>
      <c r="V36" s="171"/>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row>
    <row r="37" spans="1:45">
      <c r="A37" s="211" t="s">
        <v>663</v>
      </c>
      <c r="B37" s="41">
        <f t="shared" ca="1" si="1"/>
        <v>0.77</v>
      </c>
      <c r="C37" s="300"/>
      <c r="D37" s="41">
        <f ca="1">SUMIF(OFFSET(CalibData!$M$3,1,0,$Q$2),ROW()+COLUMN()/100,OFFSET(CalibData!$O$3,1,0,$Q$2))</f>
        <v>0.23</v>
      </c>
      <c r="E37" s="224"/>
      <c r="F37" s="224"/>
      <c r="G37" s="41">
        <f ca="1">SUMIF(OFFSET(CalibData!$M$3,1,0,$Q$2),ROW()+COLUMN()/100,OFFSET(CalibData!$O$3,1,0,$Q$2))</f>
        <v>0</v>
      </c>
      <c r="H37" s="224"/>
      <c r="I37" s="224"/>
      <c r="J37" s="41">
        <f ca="1">SUMIF(OFFSET(CalibData!$M$3,1,0,$Q$2),ROW()+COLUMN()/100,OFFSET(CalibData!$O$3,1,0,$Q$2))</f>
        <v>0</v>
      </c>
      <c r="K37" s="224"/>
      <c r="L37" s="224"/>
      <c r="M37" s="212">
        <f t="shared" ca="1" si="2"/>
        <v>1</v>
      </c>
      <c r="N37" s="195"/>
      <c r="O37" s="195"/>
      <c r="P37" s="195"/>
    </row>
    <row r="38" spans="1:45">
      <c r="A38" s="211" t="s">
        <v>574</v>
      </c>
      <c r="B38" s="70">
        <f t="shared" ca="1" si="1"/>
        <v>0.76</v>
      </c>
      <c r="C38" s="301"/>
      <c r="D38" s="41">
        <f ca="1">SUMIF(OFFSET(CalibData!$M$3,1,0,$Q$2),ROW()+COLUMN()/100,OFFSET(CalibData!$O$3,1,0,$Q$2))</f>
        <v>0.24</v>
      </c>
      <c r="E38" s="225"/>
      <c r="F38" s="225"/>
      <c r="G38" s="225"/>
      <c r="H38" s="225"/>
      <c r="I38" s="225"/>
      <c r="J38" s="41">
        <f ca="1">SUMIF(OFFSET(CalibData!$M$3,1,0,$Q$2),ROW()+COLUMN()/100,OFFSET(CalibData!$O$3,1,0,$Q$2))</f>
        <v>0</v>
      </c>
      <c r="K38" s="225"/>
      <c r="L38" s="225"/>
      <c r="M38" s="212">
        <f t="shared" ca="1" si="2"/>
        <v>1</v>
      </c>
      <c r="N38" s="195"/>
      <c r="O38" s="195"/>
      <c r="P38" s="195"/>
      <c r="V38" s="171"/>
    </row>
    <row r="39" spans="1:45">
      <c r="A39" s="211" t="s">
        <v>576</v>
      </c>
      <c r="B39" s="70">
        <f t="shared" ca="1" si="1"/>
        <v>0.38500000000000001</v>
      </c>
      <c r="C39" s="301"/>
      <c r="D39" s="41">
        <f ca="1">SUMIF(OFFSET(CalibData!$M$3,1,0,$Q$2),ROW()+COLUMN()/100,OFFSET(CalibData!$O$3,1,0,$Q$2))</f>
        <v>0.115</v>
      </c>
      <c r="E39" s="225"/>
      <c r="F39" s="225"/>
      <c r="G39" s="41">
        <f ca="1">SUMIF(OFFSET(CalibData!$M$3,1,0,$Q$2),ROW()+COLUMN()/100,OFFSET(CalibData!$O$3,1,0,$Q$2))</f>
        <v>0.1</v>
      </c>
      <c r="H39" s="225"/>
      <c r="I39" s="225"/>
      <c r="J39" s="41">
        <f ca="1">SUMIF(OFFSET(CalibData!$M$3,1,0,$Q$2),ROW()+COLUMN()/100,OFFSET(CalibData!$O$3,1,0,$Q$2))</f>
        <v>0.4</v>
      </c>
      <c r="K39" s="225"/>
      <c r="L39" s="41">
        <f ca="1">SUMIF(OFFSET(CalibData!$M$3,1,0,$Q$2),ROW()+COLUMN()/100,OFFSET(CalibData!$O$3,1,0,$Q$2))</f>
        <v>0</v>
      </c>
      <c r="M39" s="212">
        <f t="shared" ca="1" si="2"/>
        <v>1</v>
      </c>
      <c r="N39" s="195"/>
      <c r="O39" s="195"/>
      <c r="P39" s="195"/>
      <c r="V39" s="171"/>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row>
    <row r="40" spans="1:45">
      <c r="A40" s="211" t="s">
        <v>664</v>
      </c>
      <c r="B40" s="70">
        <f t="shared" ca="1" si="1"/>
        <v>0.77</v>
      </c>
      <c r="C40" s="301"/>
      <c r="D40" s="41">
        <f ca="1">SUMIF(OFFSET(CalibData!$M$3,1,0,$Q$2),ROW()+COLUMN()/100,OFFSET(CalibData!$O$3,1,0,$Q$2))</f>
        <v>0.23</v>
      </c>
      <c r="E40" s="225"/>
      <c r="F40" s="225"/>
      <c r="G40" s="41">
        <f ca="1">SUMIF(OFFSET(CalibData!$M$3,1,0,$Q$2),ROW()+COLUMN()/100,OFFSET(CalibData!$O$3,1,0,$Q$2))</f>
        <v>0</v>
      </c>
      <c r="H40" s="225"/>
      <c r="I40" s="225"/>
      <c r="J40" s="41">
        <f ca="1">SUMIF(OFFSET(CalibData!$M$3,1,0,$Q$2),ROW()+COLUMN()/100,OFFSET(CalibData!$O$3,1,0,$Q$2))</f>
        <v>0</v>
      </c>
      <c r="K40" s="225"/>
      <c r="L40" s="225"/>
      <c r="M40" s="212">
        <f t="shared" ca="1" si="2"/>
        <v>1</v>
      </c>
      <c r="N40" s="195"/>
      <c r="O40" s="195"/>
      <c r="P40" s="195"/>
      <c r="V40" s="171"/>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row>
    <row r="41" spans="1:45">
      <c r="A41" s="211" t="s">
        <v>665</v>
      </c>
      <c r="B41" s="70">
        <f t="shared" ca="1" si="1"/>
        <v>0.3899999999999999</v>
      </c>
      <c r="C41" s="301"/>
      <c r="D41" s="41">
        <f ca="1">SUMIF(OFFSET(CalibData!$M$3,1,0,$Q$2),ROW()+COLUMN()/100,OFFSET(CalibData!$O$3,1,0,$Q$2))</f>
        <v>0.3</v>
      </c>
      <c r="E41" s="225"/>
      <c r="F41" s="225"/>
      <c r="G41" s="41">
        <f ca="1">SUMIF(OFFSET(CalibData!$M$3,1,0,$Q$2),ROW()+COLUMN()/100,OFFSET(CalibData!$O$3,1,0,$Q$2))</f>
        <v>0.30294529755731353</v>
      </c>
      <c r="H41" s="225"/>
      <c r="I41" s="225"/>
      <c r="J41" s="41">
        <f ca="1">SUMIF(OFFSET(CalibData!$M$3,1,0,$Q$2),ROW()+COLUMN()/100,OFFSET(CalibData!$O$3,1,0,$Q$2))</f>
        <v>7.0547024426865779E-3</v>
      </c>
      <c r="K41" s="225"/>
      <c r="L41" s="225"/>
      <c r="M41" s="212">
        <f t="shared" ca="1" si="2"/>
        <v>1</v>
      </c>
      <c r="N41" s="195"/>
      <c r="O41" s="195"/>
      <c r="P41" s="195"/>
      <c r="V41" s="171"/>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row>
    <row r="42" spans="1:45">
      <c r="A42" s="211" t="s">
        <v>588</v>
      </c>
      <c r="B42" s="70">
        <f t="shared" ca="1" si="1"/>
        <v>0.74423244789240439</v>
      </c>
      <c r="C42" s="301"/>
      <c r="D42" s="41">
        <f ca="1">SUMIF(OFFSET(CalibData!$M$3,1,0,$Q$2),ROW()+COLUMN()/100,OFFSET(CalibData!$O$3,1,0,$Q$2))</f>
        <v>0.13500000000000001</v>
      </c>
      <c r="E42" s="225"/>
      <c r="F42" s="225"/>
      <c r="G42" s="41">
        <f ca="1">SUMIF(OFFSET(CalibData!$M$3,1,0,$Q$2),ROW()+COLUMN()/100,OFFSET(CalibData!$O$3,1,0,$Q$2))</f>
        <v>9.4999999999999998E-3</v>
      </c>
      <c r="H42" s="225"/>
      <c r="I42" s="225"/>
      <c r="J42" s="41">
        <f ca="1">SUMIF(OFFSET(CalibData!$M$3,1,0,$Q$2),ROW()+COLUMN()/100,OFFSET(CalibData!$O$3,1,0,$Q$2))</f>
        <v>0.1112675521075956</v>
      </c>
      <c r="K42" s="225"/>
      <c r="L42" s="225"/>
      <c r="M42" s="212">
        <f t="shared" ca="1" si="2"/>
        <v>1</v>
      </c>
      <c r="N42" s="195"/>
      <c r="O42" s="195"/>
      <c r="P42" s="195"/>
      <c r="V42" s="171"/>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row>
    <row r="43" spans="1:45">
      <c r="A43" s="211" t="s">
        <v>247</v>
      </c>
      <c r="B43" s="70">
        <f t="shared" ca="1" si="1"/>
        <v>0.45438555941078684</v>
      </c>
      <c r="C43" s="41">
        <f ca="1">SUMIF(OFFSET(CalibData!$M$3,1,0,$Q$2),ROW()+COLUMN()/100,OFFSET(CalibData!$O$3,1,0,$Q$2))</f>
        <v>9.2227236315699061E-3</v>
      </c>
      <c r="D43" s="41">
        <f ca="1">SUMIF(OFFSET(CalibData!$M$3,1,0,$Q$2),ROW()+COLUMN()/100,OFFSET(CalibData!$O$3,1,0,$Q$2))</f>
        <v>0.17670549532641713</v>
      </c>
      <c r="E43" s="41">
        <f ca="1">SUMIF(OFFSET(CalibData!$M$3,1,0,$Q$2),ROW()+COLUMN()/100,OFFSET(CalibData!$O$3,1,0,$Q$2))</f>
        <v>4.9432026484532897E-2</v>
      </c>
      <c r="F43" s="41">
        <f ca="1">SUMIF(OFFSET(CalibData!$M$3,1,0,$Q$2),ROW()+COLUMN()/100,OFFSET(CalibData!$O$3,1,0,$Q$2))</f>
        <v>6.0864903893036969E-3</v>
      </c>
      <c r="G43" s="41">
        <f ca="1">SUMIF(OFFSET(CalibData!$M$3,1,0,$Q$2),ROW()+COLUMN()/100,OFFSET(CalibData!$O$3,1,0,$Q$2))</f>
        <v>2.3669684847292156E-2</v>
      </c>
      <c r="H43" s="41">
        <f ca="1">SUMIF(OFFSET(CalibData!$M$3,1,0,$Q$2),ROW()+COLUMN()/100,OFFSET(CalibData!$O$3,1,0,$Q$2))</f>
        <v>8.791597228994228E-3</v>
      </c>
      <c r="I43" s="41">
        <f ca="1">SUMIF(OFFSET(CalibData!$M$3,1,0,$Q$2),ROW()+COLUMN()/100,OFFSET(CalibData!$O$3,1,0,$Q$2))</f>
        <v>1.2511119133568709E-2</v>
      </c>
      <c r="J43" s="225"/>
      <c r="K43" s="41">
        <f ca="1">SUMIF(OFFSET(CalibData!$M$3,1,0,$Q$2),ROW()+COLUMN()/100,OFFSET(CalibData!$O$3,1,0,$Q$2))</f>
        <v>0.19427273939496165</v>
      </c>
      <c r="L43" s="41">
        <f ca="1">SUMIF(OFFSET(CalibData!$M$3,1,0,$Q$2),ROW()+COLUMN()/100,OFFSET(CalibData!$O$3,1,0,$Q$2))</f>
        <v>6.4922564152572762E-2</v>
      </c>
      <c r="M43" s="212">
        <f t="shared" ca="1" si="2"/>
        <v>1</v>
      </c>
      <c r="N43" s="195"/>
      <c r="O43" s="195"/>
      <c r="P43" s="195"/>
      <c r="V43" s="171"/>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row>
    <row r="44" spans="1:45">
      <c r="A44" s="211" t="s">
        <v>414</v>
      </c>
      <c r="B44" s="42">
        <f t="shared" ca="1" si="1"/>
        <v>0.76</v>
      </c>
      <c r="C44" s="302"/>
      <c r="D44" s="41">
        <f ca="1">SUMIF(OFFSET(CalibData!$M$3,1,0,$Q$2),ROW()+COLUMN()/100,OFFSET(CalibData!$O$3,1,0,$Q$2))</f>
        <v>0.24</v>
      </c>
      <c r="E44" s="226"/>
      <c r="F44" s="226"/>
      <c r="G44" s="226"/>
      <c r="H44" s="226"/>
      <c r="I44" s="226"/>
      <c r="J44" s="41">
        <f ca="1">SUMIF(OFFSET(CalibData!$M$3,1,0,$Q$2),ROW()+COLUMN()/100,OFFSET(CalibData!$O$3,1,0,$Q$2))</f>
        <v>0</v>
      </c>
      <c r="K44" s="226"/>
      <c r="L44" s="226"/>
      <c r="M44" s="212">
        <f t="shared" ca="1" si="2"/>
        <v>1</v>
      </c>
      <c r="N44" s="195"/>
      <c r="O44" s="195"/>
      <c r="P44" s="195"/>
      <c r="V44" s="171"/>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row>
    <row r="45" spans="1:45">
      <c r="A45" s="211" t="s">
        <v>245</v>
      </c>
      <c r="B45" s="70">
        <f t="shared" ca="1" si="1"/>
        <v>1</v>
      </c>
      <c r="C45" s="41">
        <f ca="1">SUMIF(OFFSET(CalibData!$M$3,1,0,$Q$2),ROW()+COLUMN()/100,OFFSET(CalibData!$O$3,1,0,$Q$2))</f>
        <v>0</v>
      </c>
      <c r="D45" s="41">
        <f ca="1">SUMIF(OFFSET(CalibData!$M$3,1,0,$Q$2),ROW()+COLUMN()/100,OFFSET(CalibData!$O$3,1,0,$Q$2))</f>
        <v>0</v>
      </c>
      <c r="E45" s="225"/>
      <c r="F45" s="225"/>
      <c r="G45" s="225"/>
      <c r="H45" s="225"/>
      <c r="I45" s="225"/>
      <c r="J45" s="41">
        <f ca="1">SUMIF(OFFSET(CalibData!$M$3,1,0,$Q$2),ROW()+COLUMN()/100,OFFSET(CalibData!$O$3,1,0,$Q$2))</f>
        <v>0</v>
      </c>
      <c r="K45" s="225"/>
      <c r="L45" s="225"/>
      <c r="M45" s="212">
        <f t="shared" ca="1" si="2"/>
        <v>1</v>
      </c>
      <c r="N45" s="195"/>
      <c r="O45" s="195"/>
      <c r="P45" s="195"/>
      <c r="V45" s="171"/>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row>
    <row r="46" spans="1:45">
      <c r="A46" s="211" t="s">
        <v>246</v>
      </c>
      <c r="B46" s="225">
        <f t="shared" ca="1" si="1"/>
        <v>1</v>
      </c>
      <c r="C46" s="301"/>
      <c r="D46" s="41">
        <f ca="1">SUMIF(OFFSET(CalibData!$M$3,1,0,$Q$2),ROW()+COLUMN()/100,OFFSET(CalibData!$O$3,1,0,$Q$2))</f>
        <v>0</v>
      </c>
      <c r="E46" s="225"/>
      <c r="F46" s="225"/>
      <c r="G46" s="41">
        <f ca="1">SUMIF(OFFSET(CalibData!$M$3,1,0,$Q$2),ROW()+COLUMN()/100,OFFSET(CalibData!$O$3,1,0,$Q$2))</f>
        <v>0</v>
      </c>
      <c r="H46" s="225"/>
      <c r="I46" s="225"/>
      <c r="J46" s="41">
        <f ca="1">SUMIF(OFFSET(CalibData!$M$3,1,0,$Q$2),ROW()+COLUMN()/100,OFFSET(CalibData!$O$3,1,0,$Q$2))</f>
        <v>0</v>
      </c>
      <c r="K46" s="225"/>
      <c r="L46" s="225"/>
      <c r="M46" s="212">
        <f t="shared" ca="1" si="2"/>
        <v>1</v>
      </c>
      <c r="N46" s="195"/>
      <c r="O46" s="195"/>
      <c r="P46" s="195"/>
      <c r="V46" s="171"/>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row>
    <row r="47" spans="1:45">
      <c r="A47" s="195"/>
      <c r="B47" s="195"/>
      <c r="C47" s="195"/>
      <c r="D47" s="195"/>
      <c r="E47" s="195"/>
      <c r="F47" s="195"/>
      <c r="G47" s="195"/>
      <c r="H47" s="216"/>
      <c r="I47" s="216"/>
      <c r="J47" s="216"/>
      <c r="K47" s="216"/>
      <c r="L47" s="216"/>
      <c r="M47" s="216"/>
      <c r="N47" s="195"/>
      <c r="O47" s="195"/>
      <c r="P47" s="195"/>
      <c r="V47" s="171"/>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row>
    <row r="48" spans="1:45" ht="18">
      <c r="A48" s="131" t="s">
        <v>520</v>
      </c>
      <c r="B48" s="98"/>
      <c r="C48" s="98"/>
      <c r="D48" s="98"/>
      <c r="E48" s="98"/>
      <c r="F48" s="98"/>
      <c r="G48" s="98"/>
      <c r="H48" s="216"/>
      <c r="I48" s="216"/>
      <c r="J48" s="216"/>
      <c r="K48" s="216"/>
      <c r="L48" s="216"/>
      <c r="M48" s="216"/>
      <c r="N48" s="195"/>
      <c r="O48" s="195"/>
      <c r="P48" s="195"/>
      <c r="V48" s="171"/>
      <c r="W48" s="172"/>
      <c r="X48" s="172"/>
      <c r="Y48" s="172"/>
      <c r="Z48" s="172"/>
      <c r="AA48" s="172"/>
      <c r="AB48" s="172"/>
      <c r="AC48" s="172"/>
      <c r="AD48" s="172"/>
      <c r="AE48" s="172"/>
      <c r="AF48" s="172"/>
      <c r="AG48" s="172"/>
      <c r="AH48" s="172"/>
      <c r="AI48" s="172"/>
      <c r="AJ48" s="172"/>
      <c r="AK48" s="172"/>
      <c r="AL48" s="172"/>
      <c r="AM48" s="172"/>
      <c r="AN48" s="172"/>
      <c r="AO48" s="172"/>
      <c r="AP48" s="172"/>
      <c r="AQ48" s="172"/>
      <c r="AR48" s="172"/>
      <c r="AS48" s="172"/>
    </row>
    <row r="49" spans="1:45">
      <c r="A49" s="195"/>
      <c r="B49" s="62" t="s">
        <v>458</v>
      </c>
      <c r="C49" s="62" t="s">
        <v>720</v>
      </c>
      <c r="D49" s="62" t="s">
        <v>721</v>
      </c>
      <c r="E49" s="62" t="s">
        <v>722</v>
      </c>
      <c r="F49" s="195"/>
      <c r="G49" s="195"/>
      <c r="H49" s="216"/>
      <c r="I49" s="216"/>
      <c r="J49" s="216">
        <v>0.9</v>
      </c>
      <c r="K49" s="216"/>
      <c r="L49" s="216"/>
      <c r="M49" s="216"/>
      <c r="N49" s="216"/>
      <c r="O49" s="216"/>
      <c r="P49" s="216"/>
      <c r="V49" s="171"/>
      <c r="W49" s="172"/>
      <c r="X49" s="172"/>
      <c r="Y49" s="172"/>
      <c r="Z49" s="172"/>
      <c r="AA49" s="172"/>
      <c r="AB49" s="172"/>
      <c r="AC49" s="172"/>
      <c r="AD49" s="172"/>
      <c r="AE49" s="172"/>
      <c r="AF49" s="172"/>
      <c r="AG49" s="172"/>
      <c r="AH49" s="172"/>
      <c r="AI49" s="172"/>
      <c r="AJ49" s="172"/>
      <c r="AK49" s="172"/>
      <c r="AL49" s="172"/>
      <c r="AM49" s="172"/>
      <c r="AN49" s="172"/>
      <c r="AO49" s="172"/>
      <c r="AP49" s="172"/>
      <c r="AQ49" s="172"/>
      <c r="AR49" s="172"/>
      <c r="AS49" s="172"/>
    </row>
    <row r="50" spans="1:45">
      <c r="A50" s="198" t="s">
        <v>282</v>
      </c>
      <c r="B50" s="195"/>
      <c r="C50" s="195"/>
      <c r="D50" s="195"/>
      <c r="E50" s="195"/>
      <c r="F50" s="195"/>
      <c r="G50" s="198" t="s">
        <v>886</v>
      </c>
      <c r="H50" s="195"/>
      <c r="I50" s="195"/>
      <c r="J50" s="198" t="s">
        <v>887</v>
      </c>
      <c r="K50" s="195"/>
      <c r="L50" s="195"/>
      <c r="M50" s="216"/>
      <c r="N50" s="244"/>
      <c r="O50" s="216"/>
      <c r="P50" s="216"/>
      <c r="V50" s="171"/>
      <c r="W50" s="172"/>
      <c r="X50" s="172"/>
      <c r="Y50" s="172"/>
      <c r="Z50" s="172"/>
      <c r="AA50" s="172"/>
      <c r="AB50" s="172"/>
      <c r="AC50" s="172"/>
      <c r="AD50" s="172"/>
      <c r="AE50" s="172"/>
      <c r="AF50" s="172"/>
      <c r="AG50" s="172"/>
      <c r="AH50" s="172"/>
      <c r="AI50" s="172"/>
      <c r="AJ50" s="172"/>
      <c r="AK50" s="172"/>
      <c r="AL50" s="172"/>
      <c r="AM50" s="172"/>
      <c r="AN50" s="172"/>
      <c r="AO50" s="172"/>
      <c r="AP50" s="172"/>
      <c r="AQ50" s="172"/>
      <c r="AR50" s="172"/>
      <c r="AS50" s="172"/>
    </row>
    <row r="51" spans="1:45">
      <c r="A51" s="198"/>
      <c r="B51" s="198" t="str">
        <f>B$49</f>
        <v>Region1</v>
      </c>
      <c r="C51" s="198" t="str">
        <f>C$49</f>
        <v>Region2</v>
      </c>
      <c r="D51" s="198" t="str">
        <f>D$49</f>
        <v>Region3</v>
      </c>
      <c r="E51" s="198" t="str">
        <f>E$49</f>
        <v>Region4</v>
      </c>
      <c r="F51" s="195" t="s">
        <v>248</v>
      </c>
      <c r="G51" s="198"/>
      <c r="H51" s="198" t="str">
        <f>B49</f>
        <v>Region1</v>
      </c>
      <c r="I51" s="198" t="str">
        <f>C49</f>
        <v>Region2</v>
      </c>
      <c r="J51" s="198" t="str">
        <f>H51</f>
        <v>Region1</v>
      </c>
      <c r="K51" s="198" t="str">
        <f>I51</f>
        <v>Region2</v>
      </c>
      <c r="L51" s="195" t="s">
        <v>248</v>
      </c>
      <c r="M51" s="216"/>
      <c r="N51" s="216"/>
      <c r="O51" s="244"/>
      <c r="P51" s="216"/>
      <c r="V51" s="171"/>
      <c r="W51" s="172"/>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2"/>
    </row>
    <row r="52" spans="1:45">
      <c r="A52" s="195" t="s">
        <v>244</v>
      </c>
      <c r="B52" s="41">
        <f t="shared" ref="B52:B62" ca="1" si="3">MAX(0,1-SUM(C52:E52))</f>
        <v>0.16039217222875335</v>
      </c>
      <c r="C52" s="41">
        <f ca="1">SUMIF(OFFSET(CalibData!$M$3,1,0,$Q$2),ROW()+COLUMN()/100,OFFSET(CalibData!$O$3,1,0,$Q$2))</f>
        <v>0.83960782777124665</v>
      </c>
      <c r="D52" s="41">
        <f ca="1">SUMIF(OFFSET(CalibData!$M$3,1,0,$Q$2),ROW()+COLUMN()/100,OFFSET(CalibData!$O$3,1,0,$Q$2))</f>
        <v>0</v>
      </c>
      <c r="E52" s="41">
        <f ca="1">SUMIF(OFFSET(CalibData!$M$3,1,0,$Q$2),ROW()+COLUMN()/100,OFFSET(CalibData!$O$3,1,0,$Q$2))</f>
        <v>0</v>
      </c>
      <c r="F52" s="228">
        <f t="shared" ref="F52:F62" ca="1" si="4">SUM(B52:E52)</f>
        <v>1</v>
      </c>
      <c r="G52" s="195" t="s">
        <v>244</v>
      </c>
      <c r="H52" s="41">
        <f t="shared" ref="H52:H62" ca="1" si="5">MAX(0,1-I52)</f>
        <v>1</v>
      </c>
      <c r="I52" s="41">
        <f ca="1">SUMIF(OFFSET(CalibData!$M$3,1,0,$Q$2),ROW()+COLUMN()/100,OFFSET(CalibData!$O$3,1,0,$Q$2))</f>
        <v>0</v>
      </c>
      <c r="J52" s="40">
        <f t="shared" ref="J52:J62" ca="1" si="6">1-K52</f>
        <v>0.14805726445208089</v>
      </c>
      <c r="K52" s="40">
        <f t="shared" ref="K52:K59" ca="1" si="7">MIN(D36,IF(C$60,K$60*D$44/(C$60*B$44),0.25)*C52*B36)/IF(D36,D36,1)</f>
        <v>0.85194273554791911</v>
      </c>
      <c r="L52" s="228">
        <f t="shared" ref="L52:L62" ca="1" si="8">SUM(H52:I52)</f>
        <v>1</v>
      </c>
      <c r="M52" s="216"/>
      <c r="N52" s="216"/>
      <c r="O52" s="244"/>
      <c r="P52" s="216"/>
    </row>
    <row r="53" spans="1:45">
      <c r="A53" s="195" t="s">
        <v>663</v>
      </c>
      <c r="B53" s="41">
        <f t="shared" ca="1" si="3"/>
        <v>0.8910851870205958</v>
      </c>
      <c r="C53" s="41">
        <f ca="1">SUMIF(OFFSET(CalibData!$M$3,1,0,$Q$2),ROW()+COLUMN()/100,OFFSET(CalibData!$O$3,1,0,$Q$2))</f>
        <v>0.10891481297940424</v>
      </c>
      <c r="D53" s="41">
        <f ca="1">SUMIF(OFFSET(CalibData!$M$3,1,0,$Q$2),ROW()+COLUMN()/100,OFFSET(CalibData!$O$3,1,0,$Q$2))</f>
        <v>0</v>
      </c>
      <c r="E53" s="41">
        <f ca="1">SUMIF(OFFSET(CalibData!$M$3,1,0,$Q$2),ROW()+COLUMN()/100,OFFSET(CalibData!$O$3,1,0,$Q$2))</f>
        <v>0</v>
      </c>
      <c r="F53" s="228">
        <f t="shared" ca="1" si="4"/>
        <v>1</v>
      </c>
      <c r="G53" s="195" t="s">
        <v>663</v>
      </c>
      <c r="H53" s="41">
        <f t="shared" ca="1" si="5"/>
        <v>1</v>
      </c>
      <c r="I53" s="41">
        <f ca="1">SUMIF(OFFSET(CalibData!$M$3,1,0,$Q$2),ROW()+COLUMN()/100,OFFSET(CalibData!$O$3,1,0,$Q$2))</f>
        <v>0</v>
      </c>
      <c r="J53" s="40">
        <f t="shared" ca="1" si="6"/>
        <v>0.88316272648853633</v>
      </c>
      <c r="K53" s="40">
        <f t="shared" ca="1" si="7"/>
        <v>0.11683727351146371</v>
      </c>
      <c r="L53" s="228">
        <f t="shared" ca="1" si="8"/>
        <v>1</v>
      </c>
      <c r="M53" s="216"/>
      <c r="N53" s="216"/>
      <c r="O53" s="244"/>
      <c r="P53" s="216"/>
      <c r="V53" s="171"/>
    </row>
    <row r="54" spans="1:45">
      <c r="A54" s="195" t="s">
        <v>574</v>
      </c>
      <c r="B54" s="41">
        <f t="shared" ca="1" si="3"/>
        <v>0</v>
      </c>
      <c r="C54" s="41">
        <f ca="1">SUMIF(OFFSET(CalibData!$M$3,1,0,$Q$2),ROW()+COLUMN()/100,OFFSET(CalibData!$O$3,1,0,$Q$2))</f>
        <v>1</v>
      </c>
      <c r="D54" s="41">
        <f ca="1">SUMIF(OFFSET(CalibData!$M$3,1,0,$Q$2),ROW()+COLUMN()/100,OFFSET(CalibData!$O$3,1,0,$Q$2))</f>
        <v>0</v>
      </c>
      <c r="E54" s="41">
        <f ca="1">SUMIF(OFFSET(CalibData!$M$3,1,0,$Q$2),ROW()+COLUMN()/100,OFFSET(CalibData!$O$3,1,0,$Q$2))</f>
        <v>0</v>
      </c>
      <c r="F54" s="228">
        <f t="shared" ca="1" si="4"/>
        <v>1</v>
      </c>
      <c r="G54" s="195" t="s">
        <v>574</v>
      </c>
      <c r="H54" s="41">
        <f t="shared" ca="1" si="5"/>
        <v>1</v>
      </c>
      <c r="I54" s="41">
        <f ca="1">SUMIF(OFFSET(CalibData!$M$3,1,0,$Q$2),ROW()+COLUMN()/100,OFFSET(CalibData!$O$3,1,0,$Q$2))</f>
        <v>0</v>
      </c>
      <c r="J54" s="40">
        <f t="shared" ca="1" si="6"/>
        <v>0</v>
      </c>
      <c r="K54" s="40">
        <f t="shared" ca="1" si="7"/>
        <v>1</v>
      </c>
      <c r="L54" s="228">
        <f t="shared" ca="1" si="8"/>
        <v>1</v>
      </c>
      <c r="M54" s="216"/>
      <c r="N54" s="216"/>
      <c r="O54" s="244"/>
      <c r="P54" s="216"/>
      <c r="V54" s="171"/>
      <c r="W54" s="172"/>
      <c r="X54" s="172"/>
      <c r="Y54" s="172"/>
      <c r="Z54" s="172"/>
      <c r="AA54" s="172"/>
      <c r="AB54" s="172"/>
      <c r="AC54" s="172"/>
      <c r="AD54" s="172"/>
      <c r="AE54" s="172"/>
      <c r="AF54" s="172"/>
      <c r="AG54" s="172"/>
      <c r="AH54" s="172"/>
      <c r="AI54" s="172"/>
      <c r="AJ54" s="172"/>
      <c r="AK54" s="172"/>
      <c r="AL54" s="172"/>
      <c r="AM54" s="172"/>
      <c r="AN54" s="172"/>
      <c r="AO54" s="172"/>
      <c r="AP54" s="172"/>
      <c r="AQ54" s="172"/>
      <c r="AR54" s="172"/>
      <c r="AS54" s="172"/>
    </row>
    <row r="55" spans="1:45">
      <c r="A55" s="195" t="s">
        <v>576</v>
      </c>
      <c r="B55" s="41">
        <f t="shared" ca="1" si="3"/>
        <v>1</v>
      </c>
      <c r="C55" s="41">
        <f ca="1">SUMIF(OFFSET(CalibData!$M$3,1,0,$Q$2),ROW()+COLUMN()/100,OFFSET(CalibData!$O$3,1,0,$Q$2))</f>
        <v>0</v>
      </c>
      <c r="D55" s="41">
        <f ca="1">SUMIF(OFFSET(CalibData!$M$3,1,0,$Q$2),ROW()+COLUMN()/100,OFFSET(CalibData!$O$3,1,0,$Q$2))</f>
        <v>0</v>
      </c>
      <c r="E55" s="41">
        <f ca="1">SUMIF(OFFSET(CalibData!$M$3,1,0,$Q$2),ROW()+COLUMN()/100,OFFSET(CalibData!$O$3,1,0,$Q$2))</f>
        <v>0</v>
      </c>
      <c r="F55" s="228">
        <f t="shared" ca="1" si="4"/>
        <v>1</v>
      </c>
      <c r="G55" s="195" t="s">
        <v>576</v>
      </c>
      <c r="H55" s="41">
        <f t="shared" ca="1" si="5"/>
        <v>1</v>
      </c>
      <c r="I55" s="41">
        <f ca="1">SUMIF(OFFSET(CalibData!$M$3,1,0,$Q$2),ROW()+COLUMN()/100,OFFSET(CalibData!$O$3,1,0,$Q$2))</f>
        <v>0</v>
      </c>
      <c r="J55" s="40">
        <f t="shared" ca="1" si="6"/>
        <v>1</v>
      </c>
      <c r="K55" s="40">
        <f t="shared" ca="1" si="7"/>
        <v>0</v>
      </c>
      <c r="L55" s="228">
        <f t="shared" ca="1" si="8"/>
        <v>1</v>
      </c>
      <c r="M55" s="216"/>
      <c r="N55" s="216"/>
      <c r="O55" s="244"/>
      <c r="P55" s="216"/>
      <c r="V55" s="171"/>
      <c r="W55" s="172"/>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2"/>
    </row>
    <row r="56" spans="1:45" ht="12.6" customHeight="1">
      <c r="A56" s="195" t="s">
        <v>664</v>
      </c>
      <c r="B56" s="41">
        <f t="shared" ca="1" si="3"/>
        <v>0.88</v>
      </c>
      <c r="C56" s="41">
        <f ca="1">SUMIF(OFFSET(CalibData!$M$3,1,0,$Q$2),ROW()+COLUMN()/100,OFFSET(CalibData!$O$3,1,0,$Q$2))</f>
        <v>0.12</v>
      </c>
      <c r="D56" s="41">
        <f ca="1">SUMIF(OFFSET(CalibData!$M$3,1,0,$Q$2),ROW()+COLUMN()/100,OFFSET(CalibData!$O$3,1,0,$Q$2))</f>
        <v>0</v>
      </c>
      <c r="E56" s="41">
        <f ca="1">SUMIF(OFFSET(CalibData!$M$3,1,0,$Q$2),ROW()+COLUMN()/100,OFFSET(CalibData!$O$3,1,0,$Q$2))</f>
        <v>0</v>
      </c>
      <c r="F56" s="228">
        <f t="shared" ca="1" si="4"/>
        <v>1</v>
      </c>
      <c r="G56" s="195" t="s">
        <v>664</v>
      </c>
      <c r="H56" s="41">
        <f t="shared" ca="1" si="5"/>
        <v>1</v>
      </c>
      <c r="I56" s="41">
        <f ca="1">SUMIF(OFFSET(CalibData!$M$3,1,0,$Q$2),ROW()+COLUMN()/100,OFFSET(CalibData!$O$3,1,0,$Q$2))</f>
        <v>0</v>
      </c>
      <c r="J56" s="40">
        <f t="shared" ca="1" si="6"/>
        <v>0.87127120326574026</v>
      </c>
      <c r="K56" s="40">
        <f t="shared" ca="1" si="7"/>
        <v>0.12872879673425974</v>
      </c>
      <c r="L56" s="228">
        <f t="shared" ca="1" si="8"/>
        <v>1</v>
      </c>
      <c r="M56" s="216"/>
      <c r="N56" s="216"/>
      <c r="O56" s="244"/>
      <c r="P56" s="216"/>
      <c r="V56" s="171"/>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row>
    <row r="57" spans="1:45" ht="13.5" customHeight="1">
      <c r="A57" s="195" t="s">
        <v>665</v>
      </c>
      <c r="B57" s="41">
        <f t="shared" ca="1" si="3"/>
        <v>1</v>
      </c>
      <c r="C57" s="41">
        <f ca="1">SUMIF(OFFSET(CalibData!$M$3,1,0,$Q$2),ROW()+COLUMN()/100,OFFSET(CalibData!$O$3,1,0,$Q$2))</f>
        <v>0</v>
      </c>
      <c r="D57" s="41">
        <f ca="1">SUMIF(OFFSET(CalibData!$M$3,1,0,$Q$2),ROW()+COLUMN()/100,OFFSET(CalibData!$O$3,1,0,$Q$2))</f>
        <v>0</v>
      </c>
      <c r="E57" s="41">
        <f ca="1">SUMIF(OFFSET(CalibData!$M$3,1,0,$Q$2),ROW()+COLUMN()/100,OFFSET(CalibData!$O$3,1,0,$Q$2))</f>
        <v>0</v>
      </c>
      <c r="F57" s="228">
        <f t="shared" ca="1" si="4"/>
        <v>1</v>
      </c>
      <c r="G57" s="195" t="s">
        <v>665</v>
      </c>
      <c r="H57" s="41">
        <f t="shared" ca="1" si="5"/>
        <v>1</v>
      </c>
      <c r="I57" s="41">
        <f ca="1">SUMIF(OFFSET(CalibData!$M$3,1,0,$Q$2),ROW()+COLUMN()/100,OFFSET(CalibData!$O$3,1,0,$Q$2))</f>
        <v>0</v>
      </c>
      <c r="J57" s="40">
        <f t="shared" ca="1" si="6"/>
        <v>1</v>
      </c>
      <c r="K57" s="40">
        <f t="shared" ca="1" si="7"/>
        <v>0</v>
      </c>
      <c r="L57" s="228">
        <f t="shared" ca="1" si="8"/>
        <v>1</v>
      </c>
      <c r="M57" s="216"/>
      <c r="N57" s="216"/>
      <c r="O57" s="216"/>
      <c r="P57" s="216"/>
      <c r="V57" s="171"/>
      <c r="W57" s="172"/>
      <c r="X57" s="172"/>
      <c r="Y57" s="172"/>
      <c r="Z57" s="172"/>
      <c r="AA57" s="172"/>
      <c r="AB57" s="172"/>
      <c r="AC57" s="172"/>
      <c r="AD57" s="172"/>
      <c r="AE57" s="172"/>
      <c r="AF57" s="172"/>
      <c r="AG57" s="172"/>
      <c r="AH57" s="172"/>
      <c r="AI57" s="172"/>
      <c r="AJ57" s="172"/>
      <c r="AK57" s="172"/>
      <c r="AL57" s="172"/>
      <c r="AM57" s="172"/>
      <c r="AN57" s="172"/>
      <c r="AO57" s="172"/>
      <c r="AP57" s="172"/>
      <c r="AQ57" s="172"/>
      <c r="AR57" s="172"/>
      <c r="AS57" s="172"/>
    </row>
    <row r="58" spans="1:45">
      <c r="A58" s="196" t="s">
        <v>588</v>
      </c>
      <c r="B58" s="41">
        <f t="shared" ca="1" si="3"/>
        <v>0.98533136742490446</v>
      </c>
      <c r="C58" s="41">
        <f ca="1">SUMIF(OFFSET(CalibData!$M$3,1,0,$Q$2),ROW()+COLUMN()/100,OFFSET(CalibData!$O$3,1,0,$Q$2))</f>
        <v>1.4668632575095594E-2</v>
      </c>
      <c r="D58" s="41">
        <f ca="1">SUMIF(OFFSET(CalibData!$M$3,1,0,$Q$2),ROW()+COLUMN()/100,OFFSET(CalibData!$O$3,1,0,$Q$2))</f>
        <v>0</v>
      </c>
      <c r="E58" s="41">
        <f ca="1">SUMIF(OFFSET(CalibData!$M$3,1,0,$Q$2),ROW()+COLUMN()/100,OFFSET(CalibData!$O$3,1,0,$Q$2))</f>
        <v>0</v>
      </c>
      <c r="F58" s="228">
        <f t="shared" ca="1" si="4"/>
        <v>1</v>
      </c>
      <c r="G58" s="196" t="s">
        <v>588</v>
      </c>
      <c r="H58" s="41">
        <f t="shared" ca="1" si="5"/>
        <v>1</v>
      </c>
      <c r="I58" s="41">
        <f ca="1">SUMIF(OFFSET(CalibData!$M$3,1,0,$Q$2),ROW()+COLUMN()/100,OFFSET(CalibData!$O$3,1,0,$Q$2))</f>
        <v>0</v>
      </c>
      <c r="J58" s="40">
        <f t="shared" ca="1" si="6"/>
        <v>0.97408829221089943</v>
      </c>
      <c r="K58" s="40">
        <f t="shared" ca="1" si="7"/>
        <v>2.5911707789100524E-2</v>
      </c>
      <c r="L58" s="228">
        <f t="shared" ca="1" si="8"/>
        <v>1</v>
      </c>
      <c r="M58" s="216"/>
      <c r="N58" s="216"/>
      <c r="O58" s="216"/>
      <c r="P58" s="216"/>
      <c r="V58" s="171"/>
      <c r="W58" s="172"/>
      <c r="X58" s="172"/>
      <c r="Y58" s="172"/>
      <c r="Z58" s="172"/>
      <c r="AA58" s="172"/>
      <c r="AB58" s="172"/>
      <c r="AC58" s="172"/>
      <c r="AD58" s="172"/>
      <c r="AE58" s="172"/>
      <c r="AF58" s="172"/>
      <c r="AG58" s="172"/>
      <c r="AH58" s="172"/>
      <c r="AI58" s="172"/>
      <c r="AJ58" s="172"/>
      <c r="AK58" s="172"/>
      <c r="AL58" s="172"/>
      <c r="AM58" s="172"/>
      <c r="AN58" s="172"/>
      <c r="AO58" s="172"/>
      <c r="AP58" s="172"/>
      <c r="AQ58" s="172"/>
      <c r="AR58" s="172"/>
      <c r="AS58" s="172"/>
    </row>
    <row r="59" spans="1:45">
      <c r="A59" s="195" t="s">
        <v>247</v>
      </c>
      <c r="B59" s="41">
        <f t="shared" ca="1" si="3"/>
        <v>0.78883636474287189</v>
      </c>
      <c r="C59" s="41">
        <f ca="1">SUMIF(OFFSET(CalibData!$M$3,1,0,$Q$2),ROW()+COLUMN()/100,OFFSET(CalibData!$O$3,1,0,$Q$2))</f>
        <v>0.21116363525712814</v>
      </c>
      <c r="D59" s="41">
        <f ca="1">SUMIF(OFFSET(CalibData!$M$3,1,0,$Q$2),ROW()+COLUMN()/100,OFFSET(CalibData!$O$3,1,0,$Q$2))</f>
        <v>0</v>
      </c>
      <c r="E59" s="41">
        <f ca="1">SUMIF(OFFSET(CalibData!$M$3,1,0,$Q$2),ROW()+COLUMN()/100,OFFSET(CalibData!$O$3,1,0,$Q$2))</f>
        <v>0</v>
      </c>
      <c r="F59" s="228">
        <f t="shared" ca="1" si="4"/>
        <v>1</v>
      </c>
      <c r="G59" s="195" t="s">
        <v>247</v>
      </c>
      <c r="H59" s="41">
        <f t="shared" ca="1" si="5"/>
        <v>1</v>
      </c>
      <c r="I59" s="41">
        <f ca="1">SUMIF(OFFSET(CalibData!$M$3,1,0,$Q$2),ROW()+COLUMN()/100,OFFSET(CalibData!$O$3,1,0,$Q$2))</f>
        <v>0</v>
      </c>
      <c r="J59" s="40">
        <f t="shared" ca="1" si="6"/>
        <v>0.82600964684906564</v>
      </c>
      <c r="K59" s="40">
        <f t="shared" ca="1" si="7"/>
        <v>0.17399035315093436</v>
      </c>
      <c r="L59" s="228">
        <f t="shared" ca="1" si="8"/>
        <v>1</v>
      </c>
      <c r="M59" s="216"/>
      <c r="N59" s="216"/>
      <c r="O59" s="216"/>
      <c r="P59" s="216"/>
      <c r="V59" s="171"/>
      <c r="W59" s="172"/>
      <c r="X59" s="172"/>
      <c r="Y59" s="172"/>
      <c r="Z59" s="172"/>
      <c r="AA59" s="172"/>
      <c r="AB59" s="172"/>
      <c r="AC59" s="172"/>
      <c r="AD59" s="172"/>
      <c r="AE59" s="172"/>
      <c r="AF59" s="172"/>
      <c r="AG59" s="172"/>
      <c r="AH59" s="172"/>
      <c r="AI59" s="172"/>
      <c r="AJ59" s="172"/>
      <c r="AK59" s="172"/>
      <c r="AL59" s="172"/>
      <c r="AM59" s="172"/>
      <c r="AN59" s="172"/>
      <c r="AO59" s="172"/>
      <c r="AP59" s="172"/>
      <c r="AQ59" s="172"/>
      <c r="AR59" s="172"/>
      <c r="AS59" s="172"/>
    </row>
    <row r="60" spans="1:45">
      <c r="A60" s="195" t="s">
        <v>646</v>
      </c>
      <c r="B60" s="41">
        <f t="shared" ca="1" si="3"/>
        <v>0.14478564417524153</v>
      </c>
      <c r="C60" s="41">
        <f ca="1">SUMIF(OFFSET(CalibData!$M$3,1,0,$Q$2),ROW()+COLUMN()/100,OFFSET(CalibData!$O$3,1,0,$Q$2))</f>
        <v>0.85521435582475847</v>
      </c>
      <c r="D60" s="41">
        <f ca="1">SUMIF(OFFSET(CalibData!$M$3,1,0,$Q$2),ROW()+COLUMN()/100,OFFSET(CalibData!$O$3,1,0,$Q$2))</f>
        <v>0</v>
      </c>
      <c r="E60" s="41">
        <f ca="1">SUMIF(OFFSET(CalibData!$M$3,1,0,$Q$2),ROW()+COLUMN()/100,OFFSET(CalibData!$O$3,1,0,$Q$2))</f>
        <v>0</v>
      </c>
      <c r="F60" s="228">
        <f t="shared" ca="1" si="4"/>
        <v>1</v>
      </c>
      <c r="G60" s="195" t="s">
        <v>646</v>
      </c>
      <c r="H60" s="41">
        <f t="shared" ca="1" si="5"/>
        <v>1</v>
      </c>
      <c r="I60" s="41">
        <f ca="1">SUMIF(OFFSET(CalibData!$M$3,1,0,$Q$2),ROW()+COLUMN()/100,OFFSET(CalibData!$O$3,1,0,$Q$2))</f>
        <v>0</v>
      </c>
      <c r="J60" s="40">
        <f t="shared" ca="1" si="6"/>
        <v>0.13222145663498597</v>
      </c>
      <c r="K60" s="40">
        <f ca="1">IF(B60,1-1/(1+C60/(B60*$J$49)),1)</f>
        <v>0.86777854336501403</v>
      </c>
      <c r="L60" s="228">
        <f t="shared" ca="1" si="8"/>
        <v>1</v>
      </c>
      <c r="M60" s="216"/>
      <c r="N60" s="216"/>
      <c r="O60" s="216"/>
      <c r="P60" s="216"/>
      <c r="V60" s="171"/>
      <c r="W60" s="172"/>
      <c r="X60" s="172"/>
      <c r="Y60" s="172"/>
      <c r="Z60" s="172"/>
      <c r="AA60" s="172"/>
      <c r="AB60" s="172"/>
      <c r="AC60" s="172"/>
      <c r="AD60" s="172"/>
      <c r="AE60" s="172"/>
      <c r="AF60" s="172"/>
      <c r="AG60" s="172"/>
      <c r="AH60" s="172"/>
      <c r="AI60" s="172"/>
      <c r="AJ60" s="172"/>
      <c r="AK60" s="172"/>
      <c r="AL60" s="172"/>
      <c r="AM60" s="172"/>
      <c r="AN60" s="172"/>
      <c r="AO60" s="172"/>
      <c r="AP60" s="172"/>
      <c r="AQ60" s="172"/>
      <c r="AR60" s="172"/>
      <c r="AS60" s="172"/>
    </row>
    <row r="61" spans="1:45">
      <c r="A61" s="195" t="s">
        <v>245</v>
      </c>
      <c r="B61" s="41">
        <f t="shared" ca="1" si="3"/>
        <v>1</v>
      </c>
      <c r="C61" s="41">
        <f ca="1">SUMIF(OFFSET(CalibData!$M$3,1,0,$Q$2),ROW()+COLUMN()/100,OFFSET(CalibData!$O$3,1,0,$Q$2))</f>
        <v>0</v>
      </c>
      <c r="D61" s="41">
        <f ca="1">SUMIF(OFFSET(CalibData!$M$3,1,0,$Q$2),ROW()+COLUMN()/100,OFFSET(CalibData!$O$3,1,0,$Q$2))</f>
        <v>0</v>
      </c>
      <c r="E61" s="41">
        <f ca="1">SUMIF(OFFSET(CalibData!$M$3,1,0,$Q$2),ROW()+COLUMN()/100,OFFSET(CalibData!$O$3,1,0,$Q$2))</f>
        <v>0</v>
      </c>
      <c r="F61" s="228">
        <f t="shared" ca="1" si="4"/>
        <v>1</v>
      </c>
      <c r="G61" s="195" t="s">
        <v>245</v>
      </c>
      <c r="H61" s="41">
        <f t="shared" ca="1" si="5"/>
        <v>1</v>
      </c>
      <c r="I61" s="41">
        <f ca="1">SUMIF(OFFSET(CalibData!$M$3,1,0,$Q$2),ROW()+COLUMN()/100,OFFSET(CalibData!$O$3,1,0,$Q$2))</f>
        <v>0</v>
      </c>
      <c r="J61" s="40">
        <f t="shared" ca="1" si="6"/>
        <v>1</v>
      </c>
      <c r="K61" s="40">
        <f ca="1">MIN(D45,IF(C$60,K$60*D$44/(C$60*B$44),0.25)*C61*B45)/IF(D45,D45,1)</f>
        <v>0</v>
      </c>
      <c r="L61" s="228">
        <f t="shared" ca="1" si="8"/>
        <v>1</v>
      </c>
      <c r="M61" s="195"/>
      <c r="N61" s="195"/>
      <c r="O61" s="195"/>
      <c r="P61" s="195"/>
      <c r="V61" s="171"/>
      <c r="W61" s="172"/>
      <c r="X61" s="172"/>
      <c r="Y61" s="172"/>
      <c r="Z61" s="172"/>
      <c r="AA61" s="172"/>
      <c r="AB61" s="172"/>
      <c r="AC61" s="172"/>
      <c r="AD61" s="172"/>
      <c r="AE61" s="172"/>
      <c r="AF61" s="172"/>
      <c r="AG61" s="172"/>
      <c r="AH61" s="172"/>
      <c r="AI61" s="172"/>
      <c r="AJ61" s="172"/>
      <c r="AK61" s="172"/>
      <c r="AL61" s="172"/>
      <c r="AM61" s="172"/>
      <c r="AN61" s="172"/>
      <c r="AO61" s="172"/>
      <c r="AP61" s="172"/>
      <c r="AQ61" s="172"/>
      <c r="AR61" s="172"/>
      <c r="AS61" s="172"/>
    </row>
    <row r="62" spans="1:45">
      <c r="A62" s="195" t="s">
        <v>246</v>
      </c>
      <c r="B62" s="41">
        <f t="shared" ca="1" si="3"/>
        <v>1</v>
      </c>
      <c r="C62" s="41">
        <f ca="1">SUMIF(OFFSET(CalibData!$M$3,1,0,$Q$2),ROW()+COLUMN()/100,OFFSET(CalibData!$O$3,1,0,$Q$2))</f>
        <v>0</v>
      </c>
      <c r="D62" s="41">
        <f ca="1">SUMIF(OFFSET(CalibData!$M$3,1,0,$Q$2),ROW()+COLUMN()/100,OFFSET(CalibData!$O$3,1,0,$Q$2))</f>
        <v>0</v>
      </c>
      <c r="E62" s="41">
        <f ca="1">SUMIF(OFFSET(CalibData!$M$3,1,0,$Q$2),ROW()+COLUMN()/100,OFFSET(CalibData!$O$3,1,0,$Q$2))</f>
        <v>0</v>
      </c>
      <c r="F62" s="228">
        <f t="shared" ca="1" si="4"/>
        <v>1</v>
      </c>
      <c r="G62" s="195" t="s">
        <v>246</v>
      </c>
      <c r="H62" s="41">
        <f t="shared" ca="1" si="5"/>
        <v>1</v>
      </c>
      <c r="I62" s="41">
        <f ca="1">SUMIF(OFFSET(CalibData!$M$3,1,0,$Q$2),ROW()+COLUMN()/100,OFFSET(CalibData!$O$3,1,0,$Q$2))</f>
        <v>0</v>
      </c>
      <c r="J62" s="40">
        <f t="shared" ca="1" si="6"/>
        <v>1</v>
      </c>
      <c r="K62" s="40">
        <f ca="1">MIN(D46,IF(C$60,K$60*D$44/(C$60*B$44),0.25)*C62*B46)/IF(D46,D46,1)</f>
        <v>0</v>
      </c>
      <c r="L62" s="228">
        <f t="shared" ca="1" si="8"/>
        <v>1</v>
      </c>
      <c r="M62" s="195"/>
      <c r="N62" s="195"/>
      <c r="O62" s="195"/>
      <c r="P62" s="195"/>
      <c r="V62" s="171"/>
      <c r="W62" s="172"/>
      <c r="X62" s="172"/>
      <c r="Y62" s="172"/>
      <c r="Z62" s="172"/>
      <c r="AA62" s="172"/>
      <c r="AB62" s="172"/>
      <c r="AC62" s="172"/>
      <c r="AD62" s="172"/>
      <c r="AE62" s="172"/>
      <c r="AF62" s="172"/>
      <c r="AG62" s="172"/>
      <c r="AH62" s="172"/>
      <c r="AI62" s="172"/>
      <c r="AJ62" s="172"/>
      <c r="AK62" s="172"/>
      <c r="AL62" s="172"/>
      <c r="AM62" s="172"/>
      <c r="AN62" s="172"/>
      <c r="AO62" s="172"/>
      <c r="AP62" s="172"/>
      <c r="AQ62" s="172"/>
      <c r="AR62" s="172"/>
      <c r="AS62" s="172"/>
    </row>
    <row r="63" spans="1:45">
      <c r="A63" s="195"/>
      <c r="B63" s="195"/>
      <c r="C63" s="195"/>
      <c r="D63" s="195"/>
      <c r="E63" s="195"/>
      <c r="F63" s="205"/>
      <c r="G63" s="195"/>
      <c r="H63" s="195"/>
      <c r="I63" s="195"/>
      <c r="J63" s="195"/>
      <c r="K63" s="195"/>
      <c r="L63" s="195"/>
      <c r="M63" s="195"/>
      <c r="N63" s="195"/>
      <c r="O63" s="195"/>
      <c r="P63" s="195"/>
      <c r="V63" s="171"/>
      <c r="W63" s="172"/>
      <c r="X63" s="172"/>
      <c r="Y63" s="172"/>
      <c r="Z63" s="172"/>
      <c r="AA63" s="172"/>
      <c r="AB63" s="172"/>
      <c r="AC63" s="172"/>
      <c r="AD63" s="172"/>
      <c r="AE63" s="172"/>
      <c r="AF63" s="172"/>
      <c r="AG63" s="172"/>
      <c r="AH63" s="172"/>
      <c r="AI63" s="172"/>
      <c r="AJ63" s="172"/>
      <c r="AK63" s="172"/>
      <c r="AL63" s="172"/>
      <c r="AM63" s="172"/>
      <c r="AN63" s="172"/>
      <c r="AO63" s="172"/>
      <c r="AP63" s="172"/>
      <c r="AQ63" s="172"/>
      <c r="AR63" s="172"/>
      <c r="AS63" s="172"/>
    </row>
    <row r="64" spans="1:45">
      <c r="A64" s="198" t="s">
        <v>283</v>
      </c>
      <c r="B64" s="195"/>
      <c r="C64" s="195"/>
      <c r="D64" s="195"/>
      <c r="E64" s="195"/>
      <c r="F64" s="205"/>
      <c r="G64" s="198" t="s">
        <v>11</v>
      </c>
      <c r="H64" s="195"/>
      <c r="I64" s="195"/>
      <c r="J64" s="195"/>
      <c r="K64" s="195"/>
      <c r="L64" s="195"/>
      <c r="M64" s="195"/>
      <c r="N64" s="195"/>
      <c r="O64" s="195"/>
      <c r="P64" s="195"/>
      <c r="V64" s="171"/>
      <c r="W64" s="172"/>
      <c r="X64" s="172"/>
      <c r="Y64" s="172"/>
      <c r="Z64" s="172"/>
      <c r="AA64" s="172"/>
      <c r="AB64" s="172"/>
      <c r="AC64" s="172"/>
      <c r="AD64" s="172"/>
      <c r="AE64" s="172"/>
      <c r="AF64" s="172"/>
      <c r="AG64" s="172"/>
      <c r="AH64" s="172"/>
      <c r="AI64" s="172"/>
      <c r="AJ64" s="172"/>
      <c r="AK64" s="172"/>
      <c r="AL64" s="172"/>
      <c r="AM64" s="172"/>
      <c r="AN64" s="172"/>
      <c r="AO64" s="172"/>
      <c r="AP64" s="172"/>
      <c r="AQ64" s="172"/>
      <c r="AR64" s="172"/>
      <c r="AS64" s="172"/>
    </row>
    <row r="65" spans="1:45">
      <c r="A65" s="198"/>
      <c r="B65" s="198" t="str">
        <f>B$49</f>
        <v>Region1</v>
      </c>
      <c r="C65" s="198" t="str">
        <f>C$49</f>
        <v>Region2</v>
      </c>
      <c r="D65" s="198" t="str">
        <f>D$49</f>
        <v>Region3</v>
      </c>
      <c r="E65" s="198" t="str">
        <f>E$49</f>
        <v>Region4</v>
      </c>
      <c r="F65" s="205" t="s">
        <v>248</v>
      </c>
      <c r="G65" s="198"/>
      <c r="H65" s="198" t="str">
        <f>B49</f>
        <v>Region1</v>
      </c>
      <c r="I65" s="198" t="str">
        <f>C49</f>
        <v>Region2</v>
      </c>
      <c r="J65" s="198"/>
      <c r="K65" s="198"/>
      <c r="L65" s="195" t="s">
        <v>248</v>
      </c>
      <c r="M65" s="195"/>
      <c r="N65" s="195"/>
      <c r="O65" s="195"/>
      <c r="P65" s="195"/>
      <c r="V65" s="171"/>
      <c r="W65" s="172"/>
      <c r="X65" s="172"/>
      <c r="Y65" s="172"/>
      <c r="Z65" s="172"/>
      <c r="AA65" s="172"/>
      <c r="AB65" s="172"/>
      <c r="AC65" s="172"/>
      <c r="AD65" s="172"/>
      <c r="AE65" s="172"/>
      <c r="AF65" s="172"/>
      <c r="AG65" s="172"/>
      <c r="AH65" s="172"/>
      <c r="AI65" s="172"/>
      <c r="AJ65" s="172"/>
      <c r="AK65" s="172"/>
      <c r="AL65" s="172"/>
      <c r="AM65" s="172"/>
      <c r="AN65" s="172"/>
      <c r="AO65" s="172"/>
      <c r="AP65" s="172"/>
      <c r="AQ65" s="172"/>
      <c r="AR65" s="172"/>
      <c r="AS65" s="172"/>
    </row>
    <row r="66" spans="1:45">
      <c r="A66" s="195" t="s">
        <v>244</v>
      </c>
      <c r="B66" s="41">
        <f t="shared" ref="B66:B76" ca="1" si="9">MAX(0,1-SUM(C66:E66))</f>
        <v>1</v>
      </c>
      <c r="C66" s="41">
        <f ca="1">SUMIF(OFFSET(CalibData!$M$3,1,0,$Q$2),ROW()+COLUMN()/100,OFFSET(CalibData!$O$3,1,0,$Q$2))</f>
        <v>0</v>
      </c>
      <c r="D66" s="41">
        <f ca="1">SUMIF(OFFSET(CalibData!$M$3,1,0,$Q$2),ROW()+COLUMN()/100,OFFSET(CalibData!$O$3,1,0,$Q$2))</f>
        <v>0</v>
      </c>
      <c r="E66" s="41">
        <f ca="1">SUMIF(OFFSET(CalibData!$M$3,1,0,$Q$2),ROW()+COLUMN()/100,OFFSET(CalibData!$O$3,1,0,$Q$2))</f>
        <v>0</v>
      </c>
      <c r="F66" s="228">
        <f t="shared" ref="F66:F76" ca="1" si="10">SUM(B66:E66)</f>
        <v>1</v>
      </c>
      <c r="G66" s="195" t="s">
        <v>244</v>
      </c>
      <c r="H66" s="41">
        <f t="shared" ref="H66:H76" ca="1" si="11">MAX(0,1-I66)</f>
        <v>1</v>
      </c>
      <c r="I66" s="41">
        <f ca="1">SUMIF(OFFSET(CalibData!$M$3,1,0,$Q$2),ROW()+COLUMN()/100,OFFSET(CalibData!$O$3,1,0,$Q$2))</f>
        <v>0</v>
      </c>
      <c r="J66" s="40">
        <v>0</v>
      </c>
      <c r="K66" s="40">
        <v>0</v>
      </c>
      <c r="L66" s="228">
        <f t="shared" ref="L66:L76" ca="1" si="12">SUM(H66:K66)</f>
        <v>1</v>
      </c>
      <c r="M66" s="195"/>
      <c r="N66" s="195"/>
      <c r="O66" s="195"/>
      <c r="P66" s="195"/>
      <c r="V66" s="171"/>
      <c r="W66" s="172"/>
      <c r="X66" s="172"/>
      <c r="Y66" s="172"/>
      <c r="Z66" s="172"/>
      <c r="AA66" s="172"/>
      <c r="AB66" s="172"/>
      <c r="AC66" s="172"/>
      <c r="AD66" s="172"/>
      <c r="AE66" s="172"/>
      <c r="AF66" s="172"/>
      <c r="AG66" s="172"/>
      <c r="AH66" s="172"/>
      <c r="AI66" s="172"/>
      <c r="AJ66" s="172"/>
      <c r="AK66" s="172"/>
      <c r="AL66" s="172"/>
      <c r="AM66" s="172"/>
      <c r="AN66" s="172"/>
      <c r="AO66" s="172"/>
      <c r="AP66" s="172"/>
      <c r="AQ66" s="172"/>
      <c r="AR66" s="172"/>
      <c r="AS66" s="172"/>
    </row>
    <row r="67" spans="1:45">
      <c r="A67" s="195" t="s">
        <v>663</v>
      </c>
      <c r="B67" s="41">
        <f t="shared" ca="1" si="9"/>
        <v>1</v>
      </c>
      <c r="C67" s="41">
        <f ca="1">SUMIF(OFFSET(CalibData!$M$3,1,0,$Q$2),ROW()+COLUMN()/100,OFFSET(CalibData!$O$3,1,0,$Q$2))</f>
        <v>0</v>
      </c>
      <c r="D67" s="41">
        <f ca="1">SUMIF(OFFSET(CalibData!$M$3,1,0,$Q$2),ROW()+COLUMN()/100,OFFSET(CalibData!$O$3,1,0,$Q$2))</f>
        <v>0</v>
      </c>
      <c r="E67" s="41">
        <f ca="1">SUMIF(OFFSET(CalibData!$M$3,1,0,$Q$2),ROW()+COLUMN()/100,OFFSET(CalibData!$O$3,1,0,$Q$2))</f>
        <v>0</v>
      </c>
      <c r="F67" s="228">
        <f t="shared" ca="1" si="10"/>
        <v>1</v>
      </c>
      <c r="G67" s="195" t="s">
        <v>663</v>
      </c>
      <c r="H67" s="41">
        <f t="shared" ca="1" si="11"/>
        <v>1</v>
      </c>
      <c r="I67" s="41">
        <f ca="1">SUMIF(OFFSET(CalibData!$M$3,1,0,$Q$2),ROW()+COLUMN()/100,OFFSET(CalibData!$O$3,1,0,$Q$2))</f>
        <v>0</v>
      </c>
      <c r="J67" s="40">
        <v>0</v>
      </c>
      <c r="K67" s="40">
        <v>0</v>
      </c>
      <c r="L67" s="228">
        <f t="shared" ca="1" si="12"/>
        <v>1</v>
      </c>
      <c r="M67" s="195"/>
      <c r="N67" s="195"/>
      <c r="O67" s="195"/>
      <c r="P67" s="195"/>
      <c r="V67" s="171"/>
      <c r="W67" s="172"/>
      <c r="X67" s="172"/>
      <c r="Y67" s="172"/>
      <c r="Z67" s="172"/>
      <c r="AA67" s="172"/>
      <c r="AB67" s="172"/>
      <c r="AC67" s="172"/>
      <c r="AD67" s="172"/>
      <c r="AE67" s="172"/>
      <c r="AF67" s="172"/>
      <c r="AG67" s="172"/>
      <c r="AH67" s="172"/>
      <c r="AI67" s="172"/>
      <c r="AJ67" s="172"/>
      <c r="AK67" s="172"/>
      <c r="AL67" s="172"/>
      <c r="AM67" s="172"/>
      <c r="AN67" s="172"/>
      <c r="AO67" s="172"/>
      <c r="AP67" s="172"/>
      <c r="AQ67" s="172"/>
      <c r="AR67" s="172"/>
      <c r="AS67" s="172"/>
    </row>
    <row r="68" spans="1:45">
      <c r="A68" s="195" t="s">
        <v>574</v>
      </c>
      <c r="B68" s="41">
        <f t="shared" ca="1" si="9"/>
        <v>1</v>
      </c>
      <c r="C68" s="41">
        <f ca="1">SUMIF(OFFSET(CalibData!$M$3,1,0,$Q$2),ROW()+COLUMN()/100,OFFSET(CalibData!$O$3,1,0,$Q$2))</f>
        <v>0</v>
      </c>
      <c r="D68" s="41">
        <f ca="1">SUMIF(OFFSET(CalibData!$M$3,1,0,$Q$2),ROW()+COLUMN()/100,OFFSET(CalibData!$O$3,1,0,$Q$2))</f>
        <v>0</v>
      </c>
      <c r="E68" s="41">
        <f ca="1">SUMIF(OFFSET(CalibData!$M$3,1,0,$Q$2),ROW()+COLUMN()/100,OFFSET(CalibData!$O$3,1,0,$Q$2))</f>
        <v>0</v>
      </c>
      <c r="F68" s="228">
        <f t="shared" ca="1" si="10"/>
        <v>1</v>
      </c>
      <c r="G68" s="195" t="s">
        <v>574</v>
      </c>
      <c r="H68" s="41">
        <f t="shared" ca="1" si="11"/>
        <v>1</v>
      </c>
      <c r="I68" s="41">
        <f ca="1">SUMIF(OFFSET(CalibData!$M$3,1,0,$Q$2),ROW()+COLUMN()/100,OFFSET(CalibData!$O$3,1,0,$Q$2))</f>
        <v>0</v>
      </c>
      <c r="J68" s="40">
        <v>0</v>
      </c>
      <c r="K68" s="40">
        <v>0</v>
      </c>
      <c r="L68" s="228">
        <f t="shared" ca="1" si="12"/>
        <v>1</v>
      </c>
      <c r="M68" s="195"/>
      <c r="N68" s="195"/>
      <c r="O68" s="195"/>
      <c r="P68" s="195"/>
      <c r="V68" s="171"/>
      <c r="W68" s="172"/>
      <c r="X68" s="172"/>
      <c r="Y68" s="172"/>
      <c r="Z68" s="172"/>
      <c r="AA68" s="172"/>
      <c r="AB68" s="172"/>
      <c r="AC68" s="172"/>
      <c r="AD68" s="172"/>
      <c r="AE68" s="172"/>
      <c r="AF68" s="172"/>
      <c r="AG68" s="172"/>
      <c r="AH68" s="172"/>
      <c r="AI68" s="172"/>
      <c r="AJ68" s="172"/>
      <c r="AK68" s="172"/>
      <c r="AL68" s="172"/>
      <c r="AM68" s="172"/>
      <c r="AN68" s="172"/>
      <c r="AO68" s="172"/>
      <c r="AP68" s="172"/>
      <c r="AQ68" s="172"/>
      <c r="AR68" s="172"/>
      <c r="AS68" s="172"/>
    </row>
    <row r="69" spans="1:45">
      <c r="A69" s="195" t="s">
        <v>576</v>
      </c>
      <c r="B69" s="41">
        <f t="shared" ca="1" si="9"/>
        <v>1</v>
      </c>
      <c r="C69" s="41">
        <f ca="1">SUMIF(OFFSET(CalibData!$M$3,1,0,$Q$2),ROW()+COLUMN()/100,OFFSET(CalibData!$O$3,1,0,$Q$2))</f>
        <v>0</v>
      </c>
      <c r="D69" s="41">
        <f ca="1">SUMIF(OFFSET(CalibData!$M$3,1,0,$Q$2),ROW()+COLUMN()/100,OFFSET(CalibData!$O$3,1,0,$Q$2))</f>
        <v>0</v>
      </c>
      <c r="E69" s="41">
        <f ca="1">SUMIF(OFFSET(CalibData!$M$3,1,0,$Q$2),ROW()+COLUMN()/100,OFFSET(CalibData!$O$3,1,0,$Q$2))</f>
        <v>0</v>
      </c>
      <c r="F69" s="228">
        <f t="shared" ca="1" si="10"/>
        <v>1</v>
      </c>
      <c r="G69" s="195" t="s">
        <v>576</v>
      </c>
      <c r="H69" s="41">
        <f t="shared" ca="1" si="11"/>
        <v>1</v>
      </c>
      <c r="I69" s="41">
        <f ca="1">SUMIF(OFFSET(CalibData!$M$3,1,0,$Q$2),ROW()+COLUMN()/100,OFFSET(CalibData!$O$3,1,0,$Q$2))</f>
        <v>0</v>
      </c>
      <c r="J69" s="40">
        <v>0</v>
      </c>
      <c r="K69" s="40">
        <v>0</v>
      </c>
      <c r="L69" s="228">
        <f t="shared" ca="1" si="12"/>
        <v>1</v>
      </c>
      <c r="M69" s="195"/>
      <c r="N69" s="195"/>
      <c r="O69" s="195"/>
      <c r="P69" s="195"/>
      <c r="V69" s="171"/>
      <c r="W69" s="172"/>
      <c r="X69" s="172"/>
      <c r="Y69" s="172"/>
      <c r="Z69" s="172"/>
      <c r="AA69" s="172"/>
      <c r="AB69" s="172"/>
      <c r="AC69" s="172"/>
      <c r="AD69" s="172"/>
      <c r="AE69" s="172"/>
      <c r="AF69" s="172"/>
      <c r="AG69" s="172"/>
      <c r="AH69" s="172"/>
      <c r="AI69" s="172"/>
      <c r="AJ69" s="172"/>
      <c r="AK69" s="172"/>
      <c r="AL69" s="172"/>
      <c r="AM69" s="172"/>
      <c r="AN69" s="172"/>
      <c r="AO69" s="172"/>
      <c r="AP69" s="172"/>
      <c r="AQ69" s="172"/>
      <c r="AR69" s="172"/>
      <c r="AS69" s="172"/>
    </row>
    <row r="70" spans="1:45">
      <c r="A70" s="195" t="s">
        <v>664</v>
      </c>
      <c r="B70" s="41">
        <f t="shared" ca="1" si="9"/>
        <v>1</v>
      </c>
      <c r="C70" s="41">
        <f ca="1">SUMIF(OFFSET(CalibData!$M$3,1,0,$Q$2),ROW()+COLUMN()/100,OFFSET(CalibData!$O$3,1,0,$Q$2))</f>
        <v>0</v>
      </c>
      <c r="D70" s="41">
        <f ca="1">SUMIF(OFFSET(CalibData!$M$3,1,0,$Q$2),ROW()+COLUMN()/100,OFFSET(CalibData!$O$3,1,0,$Q$2))</f>
        <v>0</v>
      </c>
      <c r="E70" s="41">
        <f ca="1">SUMIF(OFFSET(CalibData!$M$3,1,0,$Q$2),ROW()+COLUMN()/100,OFFSET(CalibData!$O$3,1,0,$Q$2))</f>
        <v>0</v>
      </c>
      <c r="F70" s="228">
        <f t="shared" ca="1" si="10"/>
        <v>1</v>
      </c>
      <c r="G70" s="195" t="s">
        <v>664</v>
      </c>
      <c r="H70" s="41">
        <f t="shared" ca="1" si="11"/>
        <v>1</v>
      </c>
      <c r="I70" s="41">
        <f ca="1">SUMIF(OFFSET(CalibData!$M$3,1,0,$Q$2),ROW()+COLUMN()/100,OFFSET(CalibData!$O$3,1,0,$Q$2))</f>
        <v>0</v>
      </c>
      <c r="J70" s="40">
        <v>0</v>
      </c>
      <c r="K70" s="40">
        <v>0</v>
      </c>
      <c r="L70" s="228">
        <f t="shared" ca="1" si="12"/>
        <v>1</v>
      </c>
      <c r="M70" s="195"/>
      <c r="N70" s="195"/>
      <c r="O70" s="195"/>
      <c r="P70" s="195"/>
      <c r="V70" s="171"/>
      <c r="W70" s="172"/>
      <c r="X70" s="172"/>
      <c r="Y70" s="172"/>
      <c r="Z70" s="172"/>
      <c r="AA70" s="172"/>
      <c r="AB70" s="172"/>
      <c r="AC70" s="172"/>
      <c r="AD70" s="172"/>
      <c r="AE70" s="172"/>
      <c r="AF70" s="172"/>
      <c r="AG70" s="172"/>
      <c r="AH70" s="172"/>
      <c r="AI70" s="172"/>
      <c r="AJ70" s="172"/>
      <c r="AK70" s="172"/>
      <c r="AL70" s="172"/>
      <c r="AM70" s="172"/>
      <c r="AN70" s="172"/>
      <c r="AO70" s="172"/>
      <c r="AP70" s="172"/>
      <c r="AQ70" s="172"/>
      <c r="AR70" s="172"/>
      <c r="AS70" s="172"/>
    </row>
    <row r="71" spans="1:45">
      <c r="A71" s="195" t="s">
        <v>665</v>
      </c>
      <c r="B71" s="41">
        <f t="shared" ca="1" si="9"/>
        <v>1</v>
      </c>
      <c r="C71" s="41">
        <f ca="1">SUMIF(OFFSET(CalibData!$M$3,1,0,$Q$2),ROW()+COLUMN()/100,OFFSET(CalibData!$O$3,1,0,$Q$2))</f>
        <v>0</v>
      </c>
      <c r="D71" s="41">
        <f ca="1">SUMIF(OFFSET(CalibData!$M$3,1,0,$Q$2),ROW()+COLUMN()/100,OFFSET(CalibData!$O$3,1,0,$Q$2))</f>
        <v>0</v>
      </c>
      <c r="E71" s="41">
        <f ca="1">SUMIF(OFFSET(CalibData!$M$3,1,0,$Q$2),ROW()+COLUMN()/100,OFFSET(CalibData!$O$3,1,0,$Q$2))</f>
        <v>0</v>
      </c>
      <c r="F71" s="228">
        <f t="shared" ca="1" si="10"/>
        <v>1</v>
      </c>
      <c r="G71" s="195" t="s">
        <v>665</v>
      </c>
      <c r="H71" s="41">
        <f t="shared" ca="1" si="11"/>
        <v>1</v>
      </c>
      <c r="I71" s="41">
        <f ca="1">SUMIF(OFFSET(CalibData!$M$3,1,0,$Q$2),ROW()+COLUMN()/100,OFFSET(CalibData!$O$3,1,0,$Q$2))</f>
        <v>0</v>
      </c>
      <c r="J71" s="40">
        <v>0</v>
      </c>
      <c r="K71" s="40">
        <v>0</v>
      </c>
      <c r="L71" s="228">
        <f t="shared" ca="1" si="12"/>
        <v>1</v>
      </c>
      <c r="M71" s="195"/>
      <c r="N71" s="195"/>
      <c r="O71" s="195"/>
      <c r="P71" s="195"/>
    </row>
    <row r="72" spans="1:45">
      <c r="A72" s="196" t="s">
        <v>588</v>
      </c>
      <c r="B72" s="41">
        <f t="shared" ca="1" si="9"/>
        <v>1</v>
      </c>
      <c r="C72" s="41">
        <f ca="1">SUMIF(OFFSET(CalibData!$M$3,1,0,$Q$2),ROW()+COLUMN()/100,OFFSET(CalibData!$O$3,1,0,$Q$2))</f>
        <v>0</v>
      </c>
      <c r="D72" s="41">
        <f ca="1">SUMIF(OFFSET(CalibData!$M$3,1,0,$Q$2),ROW()+COLUMN()/100,OFFSET(CalibData!$O$3,1,0,$Q$2))</f>
        <v>0</v>
      </c>
      <c r="E72" s="41">
        <f ca="1">SUMIF(OFFSET(CalibData!$M$3,1,0,$Q$2),ROW()+COLUMN()/100,OFFSET(CalibData!$O$3,1,0,$Q$2))</f>
        <v>0</v>
      </c>
      <c r="F72" s="228">
        <f t="shared" ca="1" si="10"/>
        <v>1</v>
      </c>
      <c r="G72" s="196" t="s">
        <v>588</v>
      </c>
      <c r="H72" s="41">
        <f t="shared" ca="1" si="11"/>
        <v>1</v>
      </c>
      <c r="I72" s="41">
        <f ca="1">SUMIF(OFFSET(CalibData!$M$3,1,0,$Q$2),ROW()+COLUMN()/100,OFFSET(CalibData!$O$3,1,0,$Q$2))</f>
        <v>0</v>
      </c>
      <c r="J72" s="40">
        <v>0</v>
      </c>
      <c r="K72" s="40">
        <v>0</v>
      </c>
      <c r="L72" s="228">
        <f t="shared" ca="1" si="12"/>
        <v>1</v>
      </c>
      <c r="M72" s="195"/>
      <c r="N72" s="195"/>
      <c r="O72" s="195"/>
      <c r="P72" s="195"/>
      <c r="V72" s="171"/>
    </row>
    <row r="73" spans="1:45">
      <c r="A73" s="195" t="s">
        <v>247</v>
      </c>
      <c r="B73" s="41">
        <f t="shared" ca="1" si="9"/>
        <v>1</v>
      </c>
      <c r="C73" s="41">
        <f ca="1">SUMIF(OFFSET(CalibData!$M$3,1,0,$Q$2),ROW()+COLUMN()/100,OFFSET(CalibData!$O$3,1,0,$Q$2))</f>
        <v>0</v>
      </c>
      <c r="D73" s="41">
        <f ca="1">SUMIF(OFFSET(CalibData!$M$3,1,0,$Q$2),ROW()+COLUMN()/100,OFFSET(CalibData!$O$3,1,0,$Q$2))</f>
        <v>0</v>
      </c>
      <c r="E73" s="41">
        <f ca="1">SUMIF(OFFSET(CalibData!$M$3,1,0,$Q$2),ROW()+COLUMN()/100,OFFSET(CalibData!$O$3,1,0,$Q$2))</f>
        <v>0</v>
      </c>
      <c r="F73" s="228">
        <f t="shared" ca="1" si="10"/>
        <v>1</v>
      </c>
      <c r="G73" s="195" t="s">
        <v>247</v>
      </c>
      <c r="H73" s="41">
        <f t="shared" ca="1" si="11"/>
        <v>1</v>
      </c>
      <c r="I73" s="41">
        <f ca="1">SUMIF(OFFSET(CalibData!$M$3,1,0,$Q$2),ROW()+COLUMN()/100,OFFSET(CalibData!$O$3,1,0,$Q$2))</f>
        <v>0</v>
      </c>
      <c r="J73" s="40">
        <v>0</v>
      </c>
      <c r="K73" s="40">
        <v>0</v>
      </c>
      <c r="L73" s="228">
        <f t="shared" ca="1" si="12"/>
        <v>1</v>
      </c>
      <c r="M73" s="195"/>
      <c r="N73" s="195"/>
      <c r="O73" s="195"/>
      <c r="P73" s="195"/>
      <c r="V73" s="171"/>
      <c r="W73" s="172"/>
      <c r="X73" s="172"/>
      <c r="Y73" s="172"/>
      <c r="Z73" s="172"/>
      <c r="AA73" s="172"/>
      <c r="AB73" s="172"/>
      <c r="AC73" s="172"/>
      <c r="AD73" s="172"/>
      <c r="AE73" s="172"/>
      <c r="AF73" s="172"/>
      <c r="AG73" s="172"/>
      <c r="AH73" s="172"/>
      <c r="AI73" s="172"/>
      <c r="AJ73" s="172"/>
      <c r="AK73" s="172"/>
      <c r="AL73" s="172"/>
      <c r="AM73" s="172"/>
      <c r="AN73" s="172"/>
      <c r="AO73" s="172"/>
      <c r="AP73" s="172"/>
      <c r="AQ73" s="172"/>
      <c r="AR73" s="172"/>
      <c r="AS73" s="172"/>
    </row>
    <row r="74" spans="1:45">
      <c r="A74" s="195" t="s">
        <v>646</v>
      </c>
      <c r="B74" s="41">
        <f t="shared" ca="1" si="9"/>
        <v>1</v>
      </c>
      <c r="C74" s="41">
        <f ca="1">SUMIF(OFFSET(CalibData!$M$3,1,0,$Q$2),ROW()+COLUMN()/100,OFFSET(CalibData!$O$3,1,0,$Q$2))</f>
        <v>0</v>
      </c>
      <c r="D74" s="41">
        <f ca="1">SUMIF(OFFSET(CalibData!$M$3,1,0,$Q$2),ROW()+COLUMN()/100,OFFSET(CalibData!$O$3,1,0,$Q$2))</f>
        <v>0</v>
      </c>
      <c r="E74" s="41">
        <f ca="1">SUMIF(OFFSET(CalibData!$M$3,1,0,$Q$2),ROW()+COLUMN()/100,OFFSET(CalibData!$O$3,1,0,$Q$2))</f>
        <v>0</v>
      </c>
      <c r="F74" s="228">
        <f t="shared" ca="1" si="10"/>
        <v>1</v>
      </c>
      <c r="G74" s="195" t="s">
        <v>646</v>
      </c>
      <c r="H74" s="41">
        <f t="shared" ca="1" si="11"/>
        <v>1</v>
      </c>
      <c r="I74" s="41">
        <f ca="1">SUMIF(OFFSET(CalibData!$M$3,1,0,$Q$2),ROW()+COLUMN()/100,OFFSET(CalibData!$O$3,1,0,$Q$2))</f>
        <v>0</v>
      </c>
      <c r="J74" s="40">
        <v>0</v>
      </c>
      <c r="K74" s="40">
        <v>0</v>
      </c>
      <c r="L74" s="228">
        <f t="shared" ca="1" si="12"/>
        <v>1</v>
      </c>
      <c r="M74" s="195"/>
      <c r="N74" s="195"/>
      <c r="O74" s="195"/>
      <c r="P74" s="195"/>
      <c r="V74" s="171"/>
      <c r="W74" s="172"/>
      <c r="X74" s="172"/>
      <c r="Y74" s="172"/>
      <c r="Z74" s="172"/>
      <c r="AA74" s="172"/>
      <c r="AB74" s="172"/>
      <c r="AC74" s="172"/>
      <c r="AD74" s="172"/>
      <c r="AE74" s="172"/>
      <c r="AF74" s="172"/>
      <c r="AG74" s="172"/>
      <c r="AH74" s="172"/>
      <c r="AI74" s="172"/>
      <c r="AJ74" s="172"/>
      <c r="AK74" s="172"/>
      <c r="AL74" s="172"/>
      <c r="AM74" s="172"/>
      <c r="AN74" s="172"/>
      <c r="AO74" s="172"/>
      <c r="AP74" s="172"/>
      <c r="AQ74" s="172"/>
      <c r="AR74" s="172"/>
      <c r="AS74" s="172"/>
    </row>
    <row r="75" spans="1:45">
      <c r="A75" s="195" t="s">
        <v>245</v>
      </c>
      <c r="B75" s="41">
        <f t="shared" ca="1" si="9"/>
        <v>1</v>
      </c>
      <c r="C75" s="41">
        <f ca="1">SUMIF(OFFSET(CalibData!$M$3,1,0,$Q$2),ROW()+COLUMN()/100,OFFSET(CalibData!$O$3,1,0,$Q$2))</f>
        <v>0</v>
      </c>
      <c r="D75" s="41">
        <f ca="1">SUMIF(OFFSET(CalibData!$M$3,1,0,$Q$2),ROW()+COLUMN()/100,OFFSET(CalibData!$O$3,1,0,$Q$2))</f>
        <v>0</v>
      </c>
      <c r="E75" s="41">
        <f ca="1">SUMIF(OFFSET(CalibData!$M$3,1,0,$Q$2),ROW()+COLUMN()/100,OFFSET(CalibData!$O$3,1,0,$Q$2))</f>
        <v>0</v>
      </c>
      <c r="F75" s="228">
        <f t="shared" ca="1" si="10"/>
        <v>1</v>
      </c>
      <c r="G75" s="195" t="s">
        <v>245</v>
      </c>
      <c r="H75" s="41">
        <f t="shared" ca="1" si="11"/>
        <v>1</v>
      </c>
      <c r="I75" s="41">
        <f ca="1">SUMIF(OFFSET(CalibData!$M$3,1,0,$Q$2),ROW()+COLUMN()/100,OFFSET(CalibData!$O$3,1,0,$Q$2))</f>
        <v>0</v>
      </c>
      <c r="J75" s="40">
        <v>0</v>
      </c>
      <c r="K75" s="40">
        <v>0</v>
      </c>
      <c r="L75" s="228">
        <f t="shared" ca="1" si="12"/>
        <v>1</v>
      </c>
      <c r="M75" s="195"/>
      <c r="N75" s="195"/>
      <c r="O75" s="195"/>
      <c r="P75" s="195"/>
      <c r="V75" s="171"/>
      <c r="W75" s="172"/>
      <c r="X75" s="172"/>
      <c r="Y75" s="172"/>
      <c r="Z75" s="172"/>
      <c r="AA75" s="172"/>
      <c r="AB75" s="172"/>
      <c r="AC75" s="172"/>
      <c r="AD75" s="172"/>
      <c r="AE75" s="172"/>
      <c r="AF75" s="172"/>
      <c r="AG75" s="172"/>
      <c r="AH75" s="172"/>
      <c r="AI75" s="172"/>
      <c r="AJ75" s="172"/>
      <c r="AK75" s="172"/>
      <c r="AL75" s="172"/>
      <c r="AM75" s="172"/>
      <c r="AN75" s="172"/>
      <c r="AO75" s="172"/>
      <c r="AP75" s="172"/>
      <c r="AQ75" s="172"/>
      <c r="AR75" s="172"/>
      <c r="AS75" s="172"/>
    </row>
    <row r="76" spans="1:45">
      <c r="A76" s="195" t="s">
        <v>246</v>
      </c>
      <c r="B76" s="41">
        <f t="shared" ca="1" si="9"/>
        <v>1</v>
      </c>
      <c r="C76" s="41">
        <f ca="1">SUMIF(OFFSET(CalibData!$M$3,1,0,$Q$2),ROW()+COLUMN()/100,OFFSET(CalibData!$O$3,1,0,$Q$2))</f>
        <v>0</v>
      </c>
      <c r="D76" s="41">
        <f ca="1">SUMIF(OFFSET(CalibData!$M$3,1,0,$Q$2),ROW()+COLUMN()/100,OFFSET(CalibData!$O$3,1,0,$Q$2))</f>
        <v>0</v>
      </c>
      <c r="E76" s="41">
        <f ca="1">SUMIF(OFFSET(CalibData!$M$3,1,0,$Q$2),ROW()+COLUMN()/100,OFFSET(CalibData!$O$3,1,0,$Q$2))</f>
        <v>0</v>
      </c>
      <c r="F76" s="228">
        <f t="shared" ca="1" si="10"/>
        <v>1</v>
      </c>
      <c r="G76" s="195" t="s">
        <v>246</v>
      </c>
      <c r="H76" s="41">
        <f t="shared" ca="1" si="11"/>
        <v>1</v>
      </c>
      <c r="I76" s="41">
        <f ca="1">SUMIF(OFFSET(CalibData!$M$3,1,0,$Q$2),ROW()+COLUMN()/100,OFFSET(CalibData!$O$3,1,0,$Q$2))</f>
        <v>0</v>
      </c>
      <c r="J76" s="40">
        <v>0</v>
      </c>
      <c r="K76" s="40">
        <v>0</v>
      </c>
      <c r="L76" s="228">
        <f t="shared" ca="1" si="12"/>
        <v>1</v>
      </c>
      <c r="M76" s="195"/>
      <c r="N76" s="195"/>
      <c r="O76" s="195"/>
      <c r="P76" s="195"/>
      <c r="V76" s="171"/>
      <c r="W76" s="172"/>
      <c r="X76" s="172"/>
      <c r="Y76" s="172"/>
      <c r="Z76" s="172"/>
      <c r="AA76" s="172"/>
      <c r="AB76" s="172"/>
      <c r="AC76" s="172"/>
      <c r="AD76" s="172"/>
      <c r="AE76" s="172"/>
      <c r="AF76" s="172"/>
      <c r="AG76" s="172"/>
      <c r="AH76" s="172"/>
      <c r="AI76" s="172"/>
      <c r="AJ76" s="172"/>
      <c r="AK76" s="172"/>
      <c r="AL76" s="172"/>
      <c r="AM76" s="172"/>
      <c r="AN76" s="172"/>
      <c r="AO76" s="172"/>
      <c r="AP76" s="172"/>
      <c r="AQ76" s="172"/>
      <c r="AR76" s="172"/>
      <c r="AS76" s="172"/>
    </row>
    <row r="77" spans="1:45">
      <c r="A77" s="195"/>
      <c r="B77" s="195"/>
      <c r="C77" s="195"/>
      <c r="D77" s="195"/>
      <c r="E77" s="195"/>
      <c r="F77" s="195"/>
      <c r="G77" s="195"/>
      <c r="H77" s="195"/>
      <c r="I77" s="195"/>
      <c r="J77" s="195"/>
      <c r="K77" s="195"/>
      <c r="L77" s="195"/>
      <c r="M77" s="195"/>
      <c r="N77" s="195"/>
      <c r="O77" s="195"/>
      <c r="P77" s="195"/>
      <c r="V77" s="171"/>
      <c r="W77" s="172"/>
      <c r="X77" s="172"/>
      <c r="Y77" s="172"/>
      <c r="Z77" s="172"/>
      <c r="AA77" s="172"/>
      <c r="AB77" s="172"/>
      <c r="AC77" s="172"/>
      <c r="AD77" s="172"/>
      <c r="AE77" s="172"/>
      <c r="AF77" s="172"/>
      <c r="AG77" s="172"/>
      <c r="AH77" s="172"/>
      <c r="AI77" s="172"/>
      <c r="AJ77" s="172"/>
      <c r="AK77" s="172"/>
      <c r="AL77" s="172"/>
      <c r="AM77" s="172"/>
      <c r="AN77" s="172"/>
      <c r="AO77" s="172"/>
      <c r="AP77" s="172"/>
      <c r="AQ77" s="172"/>
      <c r="AR77" s="172"/>
      <c r="AS77" s="172"/>
    </row>
    <row r="78" spans="1:45" ht="18">
      <c r="A78" s="131" t="s">
        <v>521</v>
      </c>
      <c r="B78" s="98"/>
      <c r="C78" s="98"/>
      <c r="D78" s="98"/>
      <c r="E78" s="98"/>
      <c r="F78" s="98"/>
      <c r="G78" s="98"/>
      <c r="H78" s="216"/>
      <c r="I78" s="216"/>
      <c r="J78" s="216"/>
      <c r="K78" s="216"/>
      <c r="L78" s="219"/>
      <c r="M78" s="219"/>
      <c r="N78" s="219"/>
      <c r="O78" s="195"/>
      <c r="P78" s="195"/>
      <c r="V78" s="171"/>
      <c r="W78" s="172"/>
      <c r="X78" s="172"/>
      <c r="Y78" s="172"/>
      <c r="Z78" s="172"/>
      <c r="AA78" s="172"/>
      <c r="AB78" s="172"/>
      <c r="AC78" s="172"/>
      <c r="AD78" s="172"/>
      <c r="AE78" s="172"/>
      <c r="AF78" s="172"/>
      <c r="AG78" s="172"/>
      <c r="AH78" s="172"/>
      <c r="AI78" s="172"/>
      <c r="AJ78" s="172"/>
      <c r="AK78" s="172"/>
      <c r="AL78" s="172"/>
      <c r="AM78" s="172"/>
      <c r="AN78" s="172"/>
      <c r="AO78" s="172"/>
      <c r="AP78" s="172"/>
      <c r="AQ78" s="172"/>
      <c r="AR78" s="172"/>
      <c r="AS78" s="172"/>
    </row>
    <row r="79" spans="1:45" ht="33.75">
      <c r="A79" s="195"/>
      <c r="B79" s="209" t="s">
        <v>213</v>
      </c>
      <c r="C79" s="209" t="s">
        <v>105</v>
      </c>
      <c r="D79" s="209" t="s">
        <v>179</v>
      </c>
      <c r="E79" s="209" t="s">
        <v>90</v>
      </c>
      <c r="F79" s="209" t="s">
        <v>93</v>
      </c>
      <c r="G79" s="209" t="s">
        <v>95</v>
      </c>
      <c r="H79" s="209" t="s">
        <v>269</v>
      </c>
      <c r="I79" s="209" t="s">
        <v>97</v>
      </c>
      <c r="J79" s="209" t="s">
        <v>268</v>
      </c>
      <c r="K79" s="209" t="s">
        <v>636</v>
      </c>
      <c r="L79" s="209" t="s">
        <v>104</v>
      </c>
      <c r="M79" s="216"/>
      <c r="N79" s="214"/>
      <c r="O79" s="195"/>
      <c r="P79" s="195"/>
      <c r="V79" s="171"/>
      <c r="W79" s="172"/>
      <c r="X79" s="172"/>
      <c r="Y79" s="172"/>
      <c r="Z79" s="172"/>
      <c r="AA79" s="172"/>
      <c r="AB79" s="172"/>
      <c r="AC79" s="172"/>
      <c r="AD79" s="172"/>
      <c r="AE79" s="172"/>
      <c r="AF79" s="172"/>
      <c r="AG79" s="172"/>
      <c r="AH79" s="172"/>
      <c r="AI79" s="172"/>
      <c r="AJ79" s="172"/>
      <c r="AK79" s="172"/>
      <c r="AL79" s="172"/>
      <c r="AM79" s="172"/>
      <c r="AN79" s="172"/>
      <c r="AO79" s="172"/>
      <c r="AP79" s="172"/>
      <c r="AQ79" s="172"/>
      <c r="AR79" s="172"/>
      <c r="AS79" s="172"/>
    </row>
    <row r="80" spans="1:45">
      <c r="A80" s="195"/>
      <c r="B80" s="210" t="s">
        <v>127</v>
      </c>
      <c r="C80" s="210" t="s">
        <v>128</v>
      </c>
      <c r="D80" s="210" t="s">
        <v>44</v>
      </c>
      <c r="E80" s="210" t="s">
        <v>91</v>
      </c>
      <c r="F80" s="210" t="s">
        <v>94</v>
      </c>
      <c r="G80" s="210" t="s">
        <v>129</v>
      </c>
      <c r="H80" s="210" t="s">
        <v>96</v>
      </c>
      <c r="I80" s="210" t="s">
        <v>92</v>
      </c>
      <c r="J80" s="210" t="s">
        <v>637</v>
      </c>
      <c r="K80" s="210" t="s">
        <v>642</v>
      </c>
      <c r="L80" s="210" t="s">
        <v>130</v>
      </c>
      <c r="M80" s="216" t="s">
        <v>248</v>
      </c>
      <c r="N80" s="214"/>
      <c r="O80" s="195"/>
      <c r="P80" s="210" t="s">
        <v>882</v>
      </c>
      <c r="Q80" s="210" t="s">
        <v>888</v>
      </c>
      <c r="V80" s="171"/>
      <c r="W80" s="172"/>
      <c r="X80" s="172"/>
      <c r="Y80" s="172"/>
      <c r="Z80" s="172"/>
      <c r="AA80" s="172"/>
      <c r="AB80" s="172"/>
      <c r="AC80" s="172"/>
      <c r="AD80" s="172"/>
      <c r="AE80" s="172"/>
      <c r="AF80" s="172"/>
      <c r="AG80" s="172"/>
      <c r="AH80" s="172"/>
      <c r="AI80" s="172"/>
      <c r="AJ80" s="172"/>
      <c r="AK80" s="172"/>
      <c r="AL80" s="172"/>
      <c r="AM80" s="172"/>
      <c r="AN80" s="172"/>
      <c r="AO80" s="172"/>
      <c r="AP80" s="172"/>
      <c r="AQ80" s="172"/>
      <c r="AR80" s="172"/>
      <c r="AS80" s="172"/>
    </row>
    <row r="81" spans="1:45">
      <c r="A81" s="211" t="s">
        <v>244</v>
      </c>
      <c r="B81" s="33">
        <f t="shared" ref="B81:L81" ca="1" si="13">B36*$G9</f>
        <v>0.41115579482723369</v>
      </c>
      <c r="C81" s="33">
        <f t="shared" ca="1" si="13"/>
        <v>0</v>
      </c>
      <c r="D81" s="33">
        <f t="shared" ca="1" si="13"/>
        <v>0.12983867205070537</v>
      </c>
      <c r="E81" s="33">
        <f t="shared" si="13"/>
        <v>0</v>
      </c>
      <c r="F81" s="33">
        <f t="shared" ca="1" si="13"/>
        <v>0</v>
      </c>
      <c r="G81" s="33">
        <f t="shared" ca="1" si="13"/>
        <v>6.3806433122060913E-2</v>
      </c>
      <c r="H81" s="33">
        <f t="shared" si="13"/>
        <v>0</v>
      </c>
      <c r="I81" s="33">
        <f t="shared" si="13"/>
        <v>0</v>
      </c>
      <c r="J81" s="33">
        <f t="shared" ca="1" si="13"/>
        <v>0</v>
      </c>
      <c r="K81" s="33">
        <f t="shared" si="13"/>
        <v>0</v>
      </c>
      <c r="L81" s="33">
        <f t="shared" si="13"/>
        <v>0</v>
      </c>
      <c r="M81" s="217">
        <f t="shared" ref="M81:M92" ca="1" si="14">SUM(B81:L81)</f>
        <v>0.60480089999999997</v>
      </c>
      <c r="N81" s="222">
        <f t="shared" ref="N81:N91" ca="1" si="15">M81/$M$92</f>
        <v>3.2925780551727865E-3</v>
      </c>
      <c r="O81" s="195"/>
      <c r="P81" s="33">
        <f t="shared" ref="P81:P91" ca="1" si="16">D81*J52</f>
        <v>1.9223558603918289E-2</v>
      </c>
      <c r="Q81" s="33">
        <f t="shared" ref="Q81:Q91" ca="1" si="17">D81-P81</f>
        <v>0.11061511344678708</v>
      </c>
      <c r="V81" s="171"/>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row>
    <row r="82" spans="1:45">
      <c r="A82" s="211" t="s">
        <v>663</v>
      </c>
      <c r="B82" s="33">
        <f t="shared" ref="B82:L82" ca="1" si="18">B37*$G10</f>
        <v>10.51093785427096</v>
      </c>
      <c r="C82" s="33">
        <f t="shared" si="18"/>
        <v>0</v>
      </c>
      <c r="D82" s="33">
        <f t="shared" ca="1" si="18"/>
        <v>3.1396307876393781</v>
      </c>
      <c r="E82" s="33">
        <f t="shared" si="18"/>
        <v>0</v>
      </c>
      <c r="F82" s="33">
        <f t="shared" si="18"/>
        <v>0</v>
      </c>
      <c r="G82" s="33">
        <f t="shared" ca="1" si="18"/>
        <v>0</v>
      </c>
      <c r="H82" s="33">
        <f t="shared" si="18"/>
        <v>0</v>
      </c>
      <c r="I82" s="33">
        <f t="shared" si="18"/>
        <v>0</v>
      </c>
      <c r="J82" s="33">
        <f t="shared" ca="1" si="18"/>
        <v>0</v>
      </c>
      <c r="K82" s="33">
        <f t="shared" si="18"/>
        <v>0</v>
      </c>
      <c r="L82" s="33">
        <f t="shared" si="18"/>
        <v>0</v>
      </c>
      <c r="M82" s="217">
        <f t="shared" ca="1" si="14"/>
        <v>13.650568641910338</v>
      </c>
      <c r="N82" s="222">
        <f t="shared" ca="1" si="15"/>
        <v>7.4314642638567116E-2</v>
      </c>
      <c r="O82" s="195"/>
      <c r="P82" s="33">
        <f t="shared" ca="1" si="16"/>
        <v>2.7728048865789439</v>
      </c>
      <c r="Q82" s="33">
        <f t="shared" ca="1" si="17"/>
        <v>0.36682590106043422</v>
      </c>
      <c r="V82" s="171"/>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row>
    <row r="83" spans="1:45">
      <c r="A83" s="211" t="s">
        <v>574</v>
      </c>
      <c r="B83" s="33">
        <f t="shared" ref="B83:L83" ca="1" si="19">IF($G11=0,0,(B38*$G11))</f>
        <v>9.1201595999999996E-2</v>
      </c>
      <c r="C83" s="33">
        <f t="shared" si="19"/>
        <v>0</v>
      </c>
      <c r="D83" s="33">
        <f t="shared" ca="1" si="19"/>
        <v>2.8800503999999998E-2</v>
      </c>
      <c r="E83" s="33">
        <f t="shared" si="19"/>
        <v>0</v>
      </c>
      <c r="F83" s="33">
        <f t="shared" si="19"/>
        <v>0</v>
      </c>
      <c r="G83" s="33">
        <f t="shared" si="19"/>
        <v>0</v>
      </c>
      <c r="H83" s="33">
        <f t="shared" si="19"/>
        <v>0</v>
      </c>
      <c r="I83" s="33">
        <f t="shared" si="19"/>
        <v>0</v>
      </c>
      <c r="J83" s="33">
        <f t="shared" ca="1" si="19"/>
        <v>0</v>
      </c>
      <c r="K83" s="33">
        <f t="shared" si="19"/>
        <v>0</v>
      </c>
      <c r="L83" s="33">
        <f t="shared" si="19"/>
        <v>0</v>
      </c>
      <c r="M83" s="217">
        <f t="shared" ca="1" si="14"/>
        <v>0.1200021</v>
      </c>
      <c r="N83" s="222">
        <f t="shared" ca="1" si="15"/>
        <v>6.5329975705170126E-4</v>
      </c>
      <c r="O83" s="195"/>
      <c r="P83" s="33">
        <f t="shared" ca="1" si="16"/>
        <v>0</v>
      </c>
      <c r="Q83" s="33">
        <f t="shared" ca="1" si="17"/>
        <v>2.8800503999999998E-2</v>
      </c>
      <c r="V83" s="171"/>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row>
    <row r="84" spans="1:45">
      <c r="A84" s="211" t="s">
        <v>576</v>
      </c>
      <c r="B84" s="33">
        <f t="shared" ref="B84:L84" ca="1" si="20">B39*$G12</f>
        <v>0</v>
      </c>
      <c r="C84" s="33">
        <f t="shared" si="20"/>
        <v>0</v>
      </c>
      <c r="D84" s="33">
        <f t="shared" ca="1" si="20"/>
        <v>0</v>
      </c>
      <c r="E84" s="33">
        <f t="shared" si="20"/>
        <v>0</v>
      </c>
      <c r="F84" s="33">
        <f t="shared" si="20"/>
        <v>0</v>
      </c>
      <c r="G84" s="33">
        <f t="shared" ca="1" si="20"/>
        <v>0</v>
      </c>
      <c r="H84" s="33">
        <f t="shared" si="20"/>
        <v>0</v>
      </c>
      <c r="I84" s="33">
        <f t="shared" si="20"/>
        <v>0</v>
      </c>
      <c r="J84" s="33">
        <f t="shared" ca="1" si="20"/>
        <v>0</v>
      </c>
      <c r="K84" s="33">
        <f t="shared" si="20"/>
        <v>0</v>
      </c>
      <c r="L84" s="33">
        <f t="shared" ca="1" si="20"/>
        <v>0</v>
      </c>
      <c r="M84" s="217">
        <f t="shared" ca="1" si="14"/>
        <v>0</v>
      </c>
      <c r="N84" s="222">
        <f t="shared" ca="1" si="15"/>
        <v>0</v>
      </c>
      <c r="O84" s="195"/>
      <c r="P84" s="33">
        <f t="shared" ca="1" si="16"/>
        <v>0</v>
      </c>
      <c r="Q84" s="33">
        <f t="shared" ca="1" si="17"/>
        <v>0</v>
      </c>
      <c r="V84" s="171"/>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row>
    <row r="85" spans="1:45">
      <c r="A85" s="211" t="s">
        <v>664</v>
      </c>
      <c r="B85" s="33">
        <f t="shared" ref="B85:L85" ca="1" si="21">B40*$G13</f>
        <v>0.11457515300000001</v>
      </c>
      <c r="C85" s="33">
        <f t="shared" si="21"/>
        <v>0</v>
      </c>
      <c r="D85" s="33">
        <f t="shared" ca="1" si="21"/>
        <v>3.4223747000000006E-2</v>
      </c>
      <c r="E85" s="33">
        <f t="shared" si="21"/>
        <v>0</v>
      </c>
      <c r="F85" s="33">
        <f t="shared" si="21"/>
        <v>0</v>
      </c>
      <c r="G85" s="33">
        <f t="shared" ca="1" si="21"/>
        <v>0</v>
      </c>
      <c r="H85" s="33">
        <f t="shared" si="21"/>
        <v>0</v>
      </c>
      <c r="I85" s="33">
        <f t="shared" si="21"/>
        <v>0</v>
      </c>
      <c r="J85" s="33">
        <f t="shared" ca="1" si="21"/>
        <v>0</v>
      </c>
      <c r="K85" s="33">
        <f t="shared" si="21"/>
        <v>0</v>
      </c>
      <c r="L85" s="33">
        <f t="shared" si="21"/>
        <v>0</v>
      </c>
      <c r="M85" s="217">
        <f t="shared" ca="1" si="14"/>
        <v>0.14879890000000001</v>
      </c>
      <c r="N85" s="222">
        <f t="shared" ca="1" si="15"/>
        <v>8.1007153391115985E-4</v>
      </c>
      <c r="O85" s="195"/>
      <c r="P85" s="33">
        <f t="shared" ca="1" si="16"/>
        <v>2.9818165228952274E-2</v>
      </c>
      <c r="Q85" s="33">
        <f t="shared" ca="1" si="17"/>
        <v>4.4055817710477313E-3</v>
      </c>
      <c r="V85" s="171"/>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row>
    <row r="86" spans="1:45">
      <c r="A86" s="211" t="s">
        <v>665</v>
      </c>
      <c r="B86" s="33">
        <f t="shared" ref="B86:L86" ca="1" si="22">B41*$G14</f>
        <v>7.1760584999999974E-2</v>
      </c>
      <c r="C86" s="33">
        <f t="shared" si="22"/>
        <v>0</v>
      </c>
      <c r="D86" s="33">
        <f t="shared" ca="1" si="22"/>
        <v>5.5200449999999991E-2</v>
      </c>
      <c r="E86" s="33">
        <f t="shared" si="22"/>
        <v>0</v>
      </c>
      <c r="F86" s="33">
        <f t="shared" si="22"/>
        <v>0</v>
      </c>
      <c r="G86" s="33">
        <f t="shared" ca="1" si="22"/>
        <v>5.5742389168492022E-2</v>
      </c>
      <c r="H86" s="33">
        <f t="shared" si="22"/>
        <v>0</v>
      </c>
      <c r="I86" s="33">
        <f t="shared" si="22"/>
        <v>0</v>
      </c>
      <c r="J86" s="33">
        <f t="shared" ca="1" si="22"/>
        <v>1.2980758315079943E-3</v>
      </c>
      <c r="K86" s="33">
        <f t="shared" si="22"/>
        <v>0</v>
      </c>
      <c r="L86" s="33">
        <f t="shared" si="22"/>
        <v>0</v>
      </c>
      <c r="M86" s="217">
        <f t="shared" ca="1" si="14"/>
        <v>0.18400149999999998</v>
      </c>
      <c r="N86" s="222">
        <f t="shared" ca="1" si="15"/>
        <v>1.0017169303466239E-3</v>
      </c>
      <c r="O86" s="195"/>
      <c r="P86" s="33">
        <f t="shared" ca="1" si="16"/>
        <v>5.5200449999999991E-2</v>
      </c>
      <c r="Q86" s="33">
        <f t="shared" ca="1" si="17"/>
        <v>0</v>
      </c>
      <c r="V86" s="171"/>
      <c r="W86" s="172"/>
      <c r="X86" s="172"/>
      <c r="Y86" s="172"/>
      <c r="Z86" s="172"/>
      <c r="AA86" s="172"/>
      <c r="AB86" s="172"/>
      <c r="AC86" s="172"/>
      <c r="AD86" s="172"/>
      <c r="AE86" s="172"/>
      <c r="AF86" s="172"/>
      <c r="AG86" s="172"/>
      <c r="AH86" s="172"/>
      <c r="AI86" s="172"/>
      <c r="AJ86" s="172"/>
      <c r="AK86" s="172"/>
      <c r="AL86" s="172"/>
      <c r="AM86" s="172"/>
      <c r="AN86" s="172"/>
      <c r="AO86" s="172"/>
      <c r="AP86" s="172"/>
      <c r="AQ86" s="172"/>
      <c r="AR86" s="172"/>
      <c r="AS86" s="172"/>
    </row>
    <row r="87" spans="1:45">
      <c r="A87" s="211" t="s">
        <v>588</v>
      </c>
      <c r="B87" s="33">
        <f t="shared" ref="B87:L87" ca="1" si="23">B42*$G15</f>
        <v>39.610330221239089</v>
      </c>
      <c r="C87" s="33">
        <f t="shared" si="23"/>
        <v>0</v>
      </c>
      <c r="D87" s="33">
        <f t="shared" ca="1" si="23"/>
        <v>7.1851134615409347</v>
      </c>
      <c r="E87" s="33">
        <f t="shared" si="23"/>
        <v>0</v>
      </c>
      <c r="F87" s="33">
        <f t="shared" si="23"/>
        <v>0</v>
      </c>
      <c r="G87" s="33">
        <f t="shared" ca="1" si="23"/>
        <v>0.50561909544176942</v>
      </c>
      <c r="H87" s="33">
        <f t="shared" si="23"/>
        <v>0</v>
      </c>
      <c r="I87" s="33">
        <f t="shared" si="23"/>
        <v>0</v>
      </c>
      <c r="J87" s="33">
        <f t="shared" ca="1" si="23"/>
        <v>5.9219998998592036</v>
      </c>
      <c r="K87" s="33">
        <f t="shared" si="23"/>
        <v>0</v>
      </c>
      <c r="L87" s="33">
        <f t="shared" si="23"/>
        <v>0</v>
      </c>
      <c r="M87" s="217">
        <f t="shared" ca="1" si="14"/>
        <v>53.223062678080993</v>
      </c>
      <c r="N87" s="222">
        <f t="shared" ca="1" si="15"/>
        <v>0.28975004535035453</v>
      </c>
      <c r="O87" s="195"/>
      <c r="P87" s="33">
        <f t="shared" ca="1" si="16"/>
        <v>6.9989349010939534</v>
      </c>
      <c r="Q87" s="33">
        <f t="shared" ca="1" si="17"/>
        <v>0.18617856044698122</v>
      </c>
      <c r="V87" s="171"/>
      <c r="W87" s="172"/>
      <c r="X87" s="172"/>
      <c r="Y87" s="172"/>
      <c r="Z87" s="172"/>
      <c r="AA87" s="172"/>
      <c r="AB87" s="172"/>
      <c r="AC87" s="172"/>
      <c r="AD87" s="172"/>
      <c r="AE87" s="172"/>
      <c r="AF87" s="172"/>
      <c r="AG87" s="172"/>
      <c r="AH87" s="172"/>
      <c r="AI87" s="172"/>
      <c r="AJ87" s="172"/>
      <c r="AK87" s="172"/>
      <c r="AL87" s="172"/>
      <c r="AM87" s="172"/>
      <c r="AN87" s="172"/>
      <c r="AO87" s="172"/>
      <c r="AP87" s="172"/>
      <c r="AQ87" s="172"/>
      <c r="AR87" s="172"/>
      <c r="AS87" s="172"/>
    </row>
    <row r="88" spans="1:45">
      <c r="A88" s="211" t="s">
        <v>247</v>
      </c>
      <c r="B88" s="33">
        <f t="shared" ref="B88:L88" ca="1" si="24">B43*$G16</f>
        <v>31.343175507906341</v>
      </c>
      <c r="C88" s="33">
        <f t="shared" ca="1" si="24"/>
        <v>0.6361765673628681</v>
      </c>
      <c r="D88" s="33">
        <f t="shared" ca="1" si="24"/>
        <v>12.189012697519136</v>
      </c>
      <c r="E88" s="33">
        <f t="shared" ca="1" si="24"/>
        <v>3.4097841573690828</v>
      </c>
      <c r="F88" s="33">
        <f t="shared" ca="1" si="24"/>
        <v>0.41984154766385429</v>
      </c>
      <c r="G88" s="33">
        <f t="shared" ca="1" si="24"/>
        <v>1.6327171298038781</v>
      </c>
      <c r="H88" s="33">
        <f t="shared" ca="1" si="24"/>
        <v>0.60643779107001172</v>
      </c>
      <c r="I88" s="33">
        <f t="shared" ca="1" si="24"/>
        <v>0.86300762575347822</v>
      </c>
      <c r="J88" s="33">
        <f t="shared" si="24"/>
        <v>0</v>
      </c>
      <c r="K88" s="33">
        <f t="shared" ca="1" si="24"/>
        <v>13.400788033743753</v>
      </c>
      <c r="L88" s="33">
        <f t="shared" ca="1" si="24"/>
        <v>4.4783098417477794</v>
      </c>
      <c r="M88" s="217">
        <f t="shared" ca="1" si="14"/>
        <v>68.979250899940183</v>
      </c>
      <c r="N88" s="222">
        <f t="shared" ca="1" si="15"/>
        <v>0.37552782705085386</v>
      </c>
      <c r="O88" s="195"/>
      <c r="P88" s="33">
        <f t="shared" ca="1" si="16"/>
        <v>10.068242073716558</v>
      </c>
      <c r="Q88" s="33">
        <f t="shared" ca="1" si="17"/>
        <v>2.1207706238025779</v>
      </c>
      <c r="V88" s="171"/>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row>
    <row r="89" spans="1:45">
      <c r="A89" s="211" t="s">
        <v>414</v>
      </c>
      <c r="B89" s="33">
        <f t="shared" ref="B89:L89" ca="1" si="25">IF($G17=0,0,(B44*$G17))</f>
        <v>35.492486400000004</v>
      </c>
      <c r="C89" s="33">
        <f t="shared" si="25"/>
        <v>0</v>
      </c>
      <c r="D89" s="33">
        <f t="shared" ca="1" si="25"/>
        <v>11.208153600000001</v>
      </c>
      <c r="E89" s="33">
        <f t="shared" si="25"/>
        <v>0</v>
      </c>
      <c r="F89" s="33">
        <f t="shared" si="25"/>
        <v>0</v>
      </c>
      <c r="G89" s="33">
        <f t="shared" si="25"/>
        <v>0</v>
      </c>
      <c r="H89" s="33">
        <f t="shared" si="25"/>
        <v>0</v>
      </c>
      <c r="I89" s="33">
        <f t="shared" si="25"/>
        <v>0</v>
      </c>
      <c r="J89" s="33">
        <f t="shared" ca="1" si="25"/>
        <v>0</v>
      </c>
      <c r="K89" s="33">
        <f t="shared" si="25"/>
        <v>0</v>
      </c>
      <c r="L89" s="33">
        <f t="shared" si="25"/>
        <v>0</v>
      </c>
      <c r="M89" s="217">
        <f t="shared" ca="1" si="14"/>
        <v>46.700640000000007</v>
      </c>
      <c r="N89" s="222">
        <f t="shared" ca="1" si="15"/>
        <v>0.25424152382465781</v>
      </c>
      <c r="O89" s="195"/>
      <c r="P89" s="33">
        <f t="shared" ca="1" si="16"/>
        <v>1.4819583951806621</v>
      </c>
      <c r="Q89" s="33">
        <f t="shared" ca="1" si="17"/>
        <v>9.726195204819339</v>
      </c>
      <c r="V89" s="171"/>
      <c r="W89" s="172"/>
      <c r="X89" s="172"/>
      <c r="Y89" s="172"/>
      <c r="Z89" s="172"/>
      <c r="AA89" s="172"/>
      <c r="AB89" s="172"/>
      <c r="AC89" s="172"/>
      <c r="AD89" s="172"/>
      <c r="AE89" s="172"/>
      <c r="AF89" s="172"/>
      <c r="AG89" s="172"/>
      <c r="AH89" s="172"/>
      <c r="AI89" s="172"/>
      <c r="AJ89" s="172"/>
      <c r="AK89" s="172"/>
      <c r="AL89" s="172"/>
      <c r="AM89" s="172"/>
      <c r="AN89" s="172"/>
      <c r="AO89" s="172"/>
      <c r="AP89" s="172"/>
      <c r="AQ89" s="172"/>
      <c r="AR89" s="172"/>
      <c r="AS89" s="172"/>
    </row>
    <row r="90" spans="1:45">
      <c r="A90" s="211" t="s">
        <v>245</v>
      </c>
      <c r="B90" s="33">
        <f t="shared" ref="B90:L90" ca="1" si="26">B45*$G18</f>
        <v>0</v>
      </c>
      <c r="C90" s="33">
        <f t="shared" ca="1" si="26"/>
        <v>0</v>
      </c>
      <c r="D90" s="33">
        <f t="shared" ca="1" si="26"/>
        <v>0</v>
      </c>
      <c r="E90" s="33">
        <f t="shared" si="26"/>
        <v>0</v>
      </c>
      <c r="F90" s="33">
        <f t="shared" si="26"/>
        <v>0</v>
      </c>
      <c r="G90" s="33">
        <f t="shared" si="26"/>
        <v>0</v>
      </c>
      <c r="H90" s="33">
        <f t="shared" si="26"/>
        <v>0</v>
      </c>
      <c r="I90" s="33">
        <f t="shared" si="26"/>
        <v>0</v>
      </c>
      <c r="J90" s="33">
        <f t="shared" ca="1" si="26"/>
        <v>0</v>
      </c>
      <c r="K90" s="33">
        <f t="shared" si="26"/>
        <v>0</v>
      </c>
      <c r="L90" s="33">
        <f t="shared" si="26"/>
        <v>0</v>
      </c>
      <c r="M90" s="217">
        <f t="shared" ca="1" si="14"/>
        <v>0</v>
      </c>
      <c r="N90" s="222">
        <f t="shared" ca="1" si="15"/>
        <v>0</v>
      </c>
      <c r="O90" s="195"/>
      <c r="P90" s="33">
        <f t="shared" ca="1" si="16"/>
        <v>0</v>
      </c>
      <c r="Q90" s="33">
        <f t="shared" ca="1" si="17"/>
        <v>0</v>
      </c>
      <c r="V90" s="171"/>
      <c r="W90" s="172"/>
      <c r="X90" s="172"/>
      <c r="Y90" s="172"/>
      <c r="Z90" s="172"/>
      <c r="AA90" s="172"/>
      <c r="AB90" s="172"/>
      <c r="AC90" s="172"/>
      <c r="AD90" s="172"/>
      <c r="AE90" s="172"/>
      <c r="AF90" s="172"/>
      <c r="AG90" s="172"/>
      <c r="AH90" s="172"/>
      <c r="AI90" s="172"/>
      <c r="AJ90" s="172"/>
      <c r="AK90" s="172"/>
      <c r="AL90" s="172"/>
      <c r="AM90" s="172"/>
      <c r="AN90" s="172"/>
      <c r="AO90" s="172"/>
      <c r="AP90" s="172"/>
      <c r="AQ90" s="172"/>
      <c r="AR90" s="172"/>
      <c r="AS90" s="172"/>
    </row>
    <row r="91" spans="1:45">
      <c r="A91" s="211" t="s">
        <v>246</v>
      </c>
      <c r="B91" s="33">
        <f t="shared" ref="B91:L91" ca="1" si="27">B46*$G19</f>
        <v>7.4998099999999998E-2</v>
      </c>
      <c r="C91" s="33">
        <f t="shared" si="27"/>
        <v>0</v>
      </c>
      <c r="D91" s="33">
        <f t="shared" ca="1" si="27"/>
        <v>0</v>
      </c>
      <c r="E91" s="33">
        <f t="shared" si="27"/>
        <v>0</v>
      </c>
      <c r="F91" s="33">
        <f t="shared" si="27"/>
        <v>0</v>
      </c>
      <c r="G91" s="33">
        <f t="shared" ca="1" si="27"/>
        <v>0</v>
      </c>
      <c r="H91" s="33">
        <f t="shared" si="27"/>
        <v>0</v>
      </c>
      <c r="I91" s="33">
        <f t="shared" si="27"/>
        <v>0</v>
      </c>
      <c r="J91" s="33">
        <f t="shared" ca="1" si="27"/>
        <v>0</v>
      </c>
      <c r="K91" s="33">
        <f t="shared" si="27"/>
        <v>0</v>
      </c>
      <c r="L91" s="33">
        <f t="shared" si="27"/>
        <v>0</v>
      </c>
      <c r="M91" s="217">
        <f t="shared" ca="1" si="14"/>
        <v>7.4998099999999998E-2</v>
      </c>
      <c r="N91" s="222">
        <f t="shared" ca="1" si="15"/>
        <v>4.082948590844593E-4</v>
      </c>
      <c r="O91" s="195"/>
      <c r="P91" s="33">
        <f t="shared" ca="1" si="16"/>
        <v>0</v>
      </c>
      <c r="Q91" s="33">
        <f t="shared" ca="1" si="17"/>
        <v>0</v>
      </c>
      <c r="V91" s="171"/>
      <c r="W91" s="172"/>
      <c r="X91" s="172"/>
      <c r="Y91" s="172"/>
      <c r="Z91" s="172"/>
      <c r="AA91" s="172"/>
      <c r="AB91" s="172"/>
      <c r="AC91" s="172"/>
      <c r="AD91" s="172"/>
      <c r="AE91" s="172"/>
      <c r="AF91" s="172"/>
      <c r="AG91" s="172"/>
      <c r="AH91" s="172"/>
      <c r="AI91" s="172"/>
      <c r="AJ91" s="172"/>
      <c r="AK91" s="172"/>
      <c r="AL91" s="172"/>
      <c r="AM91" s="172"/>
      <c r="AN91" s="172"/>
      <c r="AO91" s="172"/>
      <c r="AP91" s="172"/>
      <c r="AQ91" s="172"/>
      <c r="AR91" s="172"/>
      <c r="AS91" s="172"/>
    </row>
    <row r="92" spans="1:45">
      <c r="A92" s="216" t="s">
        <v>248</v>
      </c>
      <c r="B92" s="217">
        <f t="shared" ref="B92:L92" ca="1" si="28">SUM(B81:B91)</f>
        <v>117.72062121224363</v>
      </c>
      <c r="C92" s="217">
        <f t="shared" ca="1" si="28"/>
        <v>0.6361765673628681</v>
      </c>
      <c r="D92" s="217">
        <f t="shared" ca="1" si="28"/>
        <v>33.969973919750153</v>
      </c>
      <c r="E92" s="217">
        <f t="shared" ca="1" si="28"/>
        <v>3.4097841573690828</v>
      </c>
      <c r="F92" s="217">
        <f t="shared" ca="1" si="28"/>
        <v>0.41984154766385429</v>
      </c>
      <c r="G92" s="217">
        <f t="shared" ca="1" si="28"/>
        <v>2.2578850475362007</v>
      </c>
      <c r="H92" s="217">
        <f t="shared" ca="1" si="28"/>
        <v>0.60643779107001172</v>
      </c>
      <c r="I92" s="217">
        <f t="shared" ca="1" si="28"/>
        <v>0.86300762575347822</v>
      </c>
      <c r="J92" s="217">
        <f t="shared" ca="1" si="28"/>
        <v>5.923297975690712</v>
      </c>
      <c r="K92" s="217">
        <f t="shared" ca="1" si="28"/>
        <v>13.400788033743753</v>
      </c>
      <c r="L92" s="217">
        <f t="shared" ca="1" si="28"/>
        <v>4.4783098417477794</v>
      </c>
      <c r="M92" s="217">
        <f t="shared" ca="1" si="14"/>
        <v>183.68612371993152</v>
      </c>
      <c r="N92" s="214"/>
      <c r="O92" s="195"/>
      <c r="P92" s="195"/>
      <c r="V92" s="171"/>
      <c r="W92" s="172"/>
      <c r="X92" s="172"/>
      <c r="Y92" s="172"/>
      <c r="Z92" s="172"/>
      <c r="AA92" s="172"/>
      <c r="AB92" s="172"/>
      <c r="AC92" s="172"/>
      <c r="AD92" s="172"/>
      <c r="AE92" s="172"/>
      <c r="AF92" s="172"/>
      <c r="AG92" s="172"/>
      <c r="AH92" s="172"/>
      <c r="AI92" s="172"/>
      <c r="AJ92" s="172"/>
      <c r="AK92" s="172"/>
      <c r="AL92" s="172"/>
      <c r="AM92" s="172"/>
      <c r="AN92" s="172"/>
      <c r="AO92" s="172"/>
      <c r="AP92" s="172"/>
      <c r="AQ92" s="172"/>
      <c r="AR92" s="172"/>
      <c r="AS92" s="172"/>
    </row>
    <row r="93" spans="1:45">
      <c r="A93" s="216" t="s">
        <v>337</v>
      </c>
      <c r="B93" s="218">
        <f t="shared" ref="B93:M93" ca="1" si="29">B92/$M$92</f>
        <v>0.64087922826295629</v>
      </c>
      <c r="C93" s="218">
        <f t="shared" ca="1" si="29"/>
        <v>3.4633893648540067E-3</v>
      </c>
      <c r="D93" s="218">
        <f t="shared" ca="1" si="29"/>
        <v>0.1849348945462238</v>
      </c>
      <c r="E93" s="218">
        <f t="shared" ca="1" si="29"/>
        <v>1.8563101492456897E-2</v>
      </c>
      <c r="F93" s="218">
        <f t="shared" ca="1" si="29"/>
        <v>2.2856465102611225E-3</v>
      </c>
      <c r="G93" s="218">
        <f t="shared" ca="1" si="29"/>
        <v>1.2292082830267712E-2</v>
      </c>
      <c r="H93" s="218">
        <f t="shared" ca="1" si="29"/>
        <v>3.3014894037105102E-3</v>
      </c>
      <c r="I93" s="218">
        <f t="shared" ca="1" si="29"/>
        <v>4.6982733822034184E-3</v>
      </c>
      <c r="J93" s="218">
        <f t="shared" ca="1" si="29"/>
        <v>3.2246845084074161E-2</v>
      </c>
      <c r="K93" s="218">
        <f t="shared" ca="1" si="29"/>
        <v>7.2954819680206756E-2</v>
      </c>
      <c r="L93" s="218">
        <f t="shared" ca="1" si="29"/>
        <v>2.4380229442785308E-2</v>
      </c>
      <c r="M93" s="218">
        <f t="shared" ca="1" si="29"/>
        <v>1</v>
      </c>
      <c r="N93" s="214"/>
      <c r="O93" s="195"/>
      <c r="P93" s="195"/>
      <c r="V93" s="171"/>
      <c r="W93" s="172"/>
      <c r="X93" s="172"/>
      <c r="Y93" s="172"/>
      <c r="Z93" s="172"/>
      <c r="AA93" s="172"/>
      <c r="AB93" s="172"/>
      <c r="AC93" s="172"/>
      <c r="AD93" s="172"/>
      <c r="AE93" s="172"/>
      <c r="AF93" s="172"/>
      <c r="AG93" s="172"/>
      <c r="AH93" s="172"/>
      <c r="AI93" s="172"/>
      <c r="AJ93" s="172"/>
      <c r="AK93" s="172"/>
      <c r="AL93" s="172"/>
      <c r="AM93" s="172"/>
      <c r="AN93" s="172"/>
      <c r="AO93" s="172"/>
      <c r="AP93" s="172"/>
      <c r="AQ93" s="172"/>
      <c r="AR93" s="172"/>
      <c r="AS93" s="172"/>
    </row>
    <row r="94" spans="1:45">
      <c r="A94" s="195"/>
      <c r="B94" s="195"/>
      <c r="C94" s="195"/>
      <c r="D94" s="195"/>
      <c r="E94" s="195"/>
      <c r="F94" s="195"/>
      <c r="G94" s="195"/>
      <c r="H94" s="195"/>
      <c r="I94" s="195"/>
      <c r="J94" s="195"/>
      <c r="K94" s="195"/>
      <c r="L94" s="195"/>
      <c r="M94" s="195"/>
      <c r="N94" s="195"/>
      <c r="O94" s="195"/>
      <c r="P94" s="195"/>
      <c r="V94" s="171"/>
      <c r="W94" s="172"/>
      <c r="X94" s="172"/>
      <c r="Y94" s="172"/>
      <c r="Z94" s="172"/>
      <c r="AA94" s="172"/>
      <c r="AB94" s="172"/>
      <c r="AC94" s="172"/>
      <c r="AD94" s="172"/>
      <c r="AE94" s="172"/>
      <c r="AF94" s="172"/>
      <c r="AG94" s="172"/>
      <c r="AH94" s="172"/>
      <c r="AI94" s="172"/>
      <c r="AJ94" s="172"/>
      <c r="AK94" s="172"/>
      <c r="AL94" s="172"/>
      <c r="AM94" s="172"/>
      <c r="AN94" s="172"/>
      <c r="AO94" s="172"/>
      <c r="AP94" s="172"/>
      <c r="AQ94" s="172"/>
      <c r="AR94" s="172"/>
      <c r="AS94" s="172"/>
    </row>
    <row r="95" spans="1:45">
      <c r="A95" s="195"/>
      <c r="B95" s="195"/>
      <c r="C95" s="195"/>
      <c r="D95" s="195"/>
      <c r="E95" s="195"/>
      <c r="F95" s="195"/>
      <c r="G95" s="195"/>
      <c r="H95" s="195"/>
      <c r="I95" s="195"/>
      <c r="J95" s="195"/>
      <c r="K95" s="195"/>
      <c r="L95" s="195"/>
      <c r="M95" s="195"/>
      <c r="N95" s="195"/>
      <c r="O95" s="195"/>
      <c r="P95" s="195"/>
      <c r="V95" s="171"/>
      <c r="W95" s="172"/>
      <c r="X95" s="172"/>
      <c r="Y95" s="172"/>
      <c r="Z95" s="172"/>
      <c r="AA95" s="172"/>
      <c r="AB95" s="172"/>
      <c r="AC95" s="172"/>
      <c r="AD95" s="172"/>
      <c r="AE95" s="172"/>
      <c r="AF95" s="172"/>
      <c r="AG95" s="172"/>
      <c r="AH95" s="172"/>
      <c r="AI95" s="172"/>
      <c r="AJ95" s="172"/>
      <c r="AK95" s="172"/>
      <c r="AL95" s="172"/>
      <c r="AM95" s="172"/>
      <c r="AN95" s="172"/>
      <c r="AO95" s="172"/>
      <c r="AP95" s="172"/>
      <c r="AQ95" s="172"/>
      <c r="AR95" s="172"/>
      <c r="AS95" s="172"/>
    </row>
    <row r="96" spans="1:45" ht="18">
      <c r="A96" s="194" t="s">
        <v>523</v>
      </c>
      <c r="B96" s="195"/>
      <c r="C96" s="195"/>
      <c r="D96" s="195"/>
      <c r="E96" s="195"/>
      <c r="F96" s="195"/>
      <c r="G96" s="195"/>
      <c r="H96" s="230"/>
      <c r="I96" s="195"/>
      <c r="J96" s="195"/>
      <c r="K96" s="195"/>
      <c r="L96" s="195"/>
      <c r="M96" s="195"/>
      <c r="N96" s="195"/>
      <c r="O96" s="195"/>
      <c r="P96" s="195"/>
      <c r="V96" s="171"/>
      <c r="W96" s="172"/>
      <c r="X96" s="172"/>
      <c r="Y96" s="172"/>
      <c r="Z96" s="172"/>
      <c r="AA96" s="172"/>
      <c r="AB96" s="172"/>
      <c r="AC96" s="172"/>
      <c r="AD96" s="172"/>
      <c r="AE96" s="172"/>
      <c r="AF96" s="172"/>
      <c r="AG96" s="172"/>
      <c r="AH96" s="172"/>
      <c r="AI96" s="172"/>
      <c r="AJ96" s="172"/>
      <c r="AK96" s="172"/>
      <c r="AL96" s="172"/>
      <c r="AM96" s="172"/>
      <c r="AN96" s="172"/>
      <c r="AO96" s="172"/>
      <c r="AP96" s="172"/>
      <c r="AQ96" s="172"/>
      <c r="AR96" s="172"/>
      <c r="AS96" s="172"/>
    </row>
    <row r="97" spans="1:45" ht="18">
      <c r="A97" s="204"/>
      <c r="B97" s="131" t="s">
        <v>524</v>
      </c>
      <c r="C97" s="98"/>
      <c r="D97" s="98"/>
      <c r="E97" s="195"/>
      <c r="F97" s="195"/>
      <c r="G97" s="195"/>
      <c r="H97" s="230"/>
      <c r="I97" s="231"/>
      <c r="J97" s="232"/>
      <c r="K97" s="233"/>
      <c r="L97" s="195"/>
      <c r="M97" s="195"/>
      <c r="N97" s="195"/>
      <c r="O97" s="131" t="s">
        <v>977</v>
      </c>
      <c r="P97" s="131"/>
      <c r="V97" s="171"/>
      <c r="W97" s="172"/>
      <c r="X97" s="172"/>
      <c r="Y97" s="172"/>
      <c r="Z97" s="172"/>
      <c r="AA97" s="172"/>
      <c r="AB97" s="172"/>
      <c r="AC97" s="172"/>
      <c r="AD97" s="172"/>
      <c r="AE97" s="172"/>
      <c r="AF97" s="172"/>
      <c r="AG97" s="172"/>
      <c r="AH97" s="172"/>
      <c r="AI97" s="172"/>
      <c r="AJ97" s="172"/>
      <c r="AK97" s="172"/>
      <c r="AL97" s="172"/>
      <c r="AM97" s="172"/>
      <c r="AN97" s="172"/>
      <c r="AO97" s="172"/>
      <c r="AP97" s="172"/>
      <c r="AQ97" s="172"/>
      <c r="AR97" s="172"/>
      <c r="AS97" s="172"/>
    </row>
    <row r="98" spans="1:45" s="35" customFormat="1" ht="18">
      <c r="A98" s="196" t="s">
        <v>374</v>
      </c>
      <c r="B98" s="200" t="s">
        <v>407</v>
      </c>
      <c r="C98" s="235"/>
      <c r="D98" s="196"/>
      <c r="E98" s="195"/>
      <c r="F98" s="131" t="s">
        <v>525</v>
      </c>
      <c r="G98" s="98"/>
      <c r="H98" s="134"/>
      <c r="I98" s="98"/>
      <c r="J98" s="232"/>
      <c r="K98" s="234"/>
      <c r="L98" s="195"/>
      <c r="M98" s="195"/>
      <c r="N98" s="195"/>
      <c r="O98" s="405" t="s">
        <v>655</v>
      </c>
      <c r="P98" s="12">
        <v>500</v>
      </c>
      <c r="V98" s="171"/>
      <c r="W98" s="172"/>
      <c r="X98" s="172"/>
      <c r="Y98" s="172"/>
      <c r="Z98" s="172"/>
      <c r="AA98" s="172"/>
      <c r="AB98" s="172"/>
      <c r="AC98" s="172"/>
      <c r="AD98" s="172"/>
      <c r="AE98" s="172"/>
      <c r="AF98" s="172"/>
      <c r="AG98" s="172"/>
      <c r="AH98" s="172"/>
      <c r="AI98" s="172"/>
      <c r="AJ98" s="172"/>
      <c r="AK98" s="172"/>
      <c r="AL98" s="172"/>
      <c r="AM98" s="172"/>
      <c r="AN98" s="172"/>
      <c r="AO98" s="172"/>
      <c r="AP98" s="172"/>
      <c r="AQ98" s="172"/>
      <c r="AR98" s="172"/>
      <c r="AS98" s="172"/>
    </row>
    <row r="99" spans="1:45" s="35" customFormat="1">
      <c r="A99" s="195" t="s">
        <v>403</v>
      </c>
      <c r="B99" s="47">
        <v>0.8955017999999999</v>
      </c>
      <c r="C99" s="365">
        <v>0.8955017999999999</v>
      </c>
      <c r="D99" s="75" t="s">
        <v>436</v>
      </c>
      <c r="E99" s="195"/>
      <c r="F99" s="43" t="s">
        <v>244</v>
      </c>
      <c r="G99" s="44">
        <f>$C99+$C100+$C101+$C114</f>
        <v>1.7125013999999998</v>
      </c>
      <c r="H99" s="91" t="s">
        <v>422</v>
      </c>
      <c r="I99" s="229"/>
      <c r="J99" s="229"/>
      <c r="K99" s="229"/>
      <c r="L99" s="229"/>
      <c r="M99" s="195"/>
      <c r="N99" s="195"/>
      <c r="O99" s="405" t="s">
        <v>828</v>
      </c>
      <c r="P99" s="12"/>
      <c r="V99"/>
      <c r="W99"/>
      <c r="X99"/>
      <c r="Y99"/>
      <c r="Z99"/>
      <c r="AA99"/>
      <c r="AB99"/>
      <c r="AC99"/>
      <c r="AD99"/>
      <c r="AE99"/>
      <c r="AF99"/>
      <c r="AG99"/>
      <c r="AH99"/>
      <c r="AI99"/>
      <c r="AJ99"/>
      <c r="AK99"/>
      <c r="AL99"/>
      <c r="AM99"/>
      <c r="AN99"/>
      <c r="AO99"/>
      <c r="AP99"/>
      <c r="AQ99"/>
      <c r="AR99"/>
      <c r="AS99"/>
    </row>
    <row r="100" spans="1:45" s="35" customFormat="1">
      <c r="A100" s="205" t="s">
        <v>182</v>
      </c>
      <c r="B100" s="47">
        <v>0</v>
      </c>
      <c r="C100" s="365">
        <v>0</v>
      </c>
      <c r="D100" s="75" t="s">
        <v>440</v>
      </c>
      <c r="E100" s="195"/>
      <c r="F100" s="43" t="s">
        <v>413</v>
      </c>
      <c r="G100" s="44">
        <f>$C102+$C105+$C106+$C113</f>
        <v>9.0170592847845228</v>
      </c>
      <c r="H100" s="91" t="s">
        <v>423</v>
      </c>
      <c r="I100" s="229"/>
      <c r="J100" s="229"/>
      <c r="K100" s="229"/>
      <c r="L100" s="229"/>
      <c r="M100" s="195"/>
      <c r="N100" s="195"/>
      <c r="O100" s="405" t="s">
        <v>795</v>
      </c>
      <c r="P100" s="383">
        <f>223.44-P103</f>
        <v>56.139999999999986</v>
      </c>
      <c r="V100" s="171"/>
      <c r="W100"/>
      <c r="X100"/>
      <c r="Y100"/>
      <c r="Z100"/>
      <c r="AA100"/>
      <c r="AB100"/>
      <c r="AC100"/>
      <c r="AD100"/>
      <c r="AE100"/>
      <c r="AF100"/>
      <c r="AG100"/>
      <c r="AH100"/>
      <c r="AI100"/>
      <c r="AJ100"/>
      <c r="AK100"/>
      <c r="AL100"/>
      <c r="AM100"/>
      <c r="AN100"/>
      <c r="AO100"/>
      <c r="AP100"/>
      <c r="AQ100"/>
      <c r="AR100"/>
      <c r="AS100"/>
    </row>
    <row r="101" spans="1:45" s="35" customFormat="1">
      <c r="A101" s="205" t="s">
        <v>183</v>
      </c>
      <c r="B101" s="47">
        <v>0</v>
      </c>
      <c r="C101" s="365">
        <v>0</v>
      </c>
      <c r="D101" s="75" t="s">
        <v>441</v>
      </c>
      <c r="E101" s="195"/>
      <c r="F101" s="60" t="s">
        <v>574</v>
      </c>
      <c r="G101" s="61">
        <f>$C103</f>
        <v>1.4800002999999999</v>
      </c>
      <c r="H101" s="91" t="s">
        <v>596</v>
      </c>
      <c r="I101" s="229"/>
      <c r="J101" s="229"/>
      <c r="K101" s="229"/>
      <c r="L101" s="229"/>
      <c r="M101" s="195"/>
      <c r="N101" s="195"/>
      <c r="O101" s="405" t="s">
        <v>829</v>
      </c>
      <c r="P101" s="12"/>
      <c r="V101" s="171"/>
      <c r="W101" s="172"/>
      <c r="X101" s="172"/>
      <c r="Y101" s="172"/>
      <c r="Z101" s="172"/>
      <c r="AA101" s="172"/>
      <c r="AB101" s="172"/>
      <c r="AC101" s="172"/>
      <c r="AD101" s="172"/>
      <c r="AE101" s="172"/>
      <c r="AF101" s="172"/>
      <c r="AG101" s="172"/>
      <c r="AH101" s="172"/>
      <c r="AI101" s="172"/>
      <c r="AJ101" s="172"/>
      <c r="AK101" s="172"/>
      <c r="AL101" s="172"/>
      <c r="AM101" s="172"/>
      <c r="AN101" s="172"/>
      <c r="AO101" s="172"/>
      <c r="AP101" s="172"/>
      <c r="AQ101" s="172"/>
      <c r="AR101" s="172"/>
      <c r="AS101" s="172"/>
    </row>
    <row r="102" spans="1:45" s="35" customFormat="1">
      <c r="A102" s="195" t="s">
        <v>411</v>
      </c>
      <c r="B102" s="47">
        <v>8.2131936847845228</v>
      </c>
      <c r="C102" s="365">
        <v>8.2131936847845228</v>
      </c>
      <c r="D102" s="75" t="s">
        <v>221</v>
      </c>
      <c r="E102" s="195"/>
      <c r="F102" s="60" t="s">
        <v>576</v>
      </c>
      <c r="G102" s="61">
        <f>$C104</f>
        <v>0</v>
      </c>
      <c r="H102" s="91" t="s">
        <v>597</v>
      </c>
      <c r="I102" s="229"/>
      <c r="J102" s="229"/>
      <c r="K102" s="229"/>
      <c r="L102" s="229"/>
      <c r="M102" s="195"/>
      <c r="N102" s="195"/>
      <c r="O102" s="405" t="s">
        <v>830</v>
      </c>
      <c r="P102" s="12"/>
      <c r="V102" s="171"/>
      <c r="W102" s="172"/>
      <c r="X102" s="172"/>
      <c r="Y102" s="172"/>
      <c r="Z102" s="172"/>
      <c r="AA102" s="172"/>
      <c r="AB102" s="172"/>
      <c r="AC102" s="172"/>
      <c r="AD102" s="172"/>
      <c r="AE102" s="172"/>
      <c r="AF102" s="172"/>
      <c r="AG102" s="172"/>
      <c r="AH102" s="172"/>
      <c r="AI102" s="172"/>
      <c r="AJ102" s="172"/>
      <c r="AK102" s="172"/>
      <c r="AL102" s="172"/>
      <c r="AM102" s="172"/>
      <c r="AN102" s="172"/>
      <c r="AO102" s="172"/>
      <c r="AP102" s="172"/>
      <c r="AQ102" s="172"/>
      <c r="AR102" s="172"/>
      <c r="AS102" s="172"/>
    </row>
    <row r="103" spans="1:45" s="35" customFormat="1">
      <c r="A103" s="195" t="s">
        <v>410</v>
      </c>
      <c r="B103" s="47">
        <v>1.4800002999999999</v>
      </c>
      <c r="C103" s="365">
        <v>1.4800002999999999</v>
      </c>
      <c r="D103" s="75" t="s">
        <v>217</v>
      </c>
      <c r="E103" s="195"/>
      <c r="F103" s="43" t="s">
        <v>664</v>
      </c>
      <c r="G103" s="44">
        <f>$C107+$C108+$C109</f>
        <v>9.9201999999999999E-2</v>
      </c>
      <c r="H103" s="91" t="s">
        <v>442</v>
      </c>
      <c r="I103" s="229"/>
      <c r="J103" s="229"/>
      <c r="K103" s="229"/>
      <c r="L103" s="229"/>
      <c r="M103" s="195"/>
      <c r="N103" s="195"/>
      <c r="O103" s="405" t="s">
        <v>950</v>
      </c>
      <c r="P103" s="139">
        <v>167.3</v>
      </c>
      <c r="V103" s="171"/>
      <c r="W103" s="172"/>
      <c r="X103" s="172"/>
      <c r="Y103" s="172"/>
      <c r="Z103" s="172"/>
      <c r="AA103" s="172"/>
      <c r="AB103" s="172"/>
      <c r="AC103" s="172"/>
      <c r="AD103" s="172"/>
      <c r="AE103" s="172"/>
      <c r="AF103" s="172"/>
      <c r="AG103" s="172"/>
      <c r="AH103" s="172"/>
      <c r="AI103" s="172"/>
      <c r="AJ103" s="172"/>
      <c r="AK103" s="172"/>
      <c r="AL103" s="172"/>
      <c r="AM103" s="172"/>
      <c r="AN103" s="172"/>
      <c r="AO103" s="172"/>
      <c r="AP103" s="172"/>
      <c r="AQ103" s="172"/>
      <c r="AR103" s="172"/>
      <c r="AS103" s="172"/>
    </row>
    <row r="104" spans="1:45" s="35" customFormat="1">
      <c r="A104" s="195" t="s">
        <v>409</v>
      </c>
      <c r="B104" s="47">
        <v>0</v>
      </c>
      <c r="C104" s="365">
        <v>0</v>
      </c>
      <c r="D104" s="75" t="s">
        <v>219</v>
      </c>
      <c r="E104" s="195"/>
      <c r="F104" s="43" t="s">
        <v>405</v>
      </c>
      <c r="G104" s="44">
        <f>$C110</f>
        <v>0</v>
      </c>
      <c r="H104" s="91" t="s">
        <v>443</v>
      </c>
      <c r="I104" s="229"/>
      <c r="J104" s="229"/>
      <c r="K104" s="229"/>
      <c r="L104" s="229"/>
      <c r="M104" s="195"/>
      <c r="N104" s="195"/>
      <c r="O104" s="407" t="str">
        <f>Region</f>
        <v>FIN</v>
      </c>
      <c r="P104" s="426">
        <f>INDEX(P98:P103,RegIndex)</f>
        <v>0</v>
      </c>
      <c r="V104" s="171"/>
      <c r="W104" s="172"/>
      <c r="X104" s="172"/>
      <c r="Y104" s="172"/>
      <c r="Z104" s="172"/>
      <c r="AA104" s="172"/>
      <c r="AB104" s="172"/>
      <c r="AC104" s="172"/>
      <c r="AD104" s="172"/>
      <c r="AE104" s="172"/>
      <c r="AF104" s="172"/>
      <c r="AG104" s="172"/>
      <c r="AH104" s="172"/>
      <c r="AI104" s="172"/>
      <c r="AJ104" s="172"/>
      <c r="AK104" s="172"/>
      <c r="AL104" s="172"/>
      <c r="AM104" s="172"/>
      <c r="AN104" s="172"/>
      <c r="AO104" s="172"/>
      <c r="AP104" s="172"/>
      <c r="AQ104" s="172"/>
      <c r="AR104" s="172"/>
      <c r="AS104" s="172"/>
    </row>
    <row r="105" spans="1:45" s="35" customFormat="1">
      <c r="A105" s="195" t="s">
        <v>426</v>
      </c>
      <c r="B105" s="45">
        <v>0.74800109999999997</v>
      </c>
      <c r="C105" s="365">
        <v>0.74800109999999997</v>
      </c>
      <c r="D105" s="76" t="s">
        <v>220</v>
      </c>
      <c r="E105" s="195"/>
      <c r="F105" s="43" t="s">
        <v>588</v>
      </c>
      <c r="G105" s="44">
        <f>$C111+$C112+$C115+$C116</f>
        <v>3.0919992000000005</v>
      </c>
      <c r="H105" s="91" t="s">
        <v>444</v>
      </c>
      <c r="I105" s="229"/>
      <c r="J105" s="229"/>
      <c r="K105" s="229"/>
      <c r="L105" s="229"/>
      <c r="M105" s="195"/>
      <c r="N105" s="195"/>
      <c r="O105" s="195"/>
      <c r="P105" s="195"/>
      <c r="V105" s="171"/>
      <c r="W105" s="172"/>
      <c r="X105" s="172"/>
      <c r="Y105" s="172"/>
      <c r="Z105" s="172"/>
      <c r="AA105" s="172"/>
      <c r="AB105" s="172"/>
      <c r="AC105" s="172"/>
      <c r="AD105" s="172"/>
      <c r="AE105" s="172"/>
      <c r="AF105" s="172"/>
      <c r="AG105" s="172"/>
      <c r="AH105" s="172"/>
      <c r="AI105" s="172"/>
      <c r="AJ105" s="172"/>
      <c r="AK105" s="172"/>
      <c r="AL105" s="172"/>
      <c r="AM105" s="172"/>
      <c r="AN105" s="172"/>
      <c r="AO105" s="172"/>
      <c r="AP105" s="172"/>
      <c r="AQ105" s="172"/>
      <c r="AR105" s="172"/>
      <c r="AS105" s="172"/>
    </row>
    <row r="106" spans="1:45" s="35" customFormat="1">
      <c r="A106" s="205" t="s">
        <v>184</v>
      </c>
      <c r="B106" s="45">
        <v>0</v>
      </c>
      <c r="C106" s="365">
        <v>0</v>
      </c>
      <c r="D106" s="92" t="s">
        <v>647</v>
      </c>
      <c r="E106" s="195"/>
      <c r="F106" s="43" t="s">
        <v>247</v>
      </c>
      <c r="G106" s="44">
        <f>$C117</f>
        <v>46.670576265273411</v>
      </c>
      <c r="H106" s="91" t="s">
        <v>445</v>
      </c>
      <c r="I106" s="229"/>
      <c r="J106" s="229"/>
      <c r="K106" s="229"/>
      <c r="L106" s="229"/>
      <c r="M106" s="195"/>
      <c r="N106" s="195"/>
      <c r="O106" s="195"/>
      <c r="P106" s="195"/>
      <c r="V106" s="171"/>
      <c r="W106" s="172"/>
      <c r="X106" s="172"/>
      <c r="Y106" s="172"/>
      <c r="Z106" s="172"/>
      <c r="AA106" s="172"/>
      <c r="AB106" s="172"/>
      <c r="AC106" s="172"/>
      <c r="AD106" s="172"/>
      <c r="AE106" s="172"/>
      <c r="AF106" s="172"/>
      <c r="AG106" s="172"/>
      <c r="AH106" s="172"/>
      <c r="AI106" s="172"/>
      <c r="AJ106" s="172"/>
      <c r="AK106" s="172"/>
      <c r="AL106" s="172"/>
      <c r="AM106" s="172"/>
      <c r="AN106" s="172"/>
      <c r="AO106" s="172"/>
      <c r="AP106" s="172"/>
      <c r="AQ106" s="172"/>
      <c r="AR106" s="172"/>
      <c r="AS106" s="172"/>
    </row>
    <row r="107" spans="1:45" s="35" customFormat="1">
      <c r="A107" s="205" t="s">
        <v>375</v>
      </c>
      <c r="B107" s="47">
        <v>0</v>
      </c>
      <c r="C107" s="365">
        <v>0</v>
      </c>
      <c r="D107" s="75" t="s">
        <v>437</v>
      </c>
      <c r="E107" s="195"/>
      <c r="F107" s="43" t="s">
        <v>414</v>
      </c>
      <c r="G107" s="44">
        <f>$C118</f>
        <v>29.931480000000001</v>
      </c>
      <c r="H107" s="91" t="s">
        <v>446</v>
      </c>
      <c r="I107" s="229"/>
      <c r="J107" s="229"/>
      <c r="K107" s="229"/>
      <c r="L107" s="229"/>
      <c r="M107" s="195"/>
      <c r="N107" s="195"/>
      <c r="O107" s="195"/>
      <c r="P107" s="195"/>
      <c r="V107" s="171"/>
      <c r="W107" s="172"/>
      <c r="X107" s="172"/>
      <c r="Y107" s="172"/>
      <c r="Z107" s="172"/>
      <c r="AA107" s="172"/>
      <c r="AB107" s="172"/>
      <c r="AC107" s="172"/>
      <c r="AD107" s="172"/>
      <c r="AE107" s="172"/>
      <c r="AF107" s="172"/>
      <c r="AG107" s="172"/>
      <c r="AH107" s="172"/>
      <c r="AI107" s="172"/>
      <c r="AJ107" s="172"/>
      <c r="AK107" s="172"/>
      <c r="AL107" s="172"/>
      <c r="AM107" s="172"/>
      <c r="AN107" s="172"/>
      <c r="AO107" s="172"/>
      <c r="AP107" s="172"/>
      <c r="AQ107" s="172"/>
      <c r="AR107" s="172"/>
      <c r="AS107" s="172"/>
    </row>
    <row r="108" spans="1:45">
      <c r="A108" s="287" t="s">
        <v>376</v>
      </c>
      <c r="B108" s="47">
        <v>9.9201999999999999E-2</v>
      </c>
      <c r="C108" s="365">
        <v>9.9201999999999999E-2</v>
      </c>
      <c r="D108" s="75" t="s">
        <v>438</v>
      </c>
      <c r="E108" s="195"/>
      <c r="F108" s="43" t="s">
        <v>245</v>
      </c>
      <c r="G108" s="425">
        <f>$C119</f>
        <v>0</v>
      </c>
      <c r="H108" s="91" t="s">
        <v>148</v>
      </c>
      <c r="I108" s="195"/>
      <c r="J108" s="195"/>
      <c r="K108" s="195"/>
      <c r="L108" s="195"/>
      <c r="M108" s="195"/>
      <c r="N108" s="195"/>
      <c r="O108" s="195"/>
      <c r="P108" s="195"/>
      <c r="V108" s="171"/>
      <c r="W108" s="172"/>
      <c r="X108" s="172"/>
      <c r="Y108" s="172"/>
      <c r="Z108" s="172"/>
      <c r="AA108" s="172"/>
      <c r="AB108" s="172"/>
      <c r="AC108" s="172"/>
      <c r="AD108" s="172"/>
      <c r="AE108" s="172"/>
      <c r="AF108" s="172"/>
      <c r="AG108" s="172"/>
      <c r="AH108" s="172"/>
      <c r="AI108" s="172"/>
      <c r="AJ108" s="172"/>
      <c r="AK108" s="172"/>
      <c r="AL108" s="172"/>
      <c r="AM108" s="172"/>
      <c r="AN108" s="172"/>
      <c r="AO108" s="172"/>
      <c r="AP108" s="172"/>
      <c r="AQ108" s="172"/>
      <c r="AR108" s="172"/>
      <c r="AS108" s="172"/>
    </row>
    <row r="109" spans="1:45">
      <c r="A109" s="205" t="s">
        <v>185</v>
      </c>
      <c r="B109" s="47">
        <v>0</v>
      </c>
      <c r="C109" s="365">
        <v>0</v>
      </c>
      <c r="D109" s="75" t="s">
        <v>439</v>
      </c>
      <c r="E109" s="195"/>
      <c r="F109" s="43" t="s">
        <v>246</v>
      </c>
      <c r="G109" s="44">
        <f>$C120</f>
        <v>0</v>
      </c>
      <c r="H109" s="91" t="s">
        <v>149</v>
      </c>
      <c r="I109" s="195"/>
      <c r="J109" s="195"/>
      <c r="K109" s="195"/>
      <c r="L109" s="195"/>
      <c r="M109" s="195"/>
      <c r="N109" s="195"/>
      <c r="O109" s="195"/>
      <c r="P109" s="195"/>
      <c r="V109" s="171"/>
      <c r="W109" s="172"/>
      <c r="X109" s="172"/>
      <c r="Y109" s="172"/>
      <c r="Z109" s="172"/>
      <c r="AA109" s="172"/>
      <c r="AB109" s="172"/>
      <c r="AC109" s="172"/>
      <c r="AD109" s="172"/>
      <c r="AE109" s="172"/>
      <c r="AF109" s="172"/>
      <c r="AG109" s="172"/>
      <c r="AH109" s="172"/>
      <c r="AI109" s="172"/>
      <c r="AJ109" s="172"/>
      <c r="AK109" s="172"/>
      <c r="AL109" s="172"/>
      <c r="AM109" s="172"/>
      <c r="AN109" s="172"/>
      <c r="AO109" s="172"/>
      <c r="AP109" s="172"/>
      <c r="AQ109" s="172"/>
      <c r="AR109" s="172"/>
      <c r="AS109" s="172"/>
    </row>
    <row r="110" spans="1:45">
      <c r="A110" s="195" t="s">
        <v>405</v>
      </c>
      <c r="B110" s="47">
        <v>0</v>
      </c>
      <c r="C110" s="365">
        <v>0</v>
      </c>
      <c r="D110" s="75" t="s">
        <v>110</v>
      </c>
      <c r="E110" s="195"/>
      <c r="F110" s="195"/>
      <c r="G110" s="195"/>
      <c r="H110" s="195"/>
      <c r="I110" s="195"/>
      <c r="J110" s="195"/>
      <c r="K110" s="195"/>
      <c r="L110" s="195"/>
      <c r="M110" s="195"/>
      <c r="N110" s="195"/>
      <c r="O110" s="195"/>
      <c r="P110" s="195"/>
      <c r="V110" s="171"/>
      <c r="W110" s="172"/>
      <c r="X110" s="172"/>
      <c r="Y110" s="172"/>
      <c r="Z110" s="172"/>
      <c r="AA110" s="172"/>
      <c r="AB110" s="172"/>
      <c r="AC110" s="172"/>
      <c r="AD110" s="172"/>
      <c r="AE110" s="172"/>
      <c r="AF110" s="172"/>
      <c r="AG110" s="172"/>
      <c r="AH110" s="172"/>
      <c r="AI110" s="172"/>
      <c r="AJ110" s="172"/>
      <c r="AK110" s="172"/>
      <c r="AL110" s="172"/>
      <c r="AM110" s="172"/>
      <c r="AN110" s="172"/>
      <c r="AO110" s="172"/>
      <c r="AP110" s="172"/>
      <c r="AQ110" s="172"/>
      <c r="AR110" s="172"/>
      <c r="AS110" s="172"/>
    </row>
    <row r="111" spans="1:45">
      <c r="A111" s="195" t="s">
        <v>585</v>
      </c>
      <c r="B111" s="47">
        <v>3.0919992000000005</v>
      </c>
      <c r="C111" s="365">
        <v>3.0919992000000005</v>
      </c>
      <c r="D111" s="75" t="s">
        <v>53</v>
      </c>
      <c r="E111" s="195"/>
      <c r="F111" s="195"/>
      <c r="G111" s="195"/>
      <c r="H111" s="195"/>
      <c r="I111" s="195"/>
      <c r="J111" s="195"/>
      <c r="K111" s="195"/>
      <c r="L111" s="195"/>
      <c r="M111" s="195"/>
      <c r="N111" s="195"/>
      <c r="O111" s="195"/>
      <c r="P111" s="195"/>
      <c r="V111" s="171"/>
      <c r="W111" s="172"/>
      <c r="X111" s="172"/>
      <c r="Y111" s="172"/>
      <c r="Z111" s="172"/>
      <c r="AA111" s="172"/>
      <c r="AB111" s="172"/>
      <c r="AC111" s="172"/>
      <c r="AD111" s="172"/>
      <c r="AE111" s="172"/>
      <c r="AF111" s="172"/>
      <c r="AG111" s="172"/>
      <c r="AH111" s="172"/>
      <c r="AI111" s="172"/>
      <c r="AJ111" s="172"/>
      <c r="AK111" s="172"/>
      <c r="AL111" s="172"/>
      <c r="AM111" s="172"/>
      <c r="AN111" s="172"/>
      <c r="AO111" s="172"/>
      <c r="AP111" s="172"/>
      <c r="AQ111" s="172"/>
      <c r="AR111" s="172"/>
      <c r="AS111" s="172"/>
    </row>
    <row r="112" spans="1:45">
      <c r="A112" s="195" t="s">
        <v>586</v>
      </c>
      <c r="B112" s="47">
        <v>0</v>
      </c>
      <c r="C112" s="365">
        <v>0</v>
      </c>
      <c r="D112" s="75" t="s">
        <v>589</v>
      </c>
      <c r="E112" s="195"/>
      <c r="F112" s="195"/>
      <c r="G112" s="195"/>
      <c r="H112" s="195"/>
      <c r="I112" s="195"/>
      <c r="J112" s="195"/>
      <c r="K112" s="195"/>
      <c r="L112" s="195"/>
      <c r="M112" s="195"/>
      <c r="N112" s="195"/>
      <c r="O112" s="195"/>
      <c r="P112" s="195"/>
      <c r="V112" s="171"/>
      <c r="W112" s="172"/>
      <c r="X112" s="172"/>
      <c r="Y112" s="172"/>
      <c r="Z112" s="172"/>
      <c r="AA112" s="172"/>
      <c r="AB112" s="172"/>
      <c r="AC112" s="172"/>
      <c r="AD112" s="172"/>
      <c r="AE112" s="172"/>
      <c r="AF112" s="172"/>
      <c r="AG112" s="172"/>
      <c r="AH112" s="172"/>
      <c r="AI112" s="172"/>
      <c r="AJ112" s="172"/>
      <c r="AK112" s="172"/>
      <c r="AL112" s="172"/>
      <c r="AM112" s="172"/>
      <c r="AN112" s="172"/>
      <c r="AO112" s="172"/>
      <c r="AP112" s="172"/>
      <c r="AQ112" s="172"/>
      <c r="AR112" s="172"/>
      <c r="AS112" s="172"/>
    </row>
    <row r="113" spans="1:45">
      <c r="A113" t="s">
        <v>966</v>
      </c>
      <c r="B113" s="47">
        <v>5.5864500000000004E-2</v>
      </c>
      <c r="C113" s="365">
        <v>5.5864500000000004E-2</v>
      </c>
      <c r="D113" s="75" t="s">
        <v>742</v>
      </c>
      <c r="E113" s="195"/>
      <c r="F113" s="195"/>
      <c r="G113" s="195"/>
      <c r="H113" s="195"/>
      <c r="I113" s="195"/>
      <c r="J113" s="195"/>
      <c r="K113" s="195"/>
      <c r="L113" s="195"/>
      <c r="M113" s="195"/>
      <c r="N113" s="195"/>
      <c r="O113" s="195"/>
      <c r="P113" s="195"/>
      <c r="V113" s="171"/>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row>
    <row r="114" spans="1:45">
      <c r="A114" s="195" t="s">
        <v>967</v>
      </c>
      <c r="B114" s="47">
        <v>0.81699960000000005</v>
      </c>
      <c r="C114" s="365">
        <v>0.81699960000000005</v>
      </c>
      <c r="D114" s="75" t="s">
        <v>43</v>
      </c>
      <c r="E114" s="195"/>
      <c r="F114" s="195"/>
      <c r="G114" s="195"/>
      <c r="H114" s="195"/>
      <c r="I114" s="195"/>
      <c r="J114" s="195"/>
      <c r="K114" s="195"/>
      <c r="L114" s="195"/>
      <c r="M114" s="195"/>
      <c r="N114" s="195"/>
      <c r="O114" s="195"/>
      <c r="P114" s="195"/>
      <c r="V114" s="171"/>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row>
    <row r="115" spans="1:45">
      <c r="A115" s="205" t="s">
        <v>367</v>
      </c>
      <c r="B115" s="47">
        <v>0</v>
      </c>
      <c r="C115" s="365">
        <v>0</v>
      </c>
      <c r="D115" s="75" t="s">
        <v>54</v>
      </c>
      <c r="E115" s="195"/>
      <c r="F115" s="195"/>
      <c r="G115" s="195"/>
      <c r="H115" s="195"/>
      <c r="I115" s="195"/>
      <c r="J115" s="195"/>
      <c r="K115" s="195"/>
      <c r="L115" s="195"/>
      <c r="M115" s="195"/>
      <c r="N115" s="195"/>
      <c r="O115" s="195"/>
      <c r="P115" s="195"/>
      <c r="V115" s="171"/>
      <c r="W115" s="172"/>
      <c r="X115" s="172"/>
      <c r="Y115" s="172"/>
      <c r="Z115" s="172"/>
      <c r="AA115" s="172"/>
      <c r="AB115" s="172"/>
      <c r="AC115" s="172"/>
      <c r="AD115" s="172"/>
      <c r="AE115" s="172"/>
      <c r="AF115" s="172"/>
      <c r="AG115" s="172"/>
      <c r="AH115" s="172"/>
      <c r="AI115" s="172"/>
      <c r="AJ115" s="172"/>
      <c r="AK115" s="172"/>
      <c r="AL115" s="172"/>
      <c r="AM115" s="172"/>
      <c r="AN115" s="172"/>
      <c r="AO115" s="172"/>
      <c r="AP115" s="172"/>
      <c r="AQ115" s="172"/>
      <c r="AR115" s="172"/>
      <c r="AS115" s="172"/>
    </row>
    <row r="116" spans="1:45">
      <c r="A116" s="195" t="s">
        <v>587</v>
      </c>
      <c r="B116" s="47">
        <v>0</v>
      </c>
      <c r="C116" s="365">
        <v>0</v>
      </c>
      <c r="D116" s="75" t="s">
        <v>55</v>
      </c>
      <c r="E116" s="195"/>
      <c r="F116" s="195"/>
      <c r="G116" s="195"/>
      <c r="H116" s="195"/>
      <c r="I116" s="195"/>
      <c r="J116" s="195"/>
      <c r="K116" s="195"/>
      <c r="L116" s="195"/>
      <c r="M116" s="195"/>
      <c r="N116" s="195"/>
      <c r="O116" s="195"/>
      <c r="P116" s="195"/>
      <c r="V116" s="171"/>
      <c r="W116" s="172"/>
      <c r="X116" s="172"/>
      <c r="Y116" s="172"/>
      <c r="Z116" s="172"/>
      <c r="AA116" s="172"/>
      <c r="AB116" s="172"/>
      <c r="AC116" s="172"/>
      <c r="AD116" s="172"/>
      <c r="AE116" s="172"/>
      <c r="AF116" s="172"/>
      <c r="AG116" s="172"/>
      <c r="AH116" s="172"/>
      <c r="AI116" s="172"/>
      <c r="AJ116" s="172"/>
      <c r="AK116" s="172"/>
      <c r="AL116" s="172"/>
      <c r="AM116" s="172"/>
      <c r="AN116" s="172"/>
      <c r="AO116" s="172"/>
      <c r="AP116" s="172"/>
      <c r="AQ116" s="172"/>
      <c r="AR116" s="172"/>
      <c r="AS116" s="172"/>
    </row>
    <row r="117" spans="1:45">
      <c r="A117" s="195" t="s">
        <v>404</v>
      </c>
      <c r="B117" s="47">
        <v>46.670576265273411</v>
      </c>
      <c r="C117" s="365">
        <v>46.670576265273411</v>
      </c>
      <c r="D117" s="75" t="s">
        <v>106</v>
      </c>
      <c r="E117" s="195"/>
      <c r="F117" s="195"/>
      <c r="G117" s="195"/>
      <c r="H117" s="195"/>
      <c r="I117" s="195"/>
      <c r="J117" s="195"/>
      <c r="K117" s="195"/>
      <c r="L117" s="195"/>
      <c r="M117" s="195"/>
      <c r="N117" s="195"/>
      <c r="O117" s="195"/>
      <c r="P117" s="195"/>
      <c r="V117" s="171"/>
      <c r="W117" s="172"/>
      <c r="X117" s="172"/>
      <c r="Y117" s="172"/>
      <c r="Z117" s="172"/>
      <c r="AA117" s="172"/>
      <c r="AB117" s="172"/>
      <c r="AC117" s="172"/>
      <c r="AD117" s="172"/>
      <c r="AE117" s="172"/>
      <c r="AF117" s="172"/>
      <c r="AG117" s="172"/>
      <c r="AH117" s="172"/>
      <c r="AI117" s="172"/>
      <c r="AJ117" s="172"/>
      <c r="AK117" s="172"/>
      <c r="AL117" s="172"/>
      <c r="AM117" s="172"/>
      <c r="AN117" s="172"/>
      <c r="AO117" s="172"/>
      <c r="AP117" s="172"/>
      <c r="AQ117" s="172"/>
      <c r="AR117" s="172"/>
      <c r="AS117" s="172"/>
    </row>
    <row r="118" spans="1:45">
      <c r="A118" s="195" t="s">
        <v>408</v>
      </c>
      <c r="B118" s="45">
        <v>29.931480000000001</v>
      </c>
      <c r="C118" s="365">
        <v>29.931480000000001</v>
      </c>
      <c r="D118" s="75" t="s">
        <v>573</v>
      </c>
      <c r="E118" s="195"/>
      <c r="F118" s="195"/>
      <c r="G118" s="195"/>
      <c r="H118" s="195"/>
      <c r="I118" s="195"/>
      <c r="J118" s="195"/>
      <c r="K118" s="211"/>
      <c r="L118" s="198" t="s">
        <v>250</v>
      </c>
      <c r="M118" s="195"/>
      <c r="N118" s="195"/>
      <c r="O118" s="195"/>
      <c r="P118" s="195"/>
      <c r="V118" s="171"/>
      <c r="W118" s="172"/>
      <c r="X118" s="172"/>
      <c r="Y118" s="172"/>
      <c r="Z118" s="172"/>
      <c r="AA118" s="172"/>
      <c r="AB118" s="172"/>
      <c r="AC118" s="172"/>
      <c r="AD118" s="172"/>
      <c r="AE118" s="172"/>
      <c r="AF118" s="172"/>
      <c r="AG118" s="172"/>
      <c r="AH118" s="172"/>
      <c r="AI118" s="172"/>
      <c r="AJ118" s="172"/>
      <c r="AK118" s="172"/>
      <c r="AL118" s="172"/>
      <c r="AM118" s="172"/>
      <c r="AN118" s="172"/>
      <c r="AO118" s="172"/>
      <c r="AP118" s="172"/>
      <c r="AQ118" s="172"/>
      <c r="AR118" s="172"/>
      <c r="AS118" s="172"/>
    </row>
    <row r="119" spans="1:45">
      <c r="A119" s="195" t="s">
        <v>578</v>
      </c>
      <c r="B119" s="45">
        <v>0</v>
      </c>
      <c r="C119" s="365">
        <v>0</v>
      </c>
      <c r="D119" s="75" t="s">
        <v>579</v>
      </c>
      <c r="E119" s="195"/>
      <c r="F119" s="195"/>
      <c r="G119" s="195"/>
      <c r="H119" s="195"/>
      <c r="I119" s="195"/>
      <c r="J119" s="195"/>
      <c r="K119" s="211"/>
      <c r="L119" s="198"/>
      <c r="M119" s="195"/>
      <c r="N119" s="195"/>
      <c r="O119" s="195"/>
      <c r="P119" s="195"/>
      <c r="V119" s="171"/>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row>
    <row r="120" spans="1:45">
      <c r="A120" s="195" t="s">
        <v>602</v>
      </c>
      <c r="B120" s="45">
        <v>0</v>
      </c>
      <c r="C120" s="365">
        <v>0</v>
      </c>
      <c r="D120" s="75" t="s">
        <v>580</v>
      </c>
      <c r="E120" s="195"/>
      <c r="F120" s="195"/>
      <c r="G120" s="195"/>
      <c r="H120" s="195"/>
      <c r="I120" s="195"/>
      <c r="J120" s="195"/>
      <c r="K120" s="211"/>
      <c r="L120" s="198"/>
      <c r="M120" s="195"/>
      <c r="N120" s="195"/>
      <c r="O120" s="195"/>
      <c r="P120" s="195"/>
      <c r="V120" s="171"/>
      <c r="W120" s="172"/>
      <c r="X120" s="172"/>
      <c r="Y120" s="172"/>
      <c r="Z120" s="172"/>
      <c r="AA120" s="172"/>
      <c r="AB120" s="172"/>
      <c r="AC120" s="172"/>
      <c r="AD120" s="172"/>
      <c r="AE120" s="172"/>
      <c r="AF120" s="172"/>
      <c r="AG120" s="172"/>
      <c r="AH120" s="172"/>
      <c r="AI120" s="172"/>
      <c r="AJ120" s="172"/>
      <c r="AK120" s="172"/>
      <c r="AL120" s="172"/>
      <c r="AM120" s="172"/>
      <c r="AN120" s="172"/>
      <c r="AO120" s="172"/>
      <c r="AP120" s="172"/>
      <c r="AQ120" s="172"/>
      <c r="AR120" s="172"/>
      <c r="AS120" s="172"/>
    </row>
    <row r="121" spans="1:45">
      <c r="A121" s="195" t="s">
        <v>406</v>
      </c>
      <c r="B121" s="47">
        <v>92.00281845005793</v>
      </c>
      <c r="C121" s="202">
        <v>92.00281845005793</v>
      </c>
      <c r="D121" s="356">
        <f>(B121-C121)/B121</f>
        <v>0</v>
      </c>
      <c r="E121" s="195"/>
      <c r="F121" s="195"/>
      <c r="G121" s="195"/>
      <c r="H121" s="195"/>
      <c r="I121" s="195"/>
      <c r="J121" s="195"/>
      <c r="K121" s="211"/>
      <c r="L121" s="198"/>
      <c r="M121" s="195"/>
      <c r="N121" s="195"/>
      <c r="O121" s="195"/>
      <c r="P121" s="195"/>
    </row>
    <row r="122" spans="1:45">
      <c r="A122" s="195"/>
      <c r="B122" s="47"/>
      <c r="C122" s="202"/>
      <c r="D122" s="356"/>
      <c r="E122" s="195"/>
      <c r="F122" s="195"/>
      <c r="G122" s="195"/>
      <c r="H122" s="195"/>
      <c r="I122" s="195"/>
      <c r="J122" s="195"/>
      <c r="K122" s="211"/>
      <c r="L122" s="198"/>
      <c r="M122" s="195"/>
      <c r="N122" s="195"/>
      <c r="O122" s="195"/>
      <c r="P122" s="195"/>
    </row>
    <row r="123" spans="1:45">
      <c r="A123" s="195"/>
      <c r="B123" s="195"/>
      <c r="C123" s="195"/>
      <c r="D123" s="195"/>
      <c r="E123" s="195"/>
      <c r="F123" s="195"/>
      <c r="G123" s="195"/>
      <c r="H123" s="195"/>
      <c r="I123" s="195"/>
      <c r="J123" s="195"/>
      <c r="K123" s="211"/>
      <c r="L123" s="198"/>
      <c r="M123" s="195"/>
      <c r="N123" s="195"/>
      <c r="O123" s="195"/>
      <c r="P123" s="195"/>
    </row>
    <row r="124" spans="1:45" ht="18">
      <c r="A124" s="131" t="s">
        <v>526</v>
      </c>
      <c r="B124" s="98"/>
      <c r="C124" s="98"/>
      <c r="D124" s="98"/>
      <c r="E124" s="98"/>
      <c r="F124" s="98"/>
      <c r="G124" s="98"/>
      <c r="H124" s="181" t="s">
        <v>522</v>
      </c>
      <c r="I124" s="182"/>
      <c r="J124" s="182"/>
      <c r="K124" s="211"/>
      <c r="L124" s="198"/>
      <c r="M124" s="195"/>
      <c r="N124" s="195"/>
      <c r="O124" s="195"/>
      <c r="P124" s="195"/>
      <c r="Q124" s="9"/>
      <c r="V124" s="171"/>
    </row>
    <row r="125" spans="1:45" s="35" customFormat="1" ht="22.5">
      <c r="A125" s="236"/>
      <c r="B125" s="235" t="s">
        <v>213</v>
      </c>
      <c r="C125" s="235" t="s">
        <v>105</v>
      </c>
      <c r="D125" s="235" t="s">
        <v>179</v>
      </c>
      <c r="E125" s="235" t="s">
        <v>104</v>
      </c>
      <c r="F125" s="235" t="s">
        <v>180</v>
      </c>
      <c r="G125" s="235" t="s">
        <v>181</v>
      </c>
      <c r="H125" s="237" t="s">
        <v>72</v>
      </c>
      <c r="I125" s="237" t="s">
        <v>216</v>
      </c>
      <c r="J125" s="235"/>
      <c r="K125" s="229"/>
      <c r="L125" s="198"/>
      <c r="M125" s="195"/>
      <c r="N125" s="195"/>
      <c r="O125" s="195"/>
      <c r="P125" s="195"/>
      <c r="V125" s="171"/>
      <c r="W125" s="172"/>
      <c r="X125" s="172"/>
      <c r="Y125" s="172"/>
      <c r="Z125" s="172"/>
      <c r="AA125" s="172"/>
      <c r="AB125" s="172"/>
      <c r="AC125" s="172"/>
      <c r="AD125" s="172"/>
      <c r="AE125" s="172"/>
      <c r="AF125" s="172"/>
      <c r="AG125" s="172"/>
      <c r="AH125" s="172"/>
      <c r="AI125" s="172"/>
      <c r="AJ125" s="172"/>
      <c r="AK125" s="172"/>
      <c r="AL125" s="172"/>
      <c r="AM125" s="172"/>
      <c r="AN125" s="172"/>
      <c r="AO125" s="172"/>
      <c r="AP125" s="172"/>
      <c r="AQ125" s="172"/>
      <c r="AR125" s="172"/>
      <c r="AS125" s="172"/>
    </row>
    <row r="126" spans="1:45">
      <c r="A126" s="195"/>
      <c r="B126" s="262" t="s">
        <v>214</v>
      </c>
      <c r="C126" s="262" t="s">
        <v>610</v>
      </c>
      <c r="D126" s="262" t="s">
        <v>235</v>
      </c>
      <c r="E126" s="262" t="s">
        <v>103</v>
      </c>
      <c r="F126" s="262" t="s">
        <v>71</v>
      </c>
      <c r="G126" s="262" t="s">
        <v>70</v>
      </c>
      <c r="H126" s="262" t="s">
        <v>482</v>
      </c>
      <c r="I126" s="262" t="s">
        <v>215</v>
      </c>
      <c r="J126" s="205" t="s">
        <v>248</v>
      </c>
      <c r="K126" s="195"/>
      <c r="L126" s="198"/>
      <c r="M126" s="195"/>
      <c r="N126" s="195"/>
      <c r="O126" s="195"/>
      <c r="P126" s="195"/>
      <c r="V126" s="171"/>
      <c r="W126" s="172"/>
      <c r="X126" s="172"/>
      <c r="Y126" s="172"/>
      <c r="Z126" s="172"/>
      <c r="AA126" s="172"/>
      <c r="AB126" s="172"/>
      <c r="AC126" s="172"/>
      <c r="AD126" s="172"/>
      <c r="AE126" s="172"/>
      <c r="AF126" s="172"/>
      <c r="AG126" s="172"/>
      <c r="AH126" s="172"/>
      <c r="AI126" s="172"/>
      <c r="AJ126" s="172"/>
      <c r="AK126" s="172"/>
      <c r="AL126" s="172"/>
      <c r="AM126" s="172"/>
      <c r="AN126" s="172"/>
      <c r="AO126" s="172"/>
      <c r="AP126" s="172"/>
      <c r="AQ126" s="172"/>
      <c r="AR126" s="172"/>
      <c r="AS126" s="172"/>
    </row>
    <row r="127" spans="1:45">
      <c r="A127" s="211" t="s">
        <v>244</v>
      </c>
      <c r="B127" s="77">
        <f t="shared" ref="B127:B137" ca="1" si="30">1-SUM(C127:I127)</f>
        <v>0.72</v>
      </c>
      <c r="C127" s="41">
        <f ca="1">SUMIF(OFFSET(CalibData!$M$3,1,0,$Q$2),ROW()+COLUMN()/100,OFFSET(CalibData!$O$3,1,0,$Q$2))</f>
        <v>0</v>
      </c>
      <c r="D127" s="41">
        <f ca="1">SUMIF(OFFSET(CalibData!$M$3,1,0,$Q$2),ROW()+COLUMN()/100,OFFSET(CalibData!$O$3,1,0,$Q$2))</f>
        <v>0.18</v>
      </c>
      <c r="E127" s="227">
        <v>0</v>
      </c>
      <c r="F127" s="41">
        <f ca="1">SUMIF(OFFSET(CalibData!$M$3,1,0,$Q$2),ROW()+COLUMN()/100,OFFSET(CalibData!$O$3,1,0,$Q$2))</f>
        <v>0.1</v>
      </c>
      <c r="G127" s="227"/>
      <c r="H127" s="227"/>
      <c r="I127" s="41">
        <f ca="1">SUMIF(OFFSET(CalibData!$M$3,1,0,$Q$2),ROW()+COLUMN()/100,OFFSET(CalibData!$O$3,1,0,$Q$2))</f>
        <v>0</v>
      </c>
      <c r="J127" s="212">
        <f t="shared" ref="J127:J137" ca="1" si="31">SUM(B127:I127)</f>
        <v>0.99999999999999989</v>
      </c>
      <c r="K127" s="220" t="str">
        <f t="shared" ref="K127:K137" ca="1" si="32">IF(G99&gt;0,IF(J127&lt;&gt;1,"ERROR",""),"")</f>
        <v/>
      </c>
      <c r="L127" s="198"/>
      <c r="M127" s="195"/>
      <c r="N127" s="195"/>
      <c r="O127" s="195"/>
      <c r="P127" s="195"/>
      <c r="V127" s="171"/>
      <c r="W127" s="172"/>
      <c r="X127" s="172"/>
      <c r="Y127" s="172"/>
      <c r="Z127" s="172"/>
      <c r="AA127" s="172"/>
      <c r="AB127" s="172"/>
      <c r="AC127" s="172"/>
      <c r="AD127" s="172"/>
      <c r="AE127" s="172"/>
      <c r="AF127" s="172"/>
      <c r="AG127" s="172"/>
      <c r="AH127" s="172"/>
      <c r="AI127" s="172"/>
      <c r="AJ127" s="172"/>
      <c r="AK127" s="172"/>
      <c r="AL127" s="172"/>
      <c r="AM127" s="172"/>
      <c r="AN127" s="172"/>
      <c r="AO127" s="172"/>
      <c r="AP127" s="172"/>
      <c r="AQ127" s="172"/>
      <c r="AR127" s="172"/>
      <c r="AS127" s="172"/>
    </row>
    <row r="128" spans="1:45">
      <c r="A128" s="211" t="s">
        <v>663</v>
      </c>
      <c r="B128" s="77">
        <f t="shared" ca="1" si="30"/>
        <v>0.75071175815057944</v>
      </c>
      <c r="C128" s="41">
        <f ca="1">SUMIF(OFFSET(CalibData!$M$3,1,0,$Q$2),ROW()+COLUMN()/100,OFFSET(CalibData!$O$3,1,0,$Q$2))</f>
        <v>0</v>
      </c>
      <c r="D128" s="41">
        <f ca="1">SUMIF(OFFSET(CalibData!$M$3,1,0,$Q$2),ROW()+COLUMN()/100,OFFSET(CalibData!$O$3,1,0,$Q$2))</f>
        <v>0.18767793953764489</v>
      </c>
      <c r="E128" s="227">
        <v>0</v>
      </c>
      <c r="F128" s="41">
        <f ca="1">SUMIF(OFFSET(CalibData!$M$3,1,0,$Q$2),ROW()+COLUMN()/100,OFFSET(CalibData!$O$3,1,0,$Q$2))</f>
        <v>0</v>
      </c>
      <c r="G128" s="227"/>
      <c r="H128" s="227"/>
      <c r="I128" s="41">
        <f ca="1">SUMIF(OFFSET(CalibData!$M$3,1,0,$Q$2),ROW()+COLUMN()/100,OFFSET(CalibData!$O$3,1,0,$Q$2))</f>
        <v>6.1610302311775667E-2</v>
      </c>
      <c r="J128" s="212">
        <f t="shared" ca="1" si="31"/>
        <v>1</v>
      </c>
      <c r="K128" s="220" t="str">
        <f t="shared" ca="1" si="32"/>
        <v/>
      </c>
      <c r="L128" s="198"/>
      <c r="M128" s="195"/>
      <c r="N128" s="195"/>
      <c r="O128" s="195"/>
      <c r="P128" s="195"/>
      <c r="V128" s="171"/>
      <c r="W128" s="172"/>
      <c r="X128" s="172"/>
      <c r="Y128" s="172"/>
      <c r="Z128" s="172"/>
      <c r="AA128" s="172"/>
      <c r="AB128" s="172"/>
      <c r="AC128" s="172"/>
      <c r="AD128" s="172"/>
      <c r="AE128" s="172"/>
      <c r="AF128" s="172"/>
      <c r="AG128" s="172"/>
      <c r="AH128" s="172"/>
      <c r="AI128" s="172"/>
      <c r="AJ128" s="172"/>
      <c r="AK128" s="172"/>
      <c r="AL128" s="172"/>
      <c r="AM128" s="172"/>
      <c r="AN128" s="172"/>
      <c r="AO128" s="172"/>
      <c r="AP128" s="172"/>
      <c r="AQ128" s="172"/>
      <c r="AR128" s="172"/>
      <c r="AS128" s="172"/>
    </row>
    <row r="129" spans="1:45">
      <c r="A129" s="211" t="s">
        <v>87</v>
      </c>
      <c r="B129" s="77">
        <f t="shared" ca="1" si="30"/>
        <v>0.8</v>
      </c>
      <c r="C129" s="227"/>
      <c r="D129" s="41">
        <f ca="1">SUMIF(OFFSET(CalibData!$M$3,1,0,$Q$2),ROW()+COLUMN()/100,OFFSET(CalibData!$O$3,1,0,$Q$2))</f>
        <v>0.2</v>
      </c>
      <c r="E129" s="227"/>
      <c r="F129" s="227"/>
      <c r="G129" s="227"/>
      <c r="H129" s="227"/>
      <c r="I129" s="227"/>
      <c r="J129" s="212">
        <f t="shared" ca="1" si="31"/>
        <v>1</v>
      </c>
      <c r="K129" s="220" t="str">
        <f t="shared" ca="1" si="32"/>
        <v/>
      </c>
      <c r="L129" s="198"/>
      <c r="M129" s="195"/>
      <c r="N129" s="195"/>
      <c r="O129" s="195"/>
      <c r="P129" s="195"/>
      <c r="V129" s="171"/>
      <c r="W129" s="172"/>
      <c r="X129" s="172"/>
      <c r="Y129" s="172"/>
      <c r="Z129" s="172"/>
      <c r="AA129" s="172"/>
      <c r="AB129" s="172"/>
      <c r="AC129" s="172"/>
      <c r="AD129" s="172"/>
      <c r="AE129" s="172"/>
      <c r="AF129" s="172"/>
      <c r="AG129" s="172"/>
      <c r="AH129" s="172"/>
      <c r="AI129" s="172"/>
      <c r="AJ129" s="172"/>
      <c r="AK129" s="172"/>
      <c r="AL129" s="172"/>
      <c r="AM129" s="172"/>
      <c r="AN129" s="172"/>
      <c r="AO129" s="172"/>
      <c r="AP129" s="172"/>
      <c r="AQ129" s="172"/>
      <c r="AR129" s="172"/>
      <c r="AS129" s="172"/>
    </row>
    <row r="130" spans="1:45">
      <c r="A130" s="211" t="s">
        <v>576</v>
      </c>
      <c r="B130" s="77">
        <f t="shared" ca="1" si="30"/>
        <v>0.8</v>
      </c>
      <c r="C130" s="227"/>
      <c r="D130" s="41">
        <f ca="1">SUMIF(OFFSET(CalibData!$M$3,1,0,$Q$2),ROW()+COLUMN()/100,OFFSET(CalibData!$O$3,1,0,$Q$2))</f>
        <v>0.2</v>
      </c>
      <c r="E130" s="41">
        <f ca="1">SUMIF(OFFSET(CalibData!$M$3,1,0,$Q$2),ROW()+COLUMN()/100,OFFSET(CalibData!$O$3,1,0,$Q$2))</f>
        <v>0</v>
      </c>
      <c r="F130" s="41">
        <f ca="1">SUMIF(OFFSET(CalibData!$M$3,1,0,$Q$2),ROW()+COLUMN()/100,OFFSET(CalibData!$O$3,1,0,$Q$2))</f>
        <v>0</v>
      </c>
      <c r="G130" s="227"/>
      <c r="H130" s="227"/>
      <c r="I130" s="227"/>
      <c r="J130" s="212">
        <f t="shared" ca="1" si="31"/>
        <v>1</v>
      </c>
      <c r="K130" s="220" t="str">
        <f t="shared" si="32"/>
        <v/>
      </c>
      <c r="L130" s="198"/>
      <c r="M130" s="195"/>
      <c r="N130" s="195"/>
      <c r="O130" s="195"/>
      <c r="P130" s="195"/>
      <c r="V130" s="171"/>
      <c r="W130" s="172"/>
      <c r="X130" s="172"/>
      <c r="Y130" s="172"/>
      <c r="Z130" s="172"/>
      <c r="AA130" s="172"/>
      <c r="AB130" s="172"/>
      <c r="AC130" s="172"/>
      <c r="AD130" s="172"/>
      <c r="AE130" s="172"/>
      <c r="AF130" s="172"/>
      <c r="AG130" s="172"/>
      <c r="AH130" s="172"/>
      <c r="AI130" s="172"/>
      <c r="AJ130" s="172"/>
      <c r="AK130" s="172"/>
      <c r="AL130" s="172"/>
      <c r="AM130" s="172"/>
      <c r="AN130" s="172"/>
      <c r="AO130" s="172"/>
      <c r="AP130" s="172"/>
      <c r="AQ130" s="172"/>
      <c r="AR130" s="172"/>
      <c r="AS130" s="172"/>
    </row>
    <row r="131" spans="1:45">
      <c r="A131" s="211" t="s">
        <v>412</v>
      </c>
      <c r="B131" s="77">
        <f t="shared" ca="1" si="30"/>
        <v>0.8</v>
      </c>
      <c r="C131" s="227"/>
      <c r="D131" s="41">
        <f ca="1">SUMIF(OFFSET(CalibData!$M$3,1,0,$Q$2),ROW()+COLUMN()/100,OFFSET(CalibData!$O$3,1,0,$Q$2))</f>
        <v>0.2</v>
      </c>
      <c r="E131" s="227"/>
      <c r="F131" s="41">
        <f ca="1">SUMIF(OFFSET(CalibData!$M$3,1,0,$Q$2),ROW()+COLUMN()/100,OFFSET(CalibData!$O$3,1,0,$Q$2))</f>
        <v>0</v>
      </c>
      <c r="G131" s="227"/>
      <c r="H131" s="227"/>
      <c r="I131" s="227"/>
      <c r="J131" s="212">
        <f t="shared" ca="1" si="31"/>
        <v>1</v>
      </c>
      <c r="K131" s="220" t="str">
        <f t="shared" ca="1" si="32"/>
        <v/>
      </c>
      <c r="L131" s="198"/>
      <c r="M131" s="195"/>
      <c r="N131" s="195"/>
      <c r="O131" s="195"/>
      <c r="P131" s="195"/>
      <c r="V131" s="171"/>
      <c r="W131" s="172"/>
      <c r="X131" s="172"/>
      <c r="Y131" s="172"/>
      <c r="Z131" s="172"/>
      <c r="AA131" s="172"/>
      <c r="AB131" s="172"/>
      <c r="AC131" s="172"/>
      <c r="AD131" s="172"/>
      <c r="AE131" s="172"/>
      <c r="AF131" s="172"/>
      <c r="AG131" s="172"/>
      <c r="AH131" s="172"/>
      <c r="AI131" s="172"/>
      <c r="AJ131" s="172"/>
      <c r="AK131" s="172"/>
      <c r="AL131" s="172"/>
      <c r="AM131" s="172"/>
      <c r="AN131" s="172"/>
      <c r="AO131" s="172"/>
      <c r="AP131" s="172"/>
      <c r="AQ131" s="172"/>
      <c r="AR131" s="172"/>
      <c r="AS131" s="172"/>
    </row>
    <row r="132" spans="1:45">
      <c r="A132" s="211" t="s">
        <v>212</v>
      </c>
      <c r="B132" s="77">
        <f t="shared" ca="1" si="30"/>
        <v>0.44999999999999996</v>
      </c>
      <c r="C132" s="227">
        <v>0</v>
      </c>
      <c r="D132" s="41">
        <f ca="1">SUMIF(OFFSET(CalibData!$M$3,1,0,$Q$2),ROW()+COLUMN()/100,OFFSET(CalibData!$O$3,1,0,$Q$2))</f>
        <v>0.3</v>
      </c>
      <c r="E132" s="227"/>
      <c r="F132" s="41">
        <f ca="1">SUMIF(OFFSET(CalibData!$M$3,1,0,$Q$2),ROW()+COLUMN()/100,OFFSET(CalibData!$O$3,1,0,$Q$2))</f>
        <v>0.25</v>
      </c>
      <c r="G132" s="227"/>
      <c r="H132" s="227"/>
      <c r="I132" s="227"/>
      <c r="J132" s="212">
        <f t="shared" ca="1" si="31"/>
        <v>1</v>
      </c>
      <c r="K132" s="220" t="str">
        <f t="shared" si="32"/>
        <v/>
      </c>
      <c r="L132" s="198"/>
      <c r="M132" s="195"/>
      <c r="N132" s="195"/>
      <c r="O132" s="195"/>
      <c r="P132" s="195"/>
      <c r="V132" s="171"/>
      <c r="W132" s="172"/>
      <c r="X132" s="172"/>
      <c r="Y132" s="172"/>
      <c r="Z132" s="172"/>
      <c r="AA132" s="172"/>
      <c r="AB132" s="172"/>
      <c r="AC132" s="172"/>
      <c r="AD132" s="172"/>
      <c r="AE132" s="172"/>
      <c r="AF132" s="172"/>
      <c r="AG132" s="172"/>
      <c r="AH132" s="172"/>
      <c r="AI132" s="172"/>
      <c r="AJ132" s="172"/>
      <c r="AK132" s="172"/>
      <c r="AL132" s="172"/>
      <c r="AM132" s="172"/>
      <c r="AN132" s="172"/>
      <c r="AO132" s="172"/>
      <c r="AP132" s="172"/>
      <c r="AQ132" s="172"/>
      <c r="AR132" s="172"/>
      <c r="AS132" s="172"/>
    </row>
    <row r="133" spans="1:45">
      <c r="A133" s="211" t="s">
        <v>588</v>
      </c>
      <c r="B133" s="77">
        <f t="shared" ca="1" si="30"/>
        <v>1</v>
      </c>
      <c r="C133" s="227"/>
      <c r="D133" s="41">
        <f ca="1">SUMIF(OFFSET(CalibData!$M$3,1,0,$Q$2),ROW()+COLUMN()/100,OFFSET(CalibData!$O$3,1,0,$Q$2))</f>
        <v>0</v>
      </c>
      <c r="E133" s="227"/>
      <c r="F133" s="41">
        <f ca="1">SUMIF(OFFSET(CalibData!$M$3,1,0,$Q$2),ROW()+COLUMN()/100,OFFSET(CalibData!$O$3,1,0,$Q$2))</f>
        <v>0</v>
      </c>
      <c r="G133" s="227"/>
      <c r="H133" s="227"/>
      <c r="I133" s="227"/>
      <c r="J133" s="212">
        <f t="shared" ca="1" si="31"/>
        <v>1</v>
      </c>
      <c r="K133" s="220" t="str">
        <f t="shared" ca="1" si="32"/>
        <v/>
      </c>
      <c r="L133" s="198"/>
      <c r="M133" s="195"/>
      <c r="N133" s="195"/>
      <c r="O133" s="195"/>
      <c r="P133" s="195"/>
      <c r="V133" s="171"/>
      <c r="W133" s="172"/>
      <c r="X133" s="172"/>
      <c r="Y133" s="172"/>
      <c r="Z133" s="172"/>
      <c r="AA133" s="172"/>
      <c r="AB133" s="172"/>
      <c r="AC133" s="172"/>
      <c r="AD133" s="172"/>
      <c r="AE133" s="172"/>
      <c r="AF133" s="172"/>
      <c r="AG133" s="172"/>
      <c r="AH133" s="172"/>
      <c r="AI133" s="172"/>
      <c r="AJ133" s="172"/>
      <c r="AK133" s="172"/>
      <c r="AL133" s="172"/>
      <c r="AM133" s="172"/>
      <c r="AN133" s="172"/>
      <c r="AO133" s="172"/>
      <c r="AP133" s="172"/>
      <c r="AQ133" s="172"/>
      <c r="AR133" s="172"/>
      <c r="AS133" s="172"/>
    </row>
    <row r="134" spans="1:45">
      <c r="A134" s="211" t="s">
        <v>247</v>
      </c>
      <c r="B134" s="77">
        <f t="shared" ca="1" si="30"/>
        <v>0.11677143389858347</v>
      </c>
      <c r="C134" s="41">
        <f ca="1">SUMIF(OFFSET(CalibData!$M$3,1,0,$Q$2),ROW()+COLUMN()/100,OFFSET(CalibData!$O$3,1,0,$Q$2))</f>
        <v>3.8944028267780741E-2</v>
      </c>
      <c r="D134" s="41">
        <f ca="1">SUMIF(OFFSET(CalibData!$M$3,1,0,$Q$2),ROW()+COLUMN()/100,OFFSET(CalibData!$O$3,1,0,$Q$2))</f>
        <v>2.9192858474645863E-2</v>
      </c>
      <c r="E134" s="41">
        <f ca="1">SUMIF(OFFSET(CalibData!$M$3,1,0,$Q$2),ROW()+COLUMN()/100,OFFSET(CalibData!$O$3,1,0,$Q$2))</f>
        <v>0.2732914264405667</v>
      </c>
      <c r="F134" s="41">
        <f ca="1">SUMIF(OFFSET(CalibData!$M$3,1,0,$Q$2),ROW()+COLUMN()/100,OFFSET(CalibData!$O$3,1,0,$Q$2))</f>
        <v>0.04</v>
      </c>
      <c r="G134" s="41">
        <f ca="1">SUMIF(OFFSET(CalibData!$M$3,1,0,$Q$2),ROW()+COLUMN()/100,OFFSET(CalibData!$O$3,1,0,$Q$2))</f>
        <v>7.0000000000000007E-2</v>
      </c>
      <c r="H134" s="41">
        <f ca="1">SUMIF(OFFSET(CalibData!$M$3,1,0,$Q$2),ROW()+COLUMN()/100,OFFSET(CalibData!$O$3,1,0,$Q$2))</f>
        <v>6.8410732335095203E-2</v>
      </c>
      <c r="I134" s="41">
        <f ca="1">SUMIF(OFFSET(CalibData!$M$3,1,0,$Q$2),ROW()+COLUMN()/100,OFFSET(CalibData!$O$3,1,0,$Q$2))</f>
        <v>0.36338952058332807</v>
      </c>
      <c r="J134" s="212">
        <f t="shared" ca="1" si="31"/>
        <v>1</v>
      </c>
      <c r="K134" s="220" t="str">
        <f t="shared" ca="1" si="32"/>
        <v/>
      </c>
      <c r="L134" s="198"/>
      <c r="M134" s="195"/>
      <c r="N134" s="195"/>
      <c r="O134" s="195"/>
      <c r="P134" s="195"/>
    </row>
    <row r="135" spans="1:45">
      <c r="A135" s="211" t="s">
        <v>414</v>
      </c>
      <c r="B135" s="77">
        <f t="shared" ca="1" si="30"/>
        <v>0.79687285760677384</v>
      </c>
      <c r="C135" s="41">
        <f ca="1">SUMIF(OFFSET(CalibData!$M$3,1,0,$Q$2),ROW()+COLUMN()/100,OFFSET(CalibData!$O$3,1,0,$Q$2))</f>
        <v>3.1271423932261286E-3</v>
      </c>
      <c r="D135" s="41">
        <f ca="1">SUMIF(OFFSET(CalibData!$M$3,1,0,$Q$2),ROW()+COLUMN()/100,OFFSET(CalibData!$O$3,1,0,$Q$2))</f>
        <v>0.2</v>
      </c>
      <c r="E135" s="227"/>
      <c r="F135" s="227"/>
      <c r="G135" s="227"/>
      <c r="H135" s="227"/>
      <c r="I135" s="227"/>
      <c r="J135" s="212">
        <f t="shared" ca="1" si="31"/>
        <v>1</v>
      </c>
      <c r="K135" s="220" t="str">
        <f t="shared" ca="1" si="32"/>
        <v/>
      </c>
      <c r="L135" s="198"/>
      <c r="M135" s="195"/>
      <c r="N135" s="195"/>
      <c r="O135" s="195"/>
      <c r="P135" s="195"/>
      <c r="V135" s="171"/>
    </row>
    <row r="136" spans="1:45">
      <c r="A136" s="211" t="s">
        <v>245</v>
      </c>
      <c r="B136" s="77">
        <f t="shared" ca="1" si="30"/>
        <v>0.5</v>
      </c>
      <c r="C136" s="41">
        <f ca="1">SUMIF(OFFSET(CalibData!$M$3,1,0,$Q$2),ROW()+COLUMN()/100,OFFSET(CalibData!$O$3,1,0,$Q$2))</f>
        <v>0.5</v>
      </c>
      <c r="D136" s="41">
        <f ca="1">SUMIF(OFFSET(CalibData!$M$3,1,0,$Q$2),ROW()+COLUMN()/100,OFFSET(CalibData!$O$3,1,0,$Q$2))</f>
        <v>0</v>
      </c>
      <c r="E136" s="227"/>
      <c r="F136" s="227"/>
      <c r="G136" s="227"/>
      <c r="H136" s="227"/>
      <c r="I136" s="227"/>
      <c r="J136" s="212">
        <f t="shared" ca="1" si="31"/>
        <v>1</v>
      </c>
      <c r="K136" s="220" t="str">
        <f t="shared" si="32"/>
        <v/>
      </c>
      <c r="L136" s="198"/>
      <c r="M136" s="195"/>
      <c r="N136" s="195"/>
      <c r="O136" s="195"/>
      <c r="P136" s="195"/>
      <c r="V136" s="171"/>
      <c r="W136" s="172"/>
      <c r="X136" s="172"/>
      <c r="Y136" s="172"/>
      <c r="Z136" s="172"/>
      <c r="AA136" s="172"/>
      <c r="AB136" s="172"/>
      <c r="AC136" s="172"/>
      <c r="AD136" s="172"/>
      <c r="AE136" s="172"/>
      <c r="AF136" s="172"/>
      <c r="AG136" s="172"/>
      <c r="AH136" s="172"/>
      <c r="AI136" s="172"/>
      <c r="AJ136" s="172"/>
      <c r="AK136" s="172"/>
      <c r="AL136" s="172"/>
      <c r="AM136" s="172"/>
      <c r="AN136" s="172"/>
      <c r="AO136" s="172"/>
      <c r="AP136" s="172"/>
      <c r="AQ136" s="172"/>
      <c r="AR136" s="172"/>
      <c r="AS136" s="172"/>
    </row>
    <row r="137" spans="1:45">
      <c r="A137" s="211" t="s">
        <v>246</v>
      </c>
      <c r="B137" s="227">
        <f t="shared" ca="1" si="30"/>
        <v>1</v>
      </c>
      <c r="C137" s="227"/>
      <c r="D137" s="41">
        <f ca="1">SUMIF(OFFSET(CalibData!$M$3,1,0,$Q$2),ROW()+COLUMN()/100,OFFSET(CalibData!$O$3,1,0,$Q$2))</f>
        <v>0</v>
      </c>
      <c r="E137" s="227"/>
      <c r="F137" s="41">
        <f ca="1">SUMIF(OFFSET(CalibData!$M$3,1,0,$Q$2),ROW()+COLUMN()/100,OFFSET(CalibData!$O$3,1,0,$Q$2))</f>
        <v>0</v>
      </c>
      <c r="G137" s="227"/>
      <c r="H137" s="227"/>
      <c r="I137" s="227"/>
      <c r="J137" s="212">
        <f t="shared" ca="1" si="31"/>
        <v>1</v>
      </c>
      <c r="K137" s="220" t="str">
        <f t="shared" si="32"/>
        <v/>
      </c>
      <c r="L137" s="198"/>
      <c r="M137" s="195"/>
      <c r="N137" s="195"/>
      <c r="O137" s="195"/>
      <c r="P137" s="195"/>
      <c r="V137" s="171"/>
      <c r="W137" s="172"/>
      <c r="X137" s="172"/>
      <c r="Y137" s="172"/>
      <c r="Z137" s="172"/>
      <c r="AA137" s="172"/>
      <c r="AB137" s="172"/>
      <c r="AC137" s="172"/>
      <c r="AD137" s="172"/>
      <c r="AE137" s="172"/>
      <c r="AF137" s="172"/>
      <c r="AG137" s="172"/>
      <c r="AH137" s="172"/>
      <c r="AI137" s="172"/>
      <c r="AJ137" s="172"/>
      <c r="AK137" s="172"/>
      <c r="AL137" s="172"/>
      <c r="AM137" s="172"/>
      <c r="AN137" s="172"/>
      <c r="AO137" s="172"/>
      <c r="AP137" s="172"/>
      <c r="AQ137" s="172"/>
      <c r="AR137" s="172"/>
      <c r="AS137" s="172"/>
    </row>
    <row r="138" spans="1:45">
      <c r="A138" s="195"/>
      <c r="B138" s="195"/>
      <c r="C138" s="195"/>
      <c r="D138" s="195"/>
      <c r="E138" s="195"/>
      <c r="F138" s="195"/>
      <c r="G138" s="195"/>
      <c r="H138" s="195"/>
      <c r="I138" s="195"/>
      <c r="J138" s="195"/>
      <c r="K138" s="195"/>
      <c r="L138" s="198"/>
      <c r="M138" s="195"/>
      <c r="N138" s="195"/>
      <c r="O138" s="195"/>
      <c r="P138" s="195"/>
      <c r="V138" s="171"/>
      <c r="W138" s="172"/>
      <c r="X138" s="172"/>
      <c r="Y138" s="172"/>
      <c r="Z138" s="172"/>
      <c r="AA138" s="172"/>
      <c r="AB138" s="172"/>
      <c r="AC138" s="172"/>
      <c r="AD138" s="172"/>
      <c r="AE138" s="172"/>
      <c r="AF138" s="172"/>
      <c r="AG138" s="172"/>
      <c r="AH138" s="172"/>
      <c r="AI138" s="172"/>
      <c r="AJ138" s="172"/>
      <c r="AK138" s="172"/>
      <c r="AL138" s="172"/>
      <c r="AM138" s="172"/>
      <c r="AN138" s="172"/>
      <c r="AO138" s="172"/>
      <c r="AP138" s="172"/>
      <c r="AQ138" s="172"/>
      <c r="AR138" s="172"/>
      <c r="AS138" s="172"/>
    </row>
    <row r="139" spans="1:45">
      <c r="A139" s="211"/>
      <c r="B139" s="195"/>
      <c r="C139" s="195"/>
      <c r="D139" s="195"/>
      <c r="E139" s="195"/>
      <c r="F139" s="195"/>
      <c r="G139" s="195"/>
      <c r="H139" s="195"/>
      <c r="I139" s="195"/>
      <c r="J139" s="195"/>
      <c r="K139" s="195"/>
      <c r="L139" s="198"/>
      <c r="M139" s="195"/>
      <c r="N139" s="195"/>
      <c r="O139" s="195"/>
      <c r="P139" s="195"/>
      <c r="V139" s="171"/>
      <c r="W139" s="172"/>
      <c r="X139" s="172"/>
      <c r="Y139" s="172"/>
      <c r="Z139" s="172"/>
      <c r="AA139" s="172"/>
      <c r="AB139" s="172"/>
      <c r="AC139" s="172"/>
      <c r="AD139" s="172"/>
      <c r="AE139" s="172"/>
      <c r="AF139" s="172"/>
      <c r="AG139" s="172"/>
      <c r="AH139" s="172"/>
      <c r="AI139" s="172"/>
      <c r="AJ139" s="172"/>
      <c r="AK139" s="172"/>
      <c r="AL139" s="172"/>
      <c r="AM139" s="172"/>
      <c r="AN139" s="172"/>
      <c r="AO139" s="172"/>
      <c r="AP139" s="172"/>
      <c r="AQ139" s="172"/>
      <c r="AR139" s="172"/>
      <c r="AS139" s="172"/>
    </row>
    <row r="140" spans="1:45">
      <c r="A140" s="211"/>
      <c r="B140" s="195"/>
      <c r="C140" s="195"/>
      <c r="D140" s="195"/>
      <c r="E140" s="195"/>
      <c r="F140" s="195"/>
      <c r="G140" s="195"/>
      <c r="H140" s="211"/>
      <c r="I140" s="238"/>
      <c r="J140" s="238"/>
      <c r="K140" s="238"/>
      <c r="L140" s="198"/>
      <c r="M140" s="195"/>
      <c r="N140" s="195"/>
      <c r="O140" s="195"/>
      <c r="P140" s="195"/>
      <c r="V140" s="171"/>
      <c r="W140" s="172"/>
      <c r="X140" s="172"/>
      <c r="Y140" s="172"/>
      <c r="Z140" s="172"/>
      <c r="AA140" s="172"/>
      <c r="AB140" s="172"/>
      <c r="AC140" s="172"/>
      <c r="AD140" s="172"/>
      <c r="AE140" s="172"/>
      <c r="AF140" s="172"/>
      <c r="AG140" s="172"/>
      <c r="AH140" s="172"/>
      <c r="AI140" s="172"/>
      <c r="AJ140" s="172"/>
      <c r="AK140" s="172"/>
      <c r="AL140" s="172"/>
      <c r="AM140" s="172"/>
      <c r="AN140" s="172"/>
      <c r="AO140" s="172"/>
      <c r="AP140" s="172"/>
      <c r="AQ140" s="172"/>
      <c r="AR140" s="172"/>
      <c r="AS140" s="172"/>
    </row>
    <row r="141" spans="1:45" ht="18">
      <c r="A141" s="131" t="s">
        <v>393</v>
      </c>
      <c r="B141" s="98"/>
      <c r="C141" s="98"/>
      <c r="D141" s="98"/>
      <c r="E141" s="98"/>
      <c r="F141" s="98"/>
      <c r="G141" s="211"/>
      <c r="H141" s="211"/>
      <c r="I141" s="239"/>
      <c r="J141" s="239"/>
      <c r="K141" s="239"/>
      <c r="L141" s="198"/>
      <c r="M141" s="195"/>
      <c r="N141" s="195"/>
      <c r="O141" s="195"/>
      <c r="P141" s="195"/>
      <c r="V141" s="171"/>
      <c r="W141" s="172"/>
      <c r="X141" s="172"/>
      <c r="Y141" s="172"/>
      <c r="Z141" s="172"/>
      <c r="AA141" s="172"/>
      <c r="AB141" s="172"/>
      <c r="AC141" s="172"/>
      <c r="AD141" s="172"/>
      <c r="AE141" s="172"/>
      <c r="AF141" s="172"/>
      <c r="AG141" s="172"/>
      <c r="AH141" s="172"/>
      <c r="AI141" s="172"/>
      <c r="AJ141" s="172"/>
      <c r="AK141" s="172"/>
      <c r="AL141" s="172"/>
      <c r="AM141" s="172"/>
      <c r="AN141" s="172"/>
      <c r="AO141" s="172"/>
      <c r="AP141" s="172"/>
      <c r="AQ141" s="172"/>
      <c r="AR141" s="172"/>
      <c r="AS141" s="172"/>
    </row>
    <row r="142" spans="1:45">
      <c r="A142" s="211"/>
      <c r="B142" s="62" t="s">
        <v>458</v>
      </c>
      <c r="C142" s="62" t="s">
        <v>720</v>
      </c>
      <c r="D142" s="62" t="s">
        <v>721</v>
      </c>
      <c r="E142" s="62" t="s">
        <v>722</v>
      </c>
      <c r="F142" s="195"/>
      <c r="G142" s="195"/>
      <c r="H142" s="195"/>
      <c r="I142" s="195"/>
      <c r="J142" s="195"/>
      <c r="K142" s="195"/>
      <c r="L142" s="195"/>
      <c r="M142" s="195"/>
      <c r="N142" s="195"/>
      <c r="O142" s="195"/>
      <c r="P142" s="195"/>
      <c r="V142" s="171"/>
      <c r="W142" s="172"/>
      <c r="X142" s="172"/>
      <c r="Y142" s="172"/>
      <c r="Z142" s="172"/>
      <c r="AA142" s="172"/>
      <c r="AB142" s="172"/>
      <c r="AC142" s="172"/>
      <c r="AD142" s="172"/>
      <c r="AE142" s="172"/>
      <c r="AF142" s="172"/>
      <c r="AG142" s="172"/>
      <c r="AH142" s="172"/>
      <c r="AI142" s="172"/>
      <c r="AJ142" s="172"/>
      <c r="AK142" s="172"/>
      <c r="AL142" s="172"/>
      <c r="AM142" s="172"/>
      <c r="AN142" s="172"/>
      <c r="AO142" s="172"/>
      <c r="AP142" s="172"/>
      <c r="AQ142" s="172"/>
      <c r="AR142" s="172"/>
      <c r="AS142" s="172"/>
    </row>
    <row r="143" spans="1:45">
      <c r="A143" s="198" t="s">
        <v>282</v>
      </c>
      <c r="B143" s="195"/>
      <c r="C143" s="195"/>
      <c r="D143" s="195"/>
      <c r="E143" s="195"/>
      <c r="F143" s="195"/>
      <c r="G143" s="195"/>
      <c r="H143" s="195"/>
      <c r="I143" s="195"/>
      <c r="J143" s="195"/>
      <c r="K143" s="195"/>
      <c r="L143" s="195"/>
      <c r="M143" s="195"/>
      <c r="N143" s="195"/>
      <c r="O143" s="195"/>
      <c r="P143" s="195"/>
      <c r="V143" s="171"/>
      <c r="W143" s="172"/>
      <c r="X143" s="172"/>
      <c r="Y143" s="172"/>
      <c r="Z143" s="172"/>
      <c r="AA143" s="172"/>
      <c r="AB143" s="172"/>
      <c r="AC143" s="172"/>
      <c r="AD143" s="172"/>
      <c r="AE143" s="172"/>
      <c r="AF143" s="172"/>
      <c r="AG143" s="172"/>
      <c r="AH143" s="172"/>
      <c r="AI143" s="172"/>
      <c r="AJ143" s="172"/>
      <c r="AK143" s="172"/>
      <c r="AL143" s="172"/>
      <c r="AM143" s="172"/>
      <c r="AN143" s="172"/>
      <c r="AO143" s="172"/>
      <c r="AP143" s="172"/>
      <c r="AQ143" s="172"/>
      <c r="AR143" s="172"/>
      <c r="AS143" s="172"/>
    </row>
    <row r="144" spans="1:45">
      <c r="A144" s="198"/>
      <c r="B144" s="198" t="str">
        <f>B142</f>
        <v>Region1</v>
      </c>
      <c r="C144" s="198" t="str">
        <f>C142</f>
        <v>Region2</v>
      </c>
      <c r="D144" s="198" t="str">
        <f>D142</f>
        <v>Region3</v>
      </c>
      <c r="E144" s="198" t="str">
        <f>E142</f>
        <v>Region4</v>
      </c>
      <c r="F144" s="195" t="s">
        <v>248</v>
      </c>
      <c r="G144" s="195"/>
      <c r="H144" s="195"/>
      <c r="I144" s="195"/>
      <c r="J144" s="195"/>
      <c r="K144" s="195"/>
      <c r="L144" s="195"/>
      <c r="M144" s="195"/>
      <c r="N144" s="195"/>
      <c r="O144" s="195"/>
      <c r="P144" s="195"/>
      <c r="V144" s="171"/>
      <c r="W144" s="172"/>
      <c r="X144" s="172"/>
      <c r="Y144" s="172"/>
      <c r="Z144" s="172"/>
      <c r="AA144" s="172"/>
      <c r="AB144" s="172"/>
      <c r="AC144" s="172"/>
      <c r="AD144" s="172"/>
      <c r="AE144" s="172"/>
      <c r="AF144" s="172"/>
      <c r="AG144" s="172"/>
      <c r="AH144" s="172"/>
      <c r="AI144" s="172"/>
      <c r="AJ144" s="172"/>
      <c r="AK144" s="172"/>
      <c r="AL144" s="172"/>
      <c r="AM144" s="172"/>
      <c r="AN144" s="172"/>
      <c r="AO144" s="172"/>
      <c r="AP144" s="172"/>
      <c r="AQ144" s="172"/>
      <c r="AR144" s="172"/>
      <c r="AS144" s="172"/>
    </row>
    <row r="145" spans="1:45">
      <c r="A145" s="195" t="s">
        <v>244</v>
      </c>
      <c r="B145" s="41">
        <f t="shared" ref="B145:B154" ca="1" si="33">MAX(0,1-SUM(C145:E145))</f>
        <v>1</v>
      </c>
      <c r="C145" s="41">
        <f ca="1">SUMIF(OFFSET(CalibData!$M$3,1,0,$Q$2),ROW()+COLUMN()/100,OFFSET(CalibData!$O$3,1,0,$Q$2))</f>
        <v>0</v>
      </c>
      <c r="D145" s="41">
        <f ca="1">SUMIF(OFFSET(CalibData!$M$3,1,0,$Q$2),ROW()+COLUMN()/100,OFFSET(CalibData!$O$3,1,0,$Q$2))</f>
        <v>0</v>
      </c>
      <c r="E145" s="41">
        <f ca="1">SUMIF(OFFSET(CalibData!$M$3,1,0,$Q$2),ROW()+COLUMN()/100,OFFSET(CalibData!$O$3,1,0,$Q$2))</f>
        <v>0</v>
      </c>
      <c r="F145" s="228">
        <f t="shared" ref="F145:F154" ca="1" si="34">SUM(B145:E145)</f>
        <v>1</v>
      </c>
      <c r="G145" s="195"/>
      <c r="H145" s="195"/>
      <c r="I145" s="195"/>
      <c r="J145" s="195"/>
      <c r="K145" s="195"/>
      <c r="L145" s="195"/>
      <c r="M145" s="195"/>
      <c r="N145" s="195"/>
      <c r="O145" s="195"/>
      <c r="P145" s="195"/>
      <c r="V145" s="171"/>
      <c r="W145" s="172"/>
      <c r="X145" s="172"/>
      <c r="Y145" s="172"/>
      <c r="Z145" s="172"/>
      <c r="AA145" s="172"/>
      <c r="AB145" s="172"/>
      <c r="AC145" s="172"/>
      <c r="AD145" s="172"/>
      <c r="AE145" s="172"/>
      <c r="AF145" s="172"/>
      <c r="AG145" s="172"/>
      <c r="AH145" s="172"/>
      <c r="AI145" s="172"/>
      <c r="AJ145" s="172"/>
      <c r="AK145" s="172"/>
      <c r="AL145" s="172"/>
      <c r="AM145" s="172"/>
      <c r="AN145" s="172"/>
      <c r="AO145" s="172"/>
      <c r="AP145" s="172"/>
      <c r="AQ145" s="172"/>
      <c r="AR145" s="172"/>
      <c r="AS145" s="172"/>
    </row>
    <row r="146" spans="1:45">
      <c r="A146" s="195" t="s">
        <v>663</v>
      </c>
      <c r="B146" s="41">
        <f t="shared" ca="1" si="33"/>
        <v>1</v>
      </c>
      <c r="C146" s="41">
        <f ca="1">SUMIF(OFFSET(CalibData!$M$3,1,0,$Q$2),ROW()+COLUMN()/100,OFFSET(CalibData!$O$3,1,0,$Q$2))</f>
        <v>0</v>
      </c>
      <c r="D146" s="41">
        <f ca="1">SUMIF(OFFSET(CalibData!$M$3,1,0,$Q$2),ROW()+COLUMN()/100,OFFSET(CalibData!$O$3,1,0,$Q$2))</f>
        <v>0</v>
      </c>
      <c r="E146" s="41">
        <f ca="1">SUMIF(OFFSET(CalibData!$M$3,1,0,$Q$2),ROW()+COLUMN()/100,OFFSET(CalibData!$O$3,1,0,$Q$2))</f>
        <v>0</v>
      </c>
      <c r="F146" s="228">
        <f t="shared" ca="1" si="34"/>
        <v>1</v>
      </c>
      <c r="G146" s="195"/>
      <c r="H146" s="195"/>
      <c r="I146" s="195"/>
      <c r="J146" s="195"/>
      <c r="K146" s="195"/>
      <c r="L146" s="195"/>
      <c r="M146" s="195"/>
      <c r="N146" s="195"/>
      <c r="O146" s="195"/>
      <c r="P146" s="195"/>
      <c r="V146" s="171"/>
      <c r="W146" s="172"/>
      <c r="X146" s="172"/>
      <c r="Y146" s="172"/>
      <c r="Z146" s="172"/>
      <c r="AA146" s="172"/>
      <c r="AB146" s="172"/>
      <c r="AC146" s="172"/>
      <c r="AD146" s="172"/>
      <c r="AE146" s="172"/>
      <c r="AF146" s="172"/>
      <c r="AG146" s="172"/>
      <c r="AH146" s="172"/>
      <c r="AI146" s="172"/>
      <c r="AJ146" s="172"/>
      <c r="AK146" s="172"/>
      <c r="AL146" s="172"/>
      <c r="AM146" s="172"/>
      <c r="AN146" s="172"/>
      <c r="AO146" s="172"/>
      <c r="AP146" s="172"/>
      <c r="AQ146" s="172"/>
      <c r="AR146" s="172"/>
      <c r="AS146" s="172"/>
    </row>
    <row r="147" spans="1:45">
      <c r="A147" s="195" t="s">
        <v>87</v>
      </c>
      <c r="B147" s="41">
        <f t="shared" ca="1" si="33"/>
        <v>1</v>
      </c>
      <c r="C147" s="41">
        <f ca="1">SUMIF(OFFSET(CalibData!$M$3,1,0,$Q$2),ROW()+COLUMN()/100,OFFSET(CalibData!$O$3,1,0,$Q$2))</f>
        <v>0</v>
      </c>
      <c r="D147" s="41">
        <f ca="1">SUMIF(OFFSET(CalibData!$M$3,1,0,$Q$2),ROW()+COLUMN()/100,OFFSET(CalibData!$O$3,1,0,$Q$2))</f>
        <v>0</v>
      </c>
      <c r="E147" s="41">
        <f ca="1">SUMIF(OFFSET(CalibData!$M$3,1,0,$Q$2),ROW()+COLUMN()/100,OFFSET(CalibData!$O$3,1,0,$Q$2))</f>
        <v>0</v>
      </c>
      <c r="F147" s="228">
        <f t="shared" ca="1" si="34"/>
        <v>1</v>
      </c>
      <c r="G147" s="195"/>
      <c r="H147" s="195"/>
      <c r="I147" s="195"/>
      <c r="J147" s="195"/>
      <c r="K147" s="195"/>
      <c r="L147" s="195"/>
      <c r="M147" s="195"/>
      <c r="N147" s="195"/>
      <c r="O147" s="195"/>
      <c r="P147" s="195"/>
      <c r="V147" s="171"/>
      <c r="W147" s="172"/>
      <c r="X147" s="172"/>
      <c r="Y147" s="172"/>
      <c r="Z147" s="172"/>
      <c r="AA147" s="172"/>
      <c r="AB147" s="172"/>
      <c r="AC147" s="172"/>
      <c r="AD147" s="172"/>
      <c r="AE147" s="172"/>
      <c r="AF147" s="172"/>
      <c r="AG147" s="172"/>
      <c r="AH147" s="172"/>
      <c r="AI147" s="172"/>
      <c r="AJ147" s="172"/>
      <c r="AK147" s="172"/>
      <c r="AL147" s="172"/>
      <c r="AM147" s="172"/>
      <c r="AN147" s="172"/>
      <c r="AO147" s="172"/>
      <c r="AP147" s="172"/>
      <c r="AQ147" s="172"/>
      <c r="AR147" s="172"/>
      <c r="AS147" s="172"/>
    </row>
    <row r="148" spans="1:45">
      <c r="A148" s="195" t="s">
        <v>576</v>
      </c>
      <c r="B148" s="41">
        <f t="shared" ca="1" si="33"/>
        <v>1</v>
      </c>
      <c r="C148" s="41">
        <f ca="1">SUMIF(OFFSET(CalibData!$M$3,1,0,$Q$2),ROW()+COLUMN()/100,OFFSET(CalibData!$O$3,1,0,$Q$2))</f>
        <v>0</v>
      </c>
      <c r="D148" s="41">
        <f ca="1">SUMIF(OFFSET(CalibData!$M$3,1,0,$Q$2),ROW()+COLUMN()/100,OFFSET(CalibData!$O$3,1,0,$Q$2))</f>
        <v>0</v>
      </c>
      <c r="E148" s="41">
        <f ca="1">SUMIF(OFFSET(CalibData!$M$3,1,0,$Q$2),ROW()+COLUMN()/100,OFFSET(CalibData!$O$3,1,0,$Q$2))</f>
        <v>0</v>
      </c>
      <c r="F148" s="228">
        <f t="shared" ca="1" si="34"/>
        <v>1</v>
      </c>
      <c r="G148" s="195"/>
      <c r="H148" s="195"/>
      <c r="I148" s="195"/>
      <c r="J148" s="195"/>
      <c r="K148" s="195"/>
      <c r="L148" s="195"/>
      <c r="M148" s="195"/>
      <c r="N148" s="195"/>
      <c r="O148" s="195"/>
      <c r="P148" s="195"/>
      <c r="V148" s="171"/>
      <c r="W148" s="172"/>
      <c r="X148" s="172"/>
      <c r="Y148" s="172"/>
      <c r="Z148" s="172"/>
      <c r="AA148" s="172"/>
      <c r="AB148" s="172"/>
      <c r="AC148" s="172"/>
      <c r="AD148" s="172"/>
      <c r="AE148" s="172"/>
      <c r="AF148" s="172"/>
      <c r="AG148" s="172"/>
      <c r="AH148" s="172"/>
      <c r="AI148" s="172"/>
      <c r="AJ148" s="172"/>
      <c r="AK148" s="172"/>
      <c r="AL148" s="172"/>
      <c r="AM148" s="172"/>
      <c r="AN148" s="172"/>
      <c r="AO148" s="172"/>
      <c r="AP148" s="172"/>
      <c r="AQ148" s="172"/>
      <c r="AR148" s="172"/>
      <c r="AS148" s="172"/>
    </row>
    <row r="149" spans="1:45">
      <c r="A149" s="195" t="s">
        <v>664</v>
      </c>
      <c r="B149" s="41">
        <f t="shared" ca="1" si="33"/>
        <v>1</v>
      </c>
      <c r="C149" s="41">
        <f ca="1">SUMIF(OFFSET(CalibData!$M$3,1,0,$Q$2),ROW()+COLUMN()/100,OFFSET(CalibData!$O$3,1,0,$Q$2))</f>
        <v>0</v>
      </c>
      <c r="D149" s="41">
        <f ca="1">SUMIF(OFFSET(CalibData!$M$3,1,0,$Q$2),ROW()+COLUMN()/100,OFFSET(CalibData!$O$3,1,0,$Q$2))</f>
        <v>0</v>
      </c>
      <c r="E149" s="41">
        <f ca="1">SUMIF(OFFSET(CalibData!$M$3,1,0,$Q$2),ROW()+COLUMN()/100,OFFSET(CalibData!$O$3,1,0,$Q$2))</f>
        <v>0</v>
      </c>
      <c r="F149" s="228">
        <f t="shared" ca="1" si="34"/>
        <v>1</v>
      </c>
      <c r="G149" s="195"/>
      <c r="H149" s="195"/>
      <c r="I149" s="195"/>
      <c r="J149" s="195"/>
      <c r="K149" s="195"/>
      <c r="L149" s="195"/>
      <c r="M149" s="195"/>
      <c r="N149" s="195"/>
      <c r="O149" s="195"/>
      <c r="P149" s="195"/>
      <c r="V149" s="171"/>
      <c r="W149" s="172"/>
      <c r="X149" s="172"/>
      <c r="Y149" s="172"/>
      <c r="Z149" s="172"/>
      <c r="AA149" s="172"/>
      <c r="AB149" s="172"/>
      <c r="AC149" s="172"/>
      <c r="AD149" s="172"/>
      <c r="AE149" s="172"/>
      <c r="AF149" s="172"/>
      <c r="AG149" s="172"/>
      <c r="AH149" s="172"/>
      <c r="AI149" s="172"/>
      <c r="AJ149" s="172"/>
      <c r="AK149" s="172"/>
      <c r="AL149" s="172"/>
      <c r="AM149" s="172"/>
      <c r="AN149" s="172"/>
      <c r="AO149" s="172"/>
      <c r="AP149" s="172"/>
      <c r="AQ149" s="172"/>
      <c r="AR149" s="172"/>
      <c r="AS149" s="172"/>
    </row>
    <row r="150" spans="1:45">
      <c r="A150" s="195" t="s">
        <v>665</v>
      </c>
      <c r="B150" s="41">
        <f t="shared" ca="1" si="33"/>
        <v>1</v>
      </c>
      <c r="C150" s="41">
        <f ca="1">SUMIF(OFFSET(CalibData!$M$3,1,0,$Q$2),ROW()+COLUMN()/100,OFFSET(CalibData!$O$3,1,0,$Q$2))</f>
        <v>0</v>
      </c>
      <c r="D150" s="41">
        <f ca="1">SUMIF(OFFSET(CalibData!$M$3,1,0,$Q$2),ROW()+COLUMN()/100,OFFSET(CalibData!$O$3,1,0,$Q$2))</f>
        <v>0</v>
      </c>
      <c r="E150" s="41">
        <f ca="1">SUMIF(OFFSET(CalibData!$M$3,1,0,$Q$2),ROW()+COLUMN()/100,OFFSET(CalibData!$O$3,1,0,$Q$2))</f>
        <v>0</v>
      </c>
      <c r="F150" s="228">
        <f t="shared" ca="1" si="34"/>
        <v>1</v>
      </c>
      <c r="G150" s="195"/>
      <c r="H150" s="195"/>
      <c r="I150" s="195"/>
      <c r="J150" s="195"/>
      <c r="K150" s="195"/>
      <c r="L150" s="195"/>
      <c r="M150" s="195"/>
      <c r="N150" s="195"/>
      <c r="O150" s="195"/>
      <c r="P150" s="195"/>
      <c r="Q150" s="102"/>
      <c r="V150" s="171"/>
      <c r="W150" s="172"/>
      <c r="X150" s="172"/>
      <c r="Y150" s="172"/>
      <c r="Z150" s="172"/>
      <c r="AA150" s="172"/>
      <c r="AB150" s="172"/>
      <c r="AC150" s="172"/>
      <c r="AD150" s="172"/>
      <c r="AE150" s="172"/>
      <c r="AF150" s="172"/>
      <c r="AG150" s="172"/>
      <c r="AH150" s="172"/>
      <c r="AI150" s="172"/>
      <c r="AJ150" s="172"/>
      <c r="AK150" s="172"/>
      <c r="AL150" s="172"/>
      <c r="AM150" s="172"/>
      <c r="AN150" s="172"/>
      <c r="AO150" s="172"/>
      <c r="AP150" s="172"/>
      <c r="AQ150" s="172"/>
      <c r="AR150" s="172"/>
      <c r="AS150" s="172"/>
    </row>
    <row r="151" spans="1:45">
      <c r="A151" s="240" t="s">
        <v>588</v>
      </c>
      <c r="B151" s="41">
        <f t="shared" ca="1" si="33"/>
        <v>1</v>
      </c>
      <c r="C151" s="41">
        <f ca="1">SUMIF(OFFSET(CalibData!$M$3,1,0,$Q$2),ROW()+COLUMN()/100,OFFSET(CalibData!$O$3,1,0,$Q$2))</f>
        <v>0</v>
      </c>
      <c r="D151" s="41">
        <f ca="1">SUMIF(OFFSET(CalibData!$M$3,1,0,$Q$2),ROW()+COLUMN()/100,OFFSET(CalibData!$O$3,1,0,$Q$2))</f>
        <v>0</v>
      </c>
      <c r="E151" s="41">
        <f ca="1">SUMIF(OFFSET(CalibData!$M$3,1,0,$Q$2),ROW()+COLUMN()/100,OFFSET(CalibData!$O$3,1,0,$Q$2))</f>
        <v>0</v>
      </c>
      <c r="F151" s="228">
        <f t="shared" ca="1" si="34"/>
        <v>1</v>
      </c>
      <c r="G151" s="195"/>
      <c r="H151" s="195"/>
      <c r="I151" s="195"/>
      <c r="J151" s="195"/>
      <c r="K151" s="195"/>
      <c r="L151" s="195"/>
      <c r="M151" s="195"/>
      <c r="N151" s="195"/>
      <c r="O151" s="195"/>
      <c r="P151" s="195"/>
      <c r="Q151" s="102"/>
      <c r="V151" s="171"/>
      <c r="W151" s="172"/>
      <c r="X151" s="172"/>
      <c r="Y151" s="172"/>
      <c r="Z151" s="172"/>
      <c r="AA151" s="172"/>
      <c r="AB151" s="172"/>
      <c r="AC151" s="172"/>
      <c r="AD151" s="172"/>
      <c r="AE151" s="172"/>
      <c r="AF151" s="172"/>
      <c r="AG151" s="172"/>
      <c r="AH151" s="172"/>
      <c r="AI151" s="172"/>
      <c r="AJ151" s="172"/>
      <c r="AK151" s="172"/>
      <c r="AL151" s="172"/>
      <c r="AM151" s="172"/>
      <c r="AN151" s="172"/>
      <c r="AO151" s="172"/>
      <c r="AP151" s="172"/>
      <c r="AQ151" s="172"/>
      <c r="AR151" s="172"/>
      <c r="AS151" s="172"/>
    </row>
    <row r="152" spans="1:45">
      <c r="A152" s="195" t="s">
        <v>247</v>
      </c>
      <c r="B152" s="41">
        <f t="shared" ca="1" si="33"/>
        <v>1</v>
      </c>
      <c r="C152" s="41">
        <f ca="1">SUMIF(OFFSET(CalibData!$M$3,1,0,$Q$2),ROW()+COLUMN()/100,OFFSET(CalibData!$O$3,1,0,$Q$2))</f>
        <v>0</v>
      </c>
      <c r="D152" s="41">
        <f ca="1">SUMIF(OFFSET(CalibData!$M$3,1,0,$Q$2),ROW()+COLUMN()/100,OFFSET(CalibData!$O$3,1,0,$Q$2))</f>
        <v>0</v>
      </c>
      <c r="E152" s="41">
        <f ca="1">SUMIF(OFFSET(CalibData!$M$3,1,0,$Q$2),ROW()+COLUMN()/100,OFFSET(CalibData!$O$3,1,0,$Q$2))</f>
        <v>0</v>
      </c>
      <c r="F152" s="228">
        <f t="shared" ca="1" si="34"/>
        <v>1</v>
      </c>
      <c r="G152" s="195"/>
      <c r="H152" s="195"/>
      <c r="I152" s="195"/>
      <c r="J152" s="195"/>
      <c r="K152" s="195"/>
      <c r="L152" s="195"/>
      <c r="M152" s="195"/>
      <c r="N152" s="195"/>
      <c r="O152" s="195"/>
      <c r="P152" s="195"/>
      <c r="Q152" s="102"/>
    </row>
    <row r="153" spans="1:45">
      <c r="A153" s="195" t="s">
        <v>414</v>
      </c>
      <c r="B153" s="41">
        <f t="shared" ca="1" si="33"/>
        <v>1</v>
      </c>
      <c r="C153" s="41">
        <f ca="1">SUMIF(OFFSET(CalibData!$M$3,1,0,$Q$2),ROW()+COLUMN()/100,OFFSET(CalibData!$O$3,1,0,$Q$2))</f>
        <v>0</v>
      </c>
      <c r="D153" s="41">
        <f ca="1">SUMIF(OFFSET(CalibData!$M$3,1,0,$Q$2),ROW()+COLUMN()/100,OFFSET(CalibData!$O$3,1,0,$Q$2))</f>
        <v>0</v>
      </c>
      <c r="E153" s="41">
        <f ca="1">SUMIF(OFFSET(CalibData!$M$3,1,0,$Q$2),ROW()+COLUMN()/100,OFFSET(CalibData!$O$3,1,0,$Q$2))</f>
        <v>0</v>
      </c>
      <c r="F153" s="228">
        <f t="shared" ca="1" si="34"/>
        <v>1</v>
      </c>
      <c r="G153" s="195"/>
      <c r="H153" s="195"/>
      <c r="I153" s="195"/>
      <c r="J153" s="195"/>
      <c r="K153" s="195"/>
      <c r="L153" s="195"/>
      <c r="M153" s="195"/>
      <c r="N153" s="195"/>
      <c r="O153" s="195"/>
      <c r="P153" s="195"/>
      <c r="Q153" s="102"/>
      <c r="V153" s="171"/>
    </row>
    <row r="154" spans="1:45">
      <c r="A154" s="195" t="s">
        <v>245</v>
      </c>
      <c r="B154" s="41">
        <f t="shared" ca="1" si="33"/>
        <v>1</v>
      </c>
      <c r="C154" s="41">
        <f ca="1">SUMIF(OFFSET(CalibData!$M$3,1,0,$Q$2),ROW()+COLUMN()/100,OFFSET(CalibData!$O$3,1,0,$Q$2))</f>
        <v>0</v>
      </c>
      <c r="D154" s="41">
        <f ca="1">SUMIF(OFFSET(CalibData!$M$3,1,0,$Q$2),ROW()+COLUMN()/100,OFFSET(CalibData!$O$3,1,0,$Q$2))</f>
        <v>0</v>
      </c>
      <c r="E154" s="41">
        <f ca="1">SUMIF(OFFSET(CalibData!$M$3,1,0,$Q$2),ROW()+COLUMN()/100,OFFSET(CalibData!$O$3,1,0,$Q$2))</f>
        <v>0</v>
      </c>
      <c r="F154" s="228">
        <f t="shared" ca="1" si="34"/>
        <v>1</v>
      </c>
      <c r="G154" s="195"/>
      <c r="H154" s="195"/>
      <c r="I154" s="195"/>
      <c r="J154" s="195"/>
      <c r="K154" s="195"/>
      <c r="L154" s="195"/>
      <c r="M154" s="195"/>
      <c r="N154" s="195"/>
      <c r="O154" s="195"/>
      <c r="P154" s="195"/>
      <c r="Q154" s="102"/>
    </row>
    <row r="155" spans="1:45">
      <c r="A155" s="195"/>
      <c r="B155" s="213"/>
      <c r="C155" s="213"/>
      <c r="D155" s="213"/>
      <c r="E155" s="195"/>
      <c r="F155" s="195"/>
      <c r="G155" s="195"/>
      <c r="H155" s="195"/>
      <c r="I155" s="195"/>
      <c r="J155" s="195"/>
      <c r="K155" s="195"/>
      <c r="L155" s="195"/>
      <c r="M155" s="195"/>
      <c r="N155" s="195"/>
      <c r="O155" s="195"/>
      <c r="P155" s="195"/>
      <c r="Q155" s="102"/>
      <c r="V155" s="171"/>
      <c r="W155" s="172"/>
      <c r="X155" s="172"/>
      <c r="Y155" s="172"/>
      <c r="Z155" s="172"/>
      <c r="AA155" s="172"/>
      <c r="AB155" s="172"/>
      <c r="AC155" s="172"/>
      <c r="AD155" s="172"/>
      <c r="AE155" s="172"/>
      <c r="AF155" s="172"/>
      <c r="AG155" s="172"/>
      <c r="AH155" s="172"/>
      <c r="AI155" s="172"/>
      <c r="AJ155" s="172"/>
      <c r="AK155" s="172"/>
      <c r="AL155" s="172"/>
      <c r="AM155" s="172"/>
      <c r="AN155" s="172"/>
      <c r="AO155" s="172"/>
      <c r="AP155" s="172"/>
      <c r="AQ155" s="172"/>
      <c r="AR155" s="172"/>
      <c r="AS155" s="172"/>
    </row>
    <row r="156" spans="1:45">
      <c r="A156" s="198" t="s">
        <v>283</v>
      </c>
      <c r="B156" s="213"/>
      <c r="C156" s="213"/>
      <c r="D156" s="213"/>
      <c r="E156" s="195"/>
      <c r="F156" s="195"/>
      <c r="G156" s="195"/>
      <c r="H156" s="195"/>
      <c r="I156" s="195"/>
      <c r="J156" s="195"/>
      <c r="K156" s="195"/>
      <c r="L156" s="195"/>
      <c r="M156" s="195"/>
      <c r="N156" s="195"/>
      <c r="O156" s="195"/>
      <c r="P156" s="195"/>
      <c r="Q156" s="102"/>
      <c r="V156" s="171"/>
      <c r="W156" s="172"/>
      <c r="X156" s="172"/>
      <c r="Y156" s="172"/>
      <c r="Z156" s="172"/>
      <c r="AA156" s="172"/>
      <c r="AB156" s="172"/>
      <c r="AC156" s="172"/>
      <c r="AD156" s="172"/>
      <c r="AE156" s="172"/>
      <c r="AF156" s="172"/>
      <c r="AG156" s="172"/>
      <c r="AH156" s="172"/>
      <c r="AI156" s="172"/>
      <c r="AJ156" s="172"/>
      <c r="AK156" s="172"/>
      <c r="AL156" s="172"/>
      <c r="AM156" s="172"/>
      <c r="AN156" s="172"/>
      <c r="AO156" s="172"/>
      <c r="AP156" s="172"/>
      <c r="AQ156" s="172"/>
      <c r="AR156" s="172"/>
      <c r="AS156" s="172"/>
    </row>
    <row r="157" spans="1:45">
      <c r="A157" s="198"/>
      <c r="B157" s="242" t="str">
        <f>B142</f>
        <v>Region1</v>
      </c>
      <c r="C157" s="242" t="str">
        <f>C142</f>
        <v>Region2</v>
      </c>
      <c r="D157" s="242" t="str">
        <f>D142</f>
        <v>Region3</v>
      </c>
      <c r="E157" s="242" t="str">
        <f>E142</f>
        <v>Region4</v>
      </c>
      <c r="F157" s="195" t="s">
        <v>248</v>
      </c>
      <c r="G157" s="195"/>
      <c r="H157" s="195"/>
      <c r="I157" s="195"/>
      <c r="J157" s="195"/>
      <c r="K157" s="195"/>
      <c r="L157" s="195"/>
      <c r="M157" s="195"/>
      <c r="N157" s="195"/>
      <c r="O157" s="195"/>
      <c r="P157" s="195"/>
      <c r="Q157" s="102"/>
      <c r="V157" s="171"/>
      <c r="W157" s="172"/>
      <c r="X157" s="172"/>
      <c r="Y157" s="172"/>
      <c r="Z157" s="172"/>
      <c r="AA157" s="172"/>
      <c r="AB157" s="172"/>
      <c r="AC157" s="172"/>
      <c r="AD157" s="172"/>
      <c r="AE157" s="172"/>
      <c r="AF157" s="172"/>
      <c r="AG157" s="172"/>
      <c r="AH157" s="172"/>
      <c r="AI157" s="172"/>
      <c r="AJ157" s="172"/>
      <c r="AK157" s="172"/>
      <c r="AL157" s="172"/>
      <c r="AM157" s="172"/>
      <c r="AN157" s="172"/>
      <c r="AO157" s="172"/>
      <c r="AP157" s="172"/>
      <c r="AQ157" s="172"/>
      <c r="AR157" s="172"/>
      <c r="AS157" s="172"/>
    </row>
    <row r="158" spans="1:45">
      <c r="A158" s="195" t="s">
        <v>244</v>
      </c>
      <c r="B158" s="41">
        <f t="shared" ref="B158:B167" ca="1" si="35">MAX(0,1-SUM(C158:E158))</f>
        <v>1</v>
      </c>
      <c r="C158" s="41">
        <f ca="1">SUMIF(OFFSET(CalibData!$M$3,1,0,$Q$2),ROW()+COLUMN()/100,OFFSET(CalibData!$O$3,1,0,$Q$2))</f>
        <v>0</v>
      </c>
      <c r="D158" s="41">
        <f ca="1">SUMIF(OFFSET(CalibData!$M$3,1,0,$Q$2),ROW()+COLUMN()/100,OFFSET(CalibData!$O$3,1,0,$Q$2))</f>
        <v>0</v>
      </c>
      <c r="E158" s="41">
        <f ca="1">SUMIF(OFFSET(CalibData!$M$3,1,0,$Q$2),ROW()+COLUMN()/100,OFFSET(CalibData!$O$3,1,0,$Q$2))</f>
        <v>0</v>
      </c>
      <c r="F158" s="228">
        <f t="shared" ref="F158:F167" ca="1" si="36">SUM(B158:E158)</f>
        <v>1</v>
      </c>
      <c r="G158" s="195"/>
      <c r="H158" s="195"/>
      <c r="I158" s="195"/>
      <c r="J158" s="195"/>
      <c r="K158" s="195"/>
      <c r="L158" s="195"/>
      <c r="M158" s="195"/>
      <c r="N158" s="195"/>
      <c r="O158" s="195"/>
      <c r="P158" s="195"/>
      <c r="Q158" s="102"/>
      <c r="V158" s="171"/>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row>
    <row r="159" spans="1:45">
      <c r="A159" s="195" t="s">
        <v>663</v>
      </c>
      <c r="B159" s="41">
        <f t="shared" ca="1" si="35"/>
        <v>1</v>
      </c>
      <c r="C159" s="41">
        <f ca="1">SUMIF(OFFSET(CalibData!$M$3,1,0,$Q$2),ROW()+COLUMN()/100,OFFSET(CalibData!$O$3,1,0,$Q$2))</f>
        <v>0</v>
      </c>
      <c r="D159" s="41">
        <f ca="1">SUMIF(OFFSET(CalibData!$M$3,1,0,$Q$2),ROW()+COLUMN()/100,OFFSET(CalibData!$O$3,1,0,$Q$2))</f>
        <v>0</v>
      </c>
      <c r="E159" s="41">
        <f ca="1">SUMIF(OFFSET(CalibData!$M$3,1,0,$Q$2),ROW()+COLUMN()/100,OFFSET(CalibData!$O$3,1,0,$Q$2))</f>
        <v>0</v>
      </c>
      <c r="F159" s="228">
        <f t="shared" ca="1" si="36"/>
        <v>1</v>
      </c>
      <c r="G159" s="195"/>
      <c r="H159" s="195"/>
      <c r="I159" s="195"/>
      <c r="J159" s="195"/>
      <c r="K159" s="195"/>
      <c r="L159" s="195"/>
      <c r="M159" s="195"/>
      <c r="N159" s="195"/>
      <c r="O159" s="195"/>
      <c r="P159" s="195"/>
      <c r="Q159" s="102"/>
      <c r="V159" s="171"/>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row>
    <row r="160" spans="1:45">
      <c r="A160" s="195" t="s">
        <v>574</v>
      </c>
      <c r="B160" s="41">
        <f t="shared" ca="1" si="35"/>
        <v>1</v>
      </c>
      <c r="C160" s="41">
        <f ca="1">SUMIF(OFFSET(CalibData!$M$3,1,0,$Q$2),ROW()+COLUMN()/100,OFFSET(CalibData!$O$3,1,0,$Q$2))</f>
        <v>0</v>
      </c>
      <c r="D160" s="41">
        <f ca="1">SUMIF(OFFSET(CalibData!$M$3,1,0,$Q$2),ROW()+COLUMN()/100,OFFSET(CalibData!$O$3,1,0,$Q$2))</f>
        <v>0</v>
      </c>
      <c r="E160" s="41">
        <f ca="1">SUMIF(OFFSET(CalibData!$M$3,1,0,$Q$2),ROW()+COLUMN()/100,OFFSET(CalibData!$O$3,1,0,$Q$2))</f>
        <v>0</v>
      </c>
      <c r="F160" s="228">
        <f t="shared" ca="1" si="36"/>
        <v>1</v>
      </c>
      <c r="G160" s="195"/>
      <c r="H160" s="195"/>
      <c r="I160" s="195"/>
      <c r="J160" s="195"/>
      <c r="K160" s="195"/>
      <c r="L160" s="195"/>
      <c r="M160" s="195"/>
      <c r="N160" s="195"/>
      <c r="O160" s="195"/>
      <c r="P160" s="195"/>
      <c r="Q160" s="102"/>
    </row>
    <row r="161" spans="1:45">
      <c r="A161" s="195" t="s">
        <v>576</v>
      </c>
      <c r="B161" s="41">
        <f t="shared" ca="1" si="35"/>
        <v>1</v>
      </c>
      <c r="C161" s="41">
        <f ca="1">SUMIF(OFFSET(CalibData!$M$3,1,0,$Q$2),ROW()+COLUMN()/100,OFFSET(CalibData!$O$3,1,0,$Q$2))</f>
        <v>0</v>
      </c>
      <c r="D161" s="41">
        <f ca="1">SUMIF(OFFSET(CalibData!$M$3,1,0,$Q$2),ROW()+COLUMN()/100,OFFSET(CalibData!$O$3,1,0,$Q$2))</f>
        <v>0</v>
      </c>
      <c r="E161" s="41">
        <f ca="1">SUMIF(OFFSET(CalibData!$M$3,1,0,$Q$2),ROW()+COLUMN()/100,OFFSET(CalibData!$O$3,1,0,$Q$2))</f>
        <v>0</v>
      </c>
      <c r="F161" s="228">
        <f t="shared" ca="1" si="36"/>
        <v>1</v>
      </c>
      <c r="G161" s="195"/>
      <c r="H161" s="195"/>
      <c r="I161" s="195"/>
      <c r="J161" s="195"/>
      <c r="K161" s="195"/>
      <c r="L161" s="195"/>
      <c r="M161" s="195"/>
      <c r="N161" s="195"/>
      <c r="O161" s="195"/>
      <c r="P161" s="195"/>
      <c r="Q161" s="102"/>
    </row>
    <row r="162" spans="1:45">
      <c r="A162" s="195" t="s">
        <v>664</v>
      </c>
      <c r="B162" s="41">
        <f t="shared" ca="1" si="35"/>
        <v>1</v>
      </c>
      <c r="C162" s="41">
        <f ca="1">SUMIF(OFFSET(CalibData!$M$3,1,0,$Q$2),ROW()+COLUMN()/100,OFFSET(CalibData!$O$3,1,0,$Q$2))</f>
        <v>0</v>
      </c>
      <c r="D162" s="41">
        <f ca="1">SUMIF(OFFSET(CalibData!$M$3,1,0,$Q$2),ROW()+COLUMN()/100,OFFSET(CalibData!$O$3,1,0,$Q$2))</f>
        <v>0</v>
      </c>
      <c r="E162" s="41">
        <f ca="1">SUMIF(OFFSET(CalibData!$M$3,1,0,$Q$2),ROW()+COLUMN()/100,OFFSET(CalibData!$O$3,1,0,$Q$2))</f>
        <v>0</v>
      </c>
      <c r="F162" s="228">
        <f t="shared" ca="1" si="36"/>
        <v>1</v>
      </c>
      <c r="G162" s="195"/>
      <c r="H162" s="195"/>
      <c r="I162" s="195"/>
      <c r="J162" s="195"/>
      <c r="K162" s="195"/>
      <c r="L162" s="195"/>
      <c r="M162" s="195"/>
      <c r="N162" s="195"/>
      <c r="O162" s="195"/>
      <c r="P162" s="195"/>
      <c r="Q162" s="102"/>
    </row>
    <row r="163" spans="1:45">
      <c r="A163" s="195" t="s">
        <v>665</v>
      </c>
      <c r="B163" s="41">
        <f t="shared" ca="1" si="35"/>
        <v>1</v>
      </c>
      <c r="C163" s="41">
        <f ca="1">SUMIF(OFFSET(CalibData!$M$3,1,0,$Q$2),ROW()+COLUMN()/100,OFFSET(CalibData!$O$3,1,0,$Q$2))</f>
        <v>0</v>
      </c>
      <c r="D163" s="41">
        <f ca="1">SUMIF(OFFSET(CalibData!$M$3,1,0,$Q$2),ROW()+COLUMN()/100,OFFSET(CalibData!$O$3,1,0,$Q$2))</f>
        <v>0</v>
      </c>
      <c r="E163" s="41">
        <f ca="1">SUMIF(OFFSET(CalibData!$M$3,1,0,$Q$2),ROW()+COLUMN()/100,OFFSET(CalibData!$O$3,1,0,$Q$2))</f>
        <v>0</v>
      </c>
      <c r="F163" s="228">
        <f t="shared" ca="1" si="36"/>
        <v>1</v>
      </c>
      <c r="G163" s="195"/>
      <c r="H163" s="195"/>
      <c r="I163" s="195"/>
      <c r="J163" s="195"/>
      <c r="K163" s="195"/>
      <c r="L163" s="195"/>
      <c r="M163" s="195"/>
      <c r="N163" s="195"/>
      <c r="O163" s="195"/>
      <c r="P163" s="195"/>
      <c r="Q163" s="102"/>
    </row>
    <row r="164" spans="1:45">
      <c r="A164" s="241" t="s">
        <v>588</v>
      </c>
      <c r="B164" s="41">
        <f t="shared" ca="1" si="35"/>
        <v>1</v>
      </c>
      <c r="C164" s="41">
        <f ca="1">SUMIF(OFFSET(CalibData!$M$3,1,0,$Q$2),ROW()+COLUMN()/100,OFFSET(CalibData!$O$3,1,0,$Q$2))</f>
        <v>0</v>
      </c>
      <c r="D164" s="41">
        <f ca="1">SUMIF(OFFSET(CalibData!$M$3,1,0,$Q$2),ROW()+COLUMN()/100,OFFSET(CalibData!$O$3,1,0,$Q$2))</f>
        <v>0</v>
      </c>
      <c r="E164" s="41">
        <f ca="1">SUMIF(OFFSET(CalibData!$M$3,1,0,$Q$2),ROW()+COLUMN()/100,OFFSET(CalibData!$O$3,1,0,$Q$2))</f>
        <v>0</v>
      </c>
      <c r="F164" s="228">
        <f t="shared" ca="1" si="36"/>
        <v>1</v>
      </c>
      <c r="G164" s="195"/>
      <c r="H164" s="195"/>
      <c r="I164" s="195"/>
      <c r="J164" s="195"/>
      <c r="K164" s="195"/>
      <c r="L164" s="195"/>
      <c r="M164" s="195"/>
      <c r="N164" s="195"/>
      <c r="O164" s="195"/>
      <c r="P164" s="195"/>
      <c r="Q164" s="102"/>
      <c r="V164" s="171"/>
    </row>
    <row r="165" spans="1:45">
      <c r="A165" s="195" t="s">
        <v>247</v>
      </c>
      <c r="B165" s="41">
        <f t="shared" ca="1" si="35"/>
        <v>1</v>
      </c>
      <c r="C165" s="41">
        <f ca="1">SUMIF(OFFSET(CalibData!$M$3,1,0,$Q$2),ROW()+COLUMN()/100,OFFSET(CalibData!$O$3,1,0,$Q$2))</f>
        <v>0</v>
      </c>
      <c r="D165" s="41">
        <f ca="1">SUMIF(OFFSET(CalibData!$M$3,1,0,$Q$2),ROW()+COLUMN()/100,OFFSET(CalibData!$O$3,1,0,$Q$2))</f>
        <v>0</v>
      </c>
      <c r="E165" s="41">
        <f ca="1">SUMIF(OFFSET(CalibData!$M$3,1,0,$Q$2),ROW()+COLUMN()/100,OFFSET(CalibData!$O$3,1,0,$Q$2))</f>
        <v>0</v>
      </c>
      <c r="F165" s="228">
        <f t="shared" ca="1" si="36"/>
        <v>1</v>
      </c>
      <c r="G165" s="195"/>
      <c r="H165" s="195"/>
      <c r="I165" s="195"/>
      <c r="J165" s="195"/>
      <c r="K165" s="195"/>
      <c r="L165" s="195"/>
      <c r="M165" s="195"/>
      <c r="N165" s="195"/>
      <c r="O165" s="195"/>
      <c r="P165" s="195"/>
      <c r="Q165" s="102"/>
      <c r="V165" s="171"/>
    </row>
    <row r="166" spans="1:45">
      <c r="A166" s="195" t="s">
        <v>414</v>
      </c>
      <c r="B166" s="41">
        <f t="shared" ca="1" si="35"/>
        <v>1</v>
      </c>
      <c r="C166" s="41">
        <f ca="1">SUMIF(OFFSET(CalibData!$M$3,1,0,$Q$2),ROW()+COLUMN()/100,OFFSET(CalibData!$O$3,1,0,$Q$2))</f>
        <v>0</v>
      </c>
      <c r="D166" s="41">
        <f ca="1">SUMIF(OFFSET(CalibData!$M$3,1,0,$Q$2),ROW()+COLUMN()/100,OFFSET(CalibData!$O$3,1,0,$Q$2))</f>
        <v>0</v>
      </c>
      <c r="E166" s="41">
        <f ca="1">SUMIF(OFFSET(CalibData!$M$3,1,0,$Q$2),ROW()+COLUMN()/100,OFFSET(CalibData!$O$3,1,0,$Q$2))</f>
        <v>0</v>
      </c>
      <c r="F166" s="228">
        <f t="shared" ca="1" si="36"/>
        <v>1</v>
      </c>
      <c r="G166" s="195"/>
      <c r="H166" s="195"/>
      <c r="I166" s="195"/>
      <c r="J166" s="195"/>
      <c r="K166" s="195"/>
      <c r="L166" s="195"/>
      <c r="M166" s="195"/>
      <c r="N166" s="195"/>
      <c r="O166" s="195"/>
      <c r="P166" s="195"/>
      <c r="Q166" s="102"/>
    </row>
    <row r="167" spans="1:45">
      <c r="A167" s="195" t="s">
        <v>245</v>
      </c>
      <c r="B167" s="41">
        <f t="shared" ca="1" si="35"/>
        <v>1</v>
      </c>
      <c r="C167" s="41">
        <f ca="1">SUMIF(OFFSET(CalibData!$M$3,1,0,$Q$2),ROW()+COLUMN()/100,OFFSET(CalibData!$O$3,1,0,$Q$2))</f>
        <v>0</v>
      </c>
      <c r="D167" s="41">
        <f ca="1">SUMIF(OFFSET(CalibData!$M$3,1,0,$Q$2),ROW()+COLUMN()/100,OFFSET(CalibData!$O$3,1,0,$Q$2))</f>
        <v>0</v>
      </c>
      <c r="E167" s="41">
        <f ca="1">SUMIF(OFFSET(CalibData!$M$3,1,0,$Q$2),ROW()+COLUMN()/100,OFFSET(CalibData!$O$3,1,0,$Q$2))</f>
        <v>0</v>
      </c>
      <c r="F167" s="228">
        <f t="shared" ca="1" si="36"/>
        <v>1</v>
      </c>
      <c r="G167" s="195"/>
      <c r="H167" s="195"/>
      <c r="I167" s="195"/>
      <c r="J167" s="195"/>
      <c r="K167" s="195"/>
      <c r="L167" s="195"/>
      <c r="M167" s="195"/>
      <c r="N167" s="195"/>
      <c r="O167" s="195"/>
      <c r="P167" s="195"/>
      <c r="Q167" s="102"/>
    </row>
    <row r="168" spans="1:45">
      <c r="A168" s="195"/>
      <c r="B168" s="195"/>
      <c r="C168" s="195"/>
      <c r="D168" s="195"/>
      <c r="E168" s="195"/>
      <c r="F168" s="195"/>
      <c r="G168" s="195"/>
      <c r="H168" s="195"/>
      <c r="I168" s="195"/>
      <c r="J168" s="22"/>
      <c r="K168" s="195"/>
      <c r="L168" s="195"/>
      <c r="M168" s="195"/>
      <c r="N168" s="195"/>
      <c r="O168" s="195"/>
      <c r="P168" s="195"/>
      <c r="Q168" s="102"/>
    </row>
    <row r="169" spans="1:45" ht="18">
      <c r="A169" s="131" t="s">
        <v>394</v>
      </c>
      <c r="B169" s="98"/>
      <c r="C169" s="98"/>
      <c r="D169" s="98"/>
      <c r="E169" s="98"/>
      <c r="F169" s="98"/>
      <c r="G169" s="98"/>
      <c r="H169" s="98"/>
      <c r="I169" s="98"/>
      <c r="J169" s="195"/>
      <c r="K169" s="195"/>
      <c r="L169" s="195"/>
      <c r="M169" s="195"/>
      <c r="N169" s="195"/>
      <c r="O169" s="195"/>
      <c r="P169" s="195"/>
      <c r="Q169" s="102"/>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row>
    <row r="170" spans="1:45" ht="22.5">
      <c r="A170" s="236"/>
      <c r="B170" s="235" t="s">
        <v>213</v>
      </c>
      <c r="C170" s="235" t="s">
        <v>105</v>
      </c>
      <c r="D170" s="235" t="s">
        <v>179</v>
      </c>
      <c r="E170" s="235" t="s">
        <v>104</v>
      </c>
      <c r="F170" s="235" t="s">
        <v>180</v>
      </c>
      <c r="G170" s="235" t="s">
        <v>181</v>
      </c>
      <c r="H170" s="237" t="s">
        <v>72</v>
      </c>
      <c r="I170" s="237" t="s">
        <v>216</v>
      </c>
      <c r="J170" s="235"/>
      <c r="K170" s="195"/>
      <c r="L170" s="195"/>
      <c r="M170" s="195"/>
      <c r="N170" s="195"/>
      <c r="O170" s="195"/>
      <c r="P170" s="195"/>
      <c r="Q170" s="102"/>
      <c r="V170" s="171"/>
      <c r="W170" s="172"/>
      <c r="X170" s="172"/>
      <c r="Y170" s="172"/>
      <c r="Z170" s="172"/>
      <c r="AA170" s="172"/>
      <c r="AB170" s="172"/>
      <c r="AC170" s="172"/>
      <c r="AD170" s="172"/>
      <c r="AE170" s="172"/>
      <c r="AF170" s="172"/>
      <c r="AG170" s="172"/>
      <c r="AH170" s="172"/>
      <c r="AI170" s="172"/>
      <c r="AJ170" s="172"/>
      <c r="AK170" s="172"/>
      <c r="AL170" s="172"/>
      <c r="AM170" s="172"/>
      <c r="AN170" s="172"/>
      <c r="AO170" s="172"/>
      <c r="AP170" s="172"/>
      <c r="AQ170" s="172"/>
      <c r="AR170" s="172"/>
      <c r="AS170" s="172"/>
    </row>
    <row r="171" spans="1:45">
      <c r="A171" s="195"/>
      <c r="B171" s="262" t="s">
        <v>214</v>
      </c>
      <c r="C171" s="262" t="s">
        <v>610</v>
      </c>
      <c r="D171" s="262" t="s">
        <v>235</v>
      </c>
      <c r="E171" s="262" t="s">
        <v>103</v>
      </c>
      <c r="F171" s="262" t="s">
        <v>71</v>
      </c>
      <c r="G171" s="262" t="s">
        <v>70</v>
      </c>
      <c r="H171" s="262" t="s">
        <v>482</v>
      </c>
      <c r="I171" s="262" t="s">
        <v>215</v>
      </c>
      <c r="J171" s="195" t="s">
        <v>248</v>
      </c>
      <c r="K171" s="195"/>
      <c r="L171" s="195"/>
      <c r="M171" s="195"/>
      <c r="N171" s="195"/>
      <c r="O171" s="195"/>
      <c r="P171" s="195"/>
      <c r="Q171" s="102"/>
      <c r="V171" s="171"/>
      <c r="W171" s="172"/>
      <c r="X171" s="172"/>
      <c r="Y171" s="172"/>
      <c r="Z171" s="172"/>
      <c r="AA171" s="172"/>
      <c r="AB171" s="172"/>
      <c r="AC171" s="172"/>
      <c r="AD171" s="172"/>
      <c r="AE171" s="172"/>
      <c r="AF171" s="172"/>
      <c r="AG171" s="172"/>
      <c r="AH171" s="172"/>
      <c r="AI171" s="172"/>
      <c r="AJ171" s="172"/>
      <c r="AK171" s="172"/>
      <c r="AL171" s="172"/>
      <c r="AM171" s="172"/>
      <c r="AN171" s="172"/>
      <c r="AO171" s="172"/>
      <c r="AP171" s="172"/>
      <c r="AQ171" s="172"/>
      <c r="AR171" s="172"/>
      <c r="AS171" s="172"/>
    </row>
    <row r="172" spans="1:45">
      <c r="A172" s="211" t="s">
        <v>244</v>
      </c>
      <c r="B172" s="33">
        <f t="shared" ref="B172:I179" ca="1" si="37">B127*$G99</f>
        <v>1.2330010079999998</v>
      </c>
      <c r="C172" s="33">
        <f t="shared" ca="1" si="37"/>
        <v>0</v>
      </c>
      <c r="D172" s="33">
        <f t="shared" ca="1" si="37"/>
        <v>0.30825025199999995</v>
      </c>
      <c r="E172" s="33">
        <f t="shared" si="37"/>
        <v>0</v>
      </c>
      <c r="F172" s="33">
        <f t="shared" ca="1" si="37"/>
        <v>0.17125014</v>
      </c>
      <c r="G172" s="33">
        <f t="shared" si="37"/>
        <v>0</v>
      </c>
      <c r="H172" s="33">
        <f t="shared" si="37"/>
        <v>0</v>
      </c>
      <c r="I172" s="33">
        <f t="shared" ca="1" si="37"/>
        <v>0</v>
      </c>
      <c r="J172" s="213">
        <f t="shared" ref="J172:J183" ca="1" si="38">SUM(B172:I172)</f>
        <v>1.7125013999999996</v>
      </c>
      <c r="K172" s="221">
        <f t="shared" ref="K172:K183" ca="1" si="39">J172/$J$183</f>
        <v>1.8613575419209577E-2</v>
      </c>
      <c r="L172" s="195"/>
      <c r="M172" s="195"/>
      <c r="N172" s="195"/>
      <c r="O172" s="195"/>
      <c r="P172" s="195"/>
      <c r="Q172" s="102"/>
      <c r="V172" s="171"/>
      <c r="W172" s="172"/>
      <c r="X172" s="172"/>
      <c r="Y172" s="172"/>
      <c r="Z172" s="172"/>
      <c r="AA172" s="172"/>
      <c r="AB172" s="172"/>
      <c r="AC172" s="172"/>
      <c r="AD172" s="172"/>
      <c r="AE172" s="172"/>
      <c r="AF172" s="172"/>
      <c r="AG172" s="172"/>
      <c r="AH172" s="172"/>
      <c r="AI172" s="172"/>
      <c r="AJ172" s="172"/>
      <c r="AK172" s="172"/>
      <c r="AL172" s="172"/>
      <c r="AM172" s="172"/>
      <c r="AN172" s="172"/>
      <c r="AO172" s="172"/>
      <c r="AP172" s="172"/>
      <c r="AQ172" s="172"/>
      <c r="AR172" s="172"/>
      <c r="AS172" s="172"/>
    </row>
    <row r="173" spans="1:45">
      <c r="A173" s="211" t="s">
        <v>663</v>
      </c>
      <c r="B173" s="33">
        <f t="shared" ca="1" si="37"/>
        <v>6.7692124290285953</v>
      </c>
      <c r="C173" s="33">
        <f t="shared" ca="1" si="37"/>
        <v>0</v>
      </c>
      <c r="D173" s="33">
        <f t="shared" ca="1" si="37"/>
        <v>1.6923031072571491</v>
      </c>
      <c r="E173" s="33">
        <f t="shared" si="37"/>
        <v>0</v>
      </c>
      <c r="F173" s="33">
        <f t="shared" ca="1" si="37"/>
        <v>0</v>
      </c>
      <c r="G173" s="33">
        <f t="shared" si="37"/>
        <v>0</v>
      </c>
      <c r="H173" s="33">
        <f t="shared" si="37"/>
        <v>0</v>
      </c>
      <c r="I173" s="33">
        <f t="shared" ca="1" si="37"/>
        <v>0.55554374849877808</v>
      </c>
      <c r="J173" s="213">
        <f t="shared" ca="1" si="38"/>
        <v>9.0170592847845228</v>
      </c>
      <c r="K173" s="221">
        <f t="shared" ca="1" si="39"/>
        <v>9.8008511442280122E-2</v>
      </c>
      <c r="L173" s="195"/>
      <c r="M173" s="195"/>
      <c r="N173" s="195"/>
      <c r="O173" s="195"/>
      <c r="P173" s="195"/>
      <c r="Q173" s="102"/>
      <c r="V173" s="171"/>
      <c r="W173" s="172"/>
      <c r="X173" s="172"/>
      <c r="Y173" s="172"/>
      <c r="Z173" s="172"/>
      <c r="AA173" s="172"/>
      <c r="AB173" s="172"/>
      <c r="AC173" s="172"/>
      <c r="AD173" s="172"/>
      <c r="AE173" s="172"/>
      <c r="AF173" s="172"/>
      <c r="AG173" s="172"/>
      <c r="AH173" s="172"/>
      <c r="AI173" s="172"/>
      <c r="AJ173" s="172"/>
      <c r="AK173" s="172"/>
      <c r="AL173" s="172"/>
      <c r="AM173" s="172"/>
      <c r="AN173" s="172"/>
      <c r="AO173" s="172"/>
      <c r="AP173" s="172"/>
      <c r="AQ173" s="172"/>
      <c r="AR173" s="172"/>
      <c r="AS173" s="172"/>
    </row>
    <row r="174" spans="1:45">
      <c r="A174" s="211" t="s">
        <v>87</v>
      </c>
      <c r="B174" s="33">
        <f t="shared" ca="1" si="37"/>
        <v>1.18400024</v>
      </c>
      <c r="C174" s="33">
        <f t="shared" si="37"/>
        <v>0</v>
      </c>
      <c r="D174" s="33">
        <f t="shared" ca="1" si="37"/>
        <v>0.29600006000000001</v>
      </c>
      <c r="E174" s="33">
        <f t="shared" si="37"/>
        <v>0</v>
      </c>
      <c r="F174" s="33">
        <f t="shared" si="37"/>
        <v>0</v>
      </c>
      <c r="G174" s="33">
        <f t="shared" si="37"/>
        <v>0</v>
      </c>
      <c r="H174" s="33">
        <f t="shared" si="37"/>
        <v>0</v>
      </c>
      <c r="I174" s="33">
        <f t="shared" si="37"/>
        <v>0</v>
      </c>
      <c r="J174" s="213">
        <f t="shared" ca="1" si="38"/>
        <v>1.4800002999999999</v>
      </c>
      <c r="K174" s="221">
        <f t="shared" ca="1" si="39"/>
        <v>1.60864669684374E-2</v>
      </c>
      <c r="L174" s="195"/>
      <c r="M174" s="195"/>
      <c r="N174" s="195"/>
      <c r="O174" s="195"/>
      <c r="P174" s="195"/>
      <c r="Q174" s="102"/>
      <c r="V174" s="171"/>
      <c r="W174" s="172"/>
      <c r="X174" s="172"/>
      <c r="Y174" s="172"/>
      <c r="Z174" s="172"/>
      <c r="AA174" s="172"/>
      <c r="AB174" s="172"/>
      <c r="AC174" s="172"/>
      <c r="AD174" s="172"/>
      <c r="AE174" s="172"/>
      <c r="AF174" s="172"/>
      <c r="AG174" s="172"/>
      <c r="AH174" s="172"/>
      <c r="AI174" s="172"/>
      <c r="AJ174" s="172"/>
      <c r="AK174" s="172"/>
      <c r="AL174" s="172"/>
      <c r="AM174" s="172"/>
      <c r="AN174" s="172"/>
      <c r="AO174" s="172"/>
      <c r="AP174" s="172"/>
      <c r="AQ174" s="172"/>
      <c r="AR174" s="172"/>
      <c r="AS174" s="172"/>
    </row>
    <row r="175" spans="1:45">
      <c r="A175" s="211" t="s">
        <v>576</v>
      </c>
      <c r="B175" s="33">
        <f t="shared" ca="1" si="37"/>
        <v>0</v>
      </c>
      <c r="C175" s="33">
        <f t="shared" si="37"/>
        <v>0</v>
      </c>
      <c r="D175" s="33">
        <f t="shared" ca="1" si="37"/>
        <v>0</v>
      </c>
      <c r="E175" s="33">
        <f t="shared" ca="1" si="37"/>
        <v>0</v>
      </c>
      <c r="F175" s="33">
        <f t="shared" ca="1" si="37"/>
        <v>0</v>
      </c>
      <c r="G175" s="33">
        <f t="shared" si="37"/>
        <v>0</v>
      </c>
      <c r="H175" s="33">
        <f t="shared" si="37"/>
        <v>0</v>
      </c>
      <c r="I175" s="33">
        <f t="shared" si="37"/>
        <v>0</v>
      </c>
      <c r="J175" s="213">
        <f t="shared" ca="1" si="38"/>
        <v>0</v>
      </c>
      <c r="K175" s="221">
        <f t="shared" ca="1" si="39"/>
        <v>0</v>
      </c>
      <c r="L175" s="195"/>
      <c r="M175" s="195"/>
      <c r="N175" s="195"/>
      <c r="O175" s="195"/>
      <c r="P175" s="195"/>
      <c r="Q175" s="102"/>
      <c r="V175" s="171"/>
      <c r="W175" s="172"/>
      <c r="X175" s="172"/>
      <c r="Y175" s="172"/>
      <c r="Z175" s="172"/>
      <c r="AA175" s="172"/>
      <c r="AB175" s="172"/>
      <c r="AC175" s="172"/>
      <c r="AD175" s="172"/>
      <c r="AE175" s="172"/>
      <c r="AF175" s="172"/>
      <c r="AG175" s="172"/>
      <c r="AH175" s="172"/>
      <c r="AI175" s="172"/>
      <c r="AJ175" s="172"/>
      <c r="AK175" s="172"/>
      <c r="AL175" s="172"/>
      <c r="AM175" s="172"/>
      <c r="AN175" s="172"/>
      <c r="AO175" s="172"/>
      <c r="AP175" s="172"/>
      <c r="AQ175" s="172"/>
      <c r="AR175" s="172"/>
      <c r="AS175" s="172"/>
    </row>
    <row r="176" spans="1:45">
      <c r="A176" s="211" t="str">
        <f>A131</f>
        <v>Coal-Commercial</v>
      </c>
      <c r="B176" s="33">
        <f t="shared" ca="1" si="37"/>
        <v>7.9361600000000004E-2</v>
      </c>
      <c r="C176" s="33">
        <f t="shared" si="37"/>
        <v>0</v>
      </c>
      <c r="D176" s="33">
        <f t="shared" ca="1" si="37"/>
        <v>1.9840400000000001E-2</v>
      </c>
      <c r="E176" s="33">
        <f t="shared" si="37"/>
        <v>0</v>
      </c>
      <c r="F176" s="33">
        <f t="shared" ca="1" si="37"/>
        <v>0</v>
      </c>
      <c r="G176" s="33">
        <f t="shared" si="37"/>
        <v>0</v>
      </c>
      <c r="H176" s="33">
        <f t="shared" si="37"/>
        <v>0</v>
      </c>
      <c r="I176" s="33">
        <f t="shared" si="37"/>
        <v>0</v>
      </c>
      <c r="J176" s="213">
        <f t="shared" ca="1" si="38"/>
        <v>9.9202000000000012E-2</v>
      </c>
      <c r="K176" s="221">
        <f t="shared" ca="1" si="39"/>
        <v>1.0782495761676044E-3</v>
      </c>
      <c r="L176" s="195"/>
      <c r="M176" s="195"/>
      <c r="N176" s="195"/>
      <c r="O176" s="195"/>
      <c r="P176" s="195"/>
      <c r="Q176" s="102"/>
      <c r="V176" s="171"/>
      <c r="W176" s="172"/>
      <c r="X176" s="172"/>
      <c r="Y176" s="172"/>
      <c r="Z176" s="172"/>
      <c r="AA176" s="172"/>
      <c r="AB176" s="172"/>
      <c r="AC176" s="172"/>
      <c r="AD176" s="172"/>
      <c r="AE176" s="172"/>
      <c r="AF176" s="172"/>
      <c r="AG176" s="172"/>
      <c r="AH176" s="172"/>
      <c r="AI176" s="172"/>
      <c r="AJ176" s="172"/>
      <c r="AK176" s="172"/>
      <c r="AL176" s="172"/>
      <c r="AM176" s="172"/>
      <c r="AN176" s="172"/>
      <c r="AO176" s="172"/>
      <c r="AP176" s="172"/>
      <c r="AQ176" s="172"/>
      <c r="AR176" s="172"/>
      <c r="AS176" s="172"/>
    </row>
    <row r="177" spans="1:66">
      <c r="A177" s="211" t="s">
        <v>665</v>
      </c>
      <c r="B177" s="33">
        <f t="shared" ca="1" si="37"/>
        <v>0</v>
      </c>
      <c r="C177" s="33">
        <f t="shared" si="37"/>
        <v>0</v>
      </c>
      <c r="D177" s="33">
        <f t="shared" ca="1" si="37"/>
        <v>0</v>
      </c>
      <c r="E177" s="33">
        <f t="shared" si="37"/>
        <v>0</v>
      </c>
      <c r="F177" s="33">
        <f t="shared" ca="1" si="37"/>
        <v>0</v>
      </c>
      <c r="G177" s="33">
        <f t="shared" si="37"/>
        <v>0</v>
      </c>
      <c r="H177" s="33">
        <f t="shared" si="37"/>
        <v>0</v>
      </c>
      <c r="I177" s="33">
        <f t="shared" si="37"/>
        <v>0</v>
      </c>
      <c r="J177" s="213">
        <f t="shared" ca="1" si="38"/>
        <v>0</v>
      </c>
      <c r="K177" s="221">
        <f t="shared" ca="1" si="39"/>
        <v>0</v>
      </c>
      <c r="L177" s="195"/>
      <c r="M177" s="195"/>
      <c r="N177" s="195"/>
      <c r="O177" s="195"/>
      <c r="P177" s="195"/>
      <c r="Q177" s="102"/>
      <c r="V177" s="171"/>
      <c r="W177" s="172"/>
      <c r="X177" s="172"/>
      <c r="Y177" s="172"/>
      <c r="Z177" s="172"/>
      <c r="AA177" s="172"/>
      <c r="AB177" s="172"/>
      <c r="AC177" s="172"/>
      <c r="AD177" s="172"/>
      <c r="AE177" s="172"/>
      <c r="AF177" s="172"/>
      <c r="AG177" s="172"/>
      <c r="AH177" s="172"/>
      <c r="AI177" s="172"/>
      <c r="AJ177" s="172"/>
      <c r="AK177" s="172"/>
      <c r="AL177" s="172"/>
      <c r="AM177" s="172"/>
      <c r="AN177" s="172"/>
      <c r="AO177" s="172"/>
      <c r="AP177" s="172"/>
      <c r="AQ177" s="172"/>
      <c r="AR177" s="172"/>
      <c r="AS177" s="172"/>
    </row>
    <row r="178" spans="1:66">
      <c r="A178" s="211" t="s">
        <v>588</v>
      </c>
      <c r="B178" s="33">
        <f t="shared" ca="1" si="37"/>
        <v>3.0919992000000005</v>
      </c>
      <c r="C178" s="33">
        <f t="shared" si="37"/>
        <v>0</v>
      </c>
      <c r="D178" s="33">
        <f t="shared" ca="1" si="37"/>
        <v>0</v>
      </c>
      <c r="E178" s="33">
        <f t="shared" si="37"/>
        <v>0</v>
      </c>
      <c r="F178" s="33">
        <f t="shared" ca="1" si="37"/>
        <v>0</v>
      </c>
      <c r="G178" s="33">
        <f t="shared" si="37"/>
        <v>0</v>
      </c>
      <c r="H178" s="33">
        <f t="shared" si="37"/>
        <v>0</v>
      </c>
      <c r="I178" s="33">
        <f t="shared" si="37"/>
        <v>0</v>
      </c>
      <c r="J178" s="213">
        <f t="shared" ca="1" si="38"/>
        <v>3.0919992000000005</v>
      </c>
      <c r="K178" s="221">
        <f t="shared" ca="1" si="39"/>
        <v>3.3607657374957883E-2</v>
      </c>
      <c r="L178" s="195"/>
      <c r="M178" s="195"/>
      <c r="N178" s="195"/>
      <c r="O178" s="195"/>
      <c r="P178" s="195"/>
      <c r="Q178" s="102"/>
      <c r="V178" s="171"/>
      <c r="W178" s="172"/>
      <c r="X178" s="172"/>
      <c r="Y178" s="172"/>
      <c r="Z178" s="172"/>
      <c r="AA178" s="172"/>
      <c r="AB178" s="172"/>
      <c r="AC178" s="172"/>
      <c r="AD178" s="172"/>
      <c r="AE178" s="172"/>
      <c r="AF178" s="172"/>
      <c r="AG178" s="172"/>
      <c r="AH178" s="172"/>
      <c r="AI178" s="172"/>
      <c r="AJ178" s="172"/>
      <c r="AK178" s="172"/>
      <c r="AL178" s="172"/>
      <c r="AM178" s="172"/>
      <c r="AN178" s="172"/>
      <c r="AO178" s="172"/>
      <c r="AP178" s="172"/>
      <c r="AQ178" s="172"/>
      <c r="AR178" s="172"/>
      <c r="AS178" s="172"/>
    </row>
    <row r="179" spans="1:66">
      <c r="A179" s="211" t="s">
        <v>247</v>
      </c>
      <c r="B179" s="33">
        <f t="shared" ca="1" si="37"/>
        <v>5.4497901113691727</v>
      </c>
      <c r="C179" s="33">
        <f t="shared" ca="1" si="37"/>
        <v>1.8175402413484245</v>
      </c>
      <c r="D179" s="33">
        <f t="shared" ca="1" si="37"/>
        <v>1.3624475278422929</v>
      </c>
      <c r="E179" s="33">
        <f t="shared" ca="1" si="37"/>
        <v>12.754668360339826</v>
      </c>
      <c r="F179" s="33">
        <f t="shared" ca="1" si="37"/>
        <v>1.8668230506109365</v>
      </c>
      <c r="G179" s="33">
        <f t="shared" ca="1" si="37"/>
        <v>3.2669403385691389</v>
      </c>
      <c r="H179" s="33">
        <f t="shared" ca="1" si="37"/>
        <v>3.1927683008082663</v>
      </c>
      <c r="I179" s="33">
        <f t="shared" ca="1" si="37"/>
        <v>16.959598334385355</v>
      </c>
      <c r="J179" s="213">
        <f t="shared" ca="1" si="38"/>
        <v>46.670576265273411</v>
      </c>
      <c r="K179" s="221">
        <f t="shared" ca="1" si="39"/>
        <v>0.50727333196436464</v>
      </c>
      <c r="L179" s="195"/>
      <c r="M179" s="195"/>
      <c r="N179" s="195"/>
      <c r="O179" s="195"/>
      <c r="P179" s="195"/>
      <c r="Q179" s="102"/>
      <c r="V179" s="171"/>
      <c r="W179" s="172"/>
      <c r="X179" s="172"/>
      <c r="Y179" s="172"/>
      <c r="Z179" s="172"/>
      <c r="AA179" s="172"/>
      <c r="AB179" s="172"/>
      <c r="AC179" s="172"/>
      <c r="AD179" s="172"/>
      <c r="AE179" s="172"/>
      <c r="AF179" s="172"/>
      <c r="AG179" s="172"/>
      <c r="AH179" s="172"/>
      <c r="AI179" s="172"/>
      <c r="AJ179" s="172"/>
      <c r="AK179" s="172"/>
      <c r="AL179" s="172"/>
      <c r="AM179" s="172"/>
      <c r="AN179" s="172"/>
      <c r="AO179" s="172"/>
      <c r="AP179" s="172"/>
      <c r="AQ179" s="172"/>
      <c r="AR179" s="172"/>
      <c r="AS179" s="172"/>
    </row>
    <row r="180" spans="1:66">
      <c r="A180" s="211" t="str">
        <f>A135</f>
        <v>Heat</v>
      </c>
      <c r="B180" s="33">
        <f ca="1">B135*$G107</f>
        <v>23.851583999999999</v>
      </c>
      <c r="C180" s="33">
        <f ca="1">MAX(C135*$G107,$P$104*3.6/1000)</f>
        <v>9.3600000000000003E-2</v>
      </c>
      <c r="D180" s="33">
        <f t="shared" ref="D180:I182" ca="1" si="40">D135*$G107</f>
        <v>5.9862960000000003</v>
      </c>
      <c r="E180" s="33">
        <f t="shared" si="40"/>
        <v>0</v>
      </c>
      <c r="F180" s="33">
        <f t="shared" si="40"/>
        <v>0</v>
      </c>
      <c r="G180" s="33">
        <f t="shared" si="40"/>
        <v>0</v>
      </c>
      <c r="H180" s="33">
        <f t="shared" si="40"/>
        <v>0</v>
      </c>
      <c r="I180" s="33">
        <f t="shared" si="40"/>
        <v>0</v>
      </c>
      <c r="J180" s="213">
        <f t="shared" ca="1" si="38"/>
        <v>29.931479999999997</v>
      </c>
      <c r="K180" s="221">
        <f t="shared" ca="1" si="39"/>
        <v>0.32533220725458278</v>
      </c>
      <c r="L180" s="195"/>
      <c r="M180" s="195"/>
      <c r="N180" s="195"/>
      <c r="O180" s="195"/>
      <c r="P180" s="195"/>
      <c r="Q180" s="102"/>
      <c r="V180" s="171"/>
      <c r="W180" s="172"/>
      <c r="X180" s="172"/>
      <c r="Y180" s="172"/>
      <c r="Z180" s="172"/>
      <c r="AA180" s="172"/>
      <c r="AB180" s="172"/>
      <c r="AC180" s="172"/>
      <c r="AD180" s="172"/>
      <c r="AE180" s="172"/>
      <c r="AF180" s="172"/>
      <c r="AG180" s="172"/>
      <c r="AH180" s="172"/>
      <c r="AI180" s="172"/>
      <c r="AJ180" s="172"/>
      <c r="AK180" s="172"/>
      <c r="AL180" s="172"/>
      <c r="AM180" s="172"/>
      <c r="AN180" s="172"/>
      <c r="AO180" s="172"/>
      <c r="AP180" s="172"/>
      <c r="AQ180" s="172"/>
      <c r="AR180" s="172"/>
      <c r="AS180" s="172"/>
    </row>
    <row r="181" spans="1:66">
      <c r="A181" s="211" t="s">
        <v>245</v>
      </c>
      <c r="B181" s="33">
        <f ca="1">B136*$G108</f>
        <v>0</v>
      </c>
      <c r="C181" s="33">
        <f ca="1">C136*$G108</f>
        <v>0</v>
      </c>
      <c r="D181" s="33">
        <f t="shared" ca="1" si="40"/>
        <v>0</v>
      </c>
      <c r="E181" s="33">
        <f t="shared" si="40"/>
        <v>0</v>
      </c>
      <c r="F181" s="33">
        <f t="shared" si="40"/>
        <v>0</v>
      </c>
      <c r="G181" s="33">
        <f t="shared" si="40"/>
        <v>0</v>
      </c>
      <c r="H181" s="33">
        <f t="shared" si="40"/>
        <v>0</v>
      </c>
      <c r="I181" s="33">
        <f t="shared" si="40"/>
        <v>0</v>
      </c>
      <c r="J181" s="213">
        <f t="shared" ca="1" si="38"/>
        <v>0</v>
      </c>
      <c r="K181" s="221">
        <f t="shared" ca="1" si="39"/>
        <v>0</v>
      </c>
      <c r="L181" s="195"/>
      <c r="M181" s="195"/>
      <c r="N181" s="195"/>
      <c r="O181" s="195"/>
      <c r="P181" s="195"/>
      <c r="Q181" s="102"/>
      <c r="V181" s="171"/>
      <c r="W181" s="172"/>
      <c r="X181" s="172"/>
      <c r="Y181" s="172"/>
      <c r="Z181" s="172"/>
      <c r="AA181" s="172"/>
      <c r="AB181" s="172"/>
      <c r="AC181" s="172"/>
      <c r="AD181" s="172"/>
      <c r="AE181" s="172"/>
      <c r="AF181" s="172"/>
      <c r="AG181" s="172"/>
      <c r="AH181" s="172"/>
      <c r="AI181" s="172"/>
      <c r="AJ181" s="172"/>
      <c r="AK181" s="172"/>
      <c r="AL181" s="172"/>
      <c r="AM181" s="172"/>
      <c r="AN181" s="172"/>
      <c r="AO181" s="172"/>
      <c r="AP181" s="172"/>
      <c r="AQ181" s="172"/>
      <c r="AR181" s="172"/>
      <c r="AS181" s="172"/>
    </row>
    <row r="182" spans="1:66">
      <c r="A182" s="211" t="s">
        <v>246</v>
      </c>
      <c r="B182" s="33">
        <f ca="1">B137*$G109</f>
        <v>0</v>
      </c>
      <c r="C182" s="33">
        <f>C137*$G109</f>
        <v>0</v>
      </c>
      <c r="D182" s="33">
        <f t="shared" ca="1" si="40"/>
        <v>0</v>
      </c>
      <c r="E182" s="33">
        <f t="shared" si="40"/>
        <v>0</v>
      </c>
      <c r="F182" s="33">
        <f t="shared" ca="1" si="40"/>
        <v>0</v>
      </c>
      <c r="G182" s="33">
        <f t="shared" si="40"/>
        <v>0</v>
      </c>
      <c r="H182" s="33">
        <f t="shared" si="40"/>
        <v>0</v>
      </c>
      <c r="I182" s="33">
        <f t="shared" si="40"/>
        <v>0</v>
      </c>
      <c r="J182" s="213">
        <f t="shared" ca="1" si="38"/>
        <v>0</v>
      </c>
      <c r="K182" s="221">
        <f t="shared" ca="1" si="39"/>
        <v>0</v>
      </c>
      <c r="L182" s="195"/>
      <c r="M182" s="195"/>
      <c r="N182" s="195"/>
      <c r="O182" s="195"/>
      <c r="P182" s="195"/>
      <c r="Q182" s="102"/>
      <c r="V182" s="171"/>
      <c r="W182" s="172"/>
      <c r="X182" s="172"/>
      <c r="Y182" s="172"/>
      <c r="Z182" s="172"/>
      <c r="AA182" s="172"/>
      <c r="AB182" s="172"/>
      <c r="AC182" s="172"/>
      <c r="AD182" s="172"/>
      <c r="AE182" s="172"/>
      <c r="AF182" s="172"/>
      <c r="AG182" s="172"/>
      <c r="AH182" s="172"/>
      <c r="AI182" s="172"/>
      <c r="AJ182" s="172"/>
      <c r="AK182" s="172"/>
      <c r="AL182" s="172"/>
      <c r="AM182" s="172"/>
      <c r="AN182" s="172"/>
      <c r="AO182" s="172"/>
      <c r="AP182" s="172"/>
      <c r="AQ182" s="172"/>
      <c r="AR182" s="172"/>
      <c r="AS182" s="172"/>
    </row>
    <row r="183" spans="1:66">
      <c r="A183" s="195" t="s">
        <v>248</v>
      </c>
      <c r="B183" s="213">
        <f t="shared" ref="B183:I183" ca="1" si="41">SUM(B172:B182)</f>
        <v>41.658948588397763</v>
      </c>
      <c r="C183" s="213">
        <f t="shared" ca="1" si="41"/>
        <v>1.9111402413484244</v>
      </c>
      <c r="D183" s="213">
        <f t="shared" ca="1" si="41"/>
        <v>9.6651373470994422</v>
      </c>
      <c r="E183" s="213">
        <f t="shared" ca="1" si="41"/>
        <v>12.754668360339826</v>
      </c>
      <c r="F183" s="213">
        <f t="shared" ca="1" si="41"/>
        <v>2.0380731906109366</v>
      </c>
      <c r="G183" s="213">
        <f t="shared" ca="1" si="41"/>
        <v>3.2669403385691389</v>
      </c>
      <c r="H183" s="213">
        <f t="shared" ca="1" si="41"/>
        <v>3.1927683008082663</v>
      </c>
      <c r="I183" s="213">
        <f t="shared" ca="1" si="41"/>
        <v>17.515142082884132</v>
      </c>
      <c r="J183" s="213">
        <f t="shared" ca="1" si="38"/>
        <v>92.00281845005793</v>
      </c>
      <c r="K183" s="221">
        <f t="shared" ca="1" si="39"/>
        <v>1</v>
      </c>
      <c r="L183" s="195"/>
      <c r="M183" s="195"/>
      <c r="N183" s="195"/>
      <c r="O183" s="195"/>
      <c r="P183" s="195"/>
      <c r="Q183" s="102"/>
      <c r="V183" s="171"/>
      <c r="W183" s="172"/>
      <c r="X183" s="172"/>
      <c r="Y183" s="172"/>
      <c r="Z183" s="172"/>
      <c r="AA183" s="172"/>
      <c r="AB183" s="172"/>
      <c r="AC183" s="172"/>
      <c r="AD183" s="172"/>
      <c r="AE183" s="172"/>
      <c r="AF183" s="172"/>
      <c r="AG183" s="172"/>
      <c r="AH183" s="172"/>
      <c r="AI183" s="172"/>
      <c r="AJ183" s="172"/>
      <c r="AK183" s="172"/>
      <c r="AL183" s="172"/>
      <c r="AM183" s="172"/>
      <c r="AN183" s="172"/>
      <c r="AO183" s="172"/>
      <c r="AP183" s="172"/>
      <c r="AQ183" s="172"/>
      <c r="AR183" s="172"/>
      <c r="AS183" s="172"/>
    </row>
    <row r="184" spans="1:66">
      <c r="A184" s="195" t="s">
        <v>337</v>
      </c>
      <c r="B184" s="215">
        <f t="shared" ref="B184:J184" ca="1" si="42">B183/$J$183</f>
        <v>0.4528007868694976</v>
      </c>
      <c r="C184" s="215">
        <f t="shared" ca="1" si="42"/>
        <v>2.0772627116699173E-2</v>
      </c>
      <c r="D184" s="215">
        <f t="shared" ca="1" si="42"/>
        <v>0.10505262240793185</v>
      </c>
      <c r="E184" s="215">
        <f t="shared" ca="1" si="42"/>
        <v>0.13863345248780035</v>
      </c>
      <c r="F184" s="215">
        <f t="shared" ca="1" si="42"/>
        <v>2.2152290820495548E-2</v>
      </c>
      <c r="G184" s="215">
        <f t="shared" ca="1" si="42"/>
        <v>3.5509133237505527E-2</v>
      </c>
      <c r="H184" s="215">
        <f t="shared" ca="1" si="42"/>
        <v>3.4702940133746044E-2</v>
      </c>
      <c r="I184" s="215">
        <f t="shared" ca="1" si="42"/>
        <v>0.1903761469263239</v>
      </c>
      <c r="J184" s="215">
        <f t="shared" ca="1" si="42"/>
        <v>1</v>
      </c>
      <c r="K184" s="195"/>
      <c r="L184" s="195"/>
      <c r="M184" s="195"/>
      <c r="N184" s="195"/>
      <c r="O184" s="195"/>
      <c r="P184" s="195"/>
      <c r="Q184" s="102"/>
      <c r="V184" s="171"/>
      <c r="W184" s="172"/>
      <c r="X184" s="172"/>
      <c r="Y184" s="172"/>
      <c r="Z184" s="172"/>
      <c r="AA184" s="172"/>
      <c r="AB184" s="172"/>
      <c r="AC184" s="172"/>
      <c r="AD184" s="172"/>
      <c r="AE184" s="172"/>
      <c r="AF184" s="172"/>
      <c r="AG184" s="172"/>
      <c r="AH184" s="172"/>
      <c r="AI184" s="172"/>
      <c r="AJ184" s="172"/>
      <c r="AK184" s="172"/>
      <c r="AL184" s="172"/>
      <c r="AM184" s="172"/>
      <c r="AN184" s="172"/>
      <c r="AO184" s="172"/>
      <c r="AP184" s="172"/>
      <c r="AQ184" s="172"/>
      <c r="AR184" s="172"/>
      <c r="AS184" s="172"/>
    </row>
    <row r="185" spans="1:66">
      <c r="A185" s="195"/>
      <c r="B185" s="195"/>
      <c r="C185" s="195"/>
      <c r="D185" s="195"/>
      <c r="E185" s="195"/>
      <c r="F185" s="195"/>
      <c r="G185" s="195"/>
      <c r="H185" s="195"/>
      <c r="I185" s="195"/>
      <c r="J185" s="195"/>
      <c r="K185" s="195"/>
      <c r="L185" s="195"/>
      <c r="M185" s="195"/>
      <c r="N185" s="195"/>
      <c r="O185" s="195"/>
      <c r="P185" s="195"/>
      <c r="Q185" s="102"/>
      <c r="V185" s="171"/>
      <c r="W185" s="172"/>
      <c r="X185" s="172"/>
      <c r="Y185" s="172"/>
      <c r="Z185" s="172"/>
      <c r="AA185" s="172"/>
      <c r="AB185" s="172"/>
      <c r="AC185" s="172"/>
      <c r="AD185" s="172"/>
      <c r="AE185" s="172"/>
      <c r="AF185" s="172"/>
      <c r="AG185" s="172"/>
      <c r="AH185" s="172"/>
      <c r="AI185" s="172"/>
      <c r="AJ185" s="172"/>
      <c r="AK185" s="172"/>
      <c r="AL185" s="172"/>
      <c r="AM185" s="172"/>
      <c r="AN185" s="172"/>
      <c r="AO185" s="172"/>
      <c r="AP185" s="172"/>
      <c r="AQ185" s="172"/>
      <c r="AR185" s="172"/>
      <c r="AS185" s="172"/>
    </row>
    <row r="186" spans="1:66">
      <c r="A186" s="195"/>
      <c r="B186" s="195"/>
      <c r="C186" s="195"/>
      <c r="D186" s="195"/>
      <c r="E186" s="195"/>
      <c r="F186" s="195"/>
      <c r="G186" s="195"/>
      <c r="H186" s="195"/>
      <c r="I186" s="195"/>
      <c r="J186" s="195"/>
      <c r="K186" s="195"/>
      <c r="L186" s="195"/>
      <c r="M186" s="195"/>
      <c r="N186" s="195"/>
      <c r="O186" s="195"/>
      <c r="P186" s="195"/>
      <c r="Q186" s="102"/>
      <c r="V186" s="171"/>
      <c r="W186" s="172"/>
      <c r="X186" s="172"/>
      <c r="Y186" s="172"/>
      <c r="Z186" s="172"/>
      <c r="AA186" s="172"/>
      <c r="AB186" s="172"/>
      <c r="AC186" s="172"/>
      <c r="AD186" s="172"/>
      <c r="AE186" s="172"/>
      <c r="AF186" s="172"/>
      <c r="AG186" s="172"/>
      <c r="AH186" s="172"/>
      <c r="AI186" s="172"/>
      <c r="AJ186" s="172"/>
      <c r="AK186" s="172"/>
      <c r="AL186" s="172"/>
      <c r="AM186" s="172"/>
      <c r="AN186" s="172"/>
      <c r="AO186" s="172"/>
      <c r="AP186" s="172"/>
      <c r="AQ186" s="172"/>
      <c r="AR186" s="172"/>
      <c r="AS186" s="172"/>
    </row>
    <row r="187" spans="1:66" ht="18">
      <c r="A187" s="243" t="s">
        <v>236</v>
      </c>
      <c r="B187" s="195"/>
      <c r="C187" s="195"/>
      <c r="D187" s="195"/>
      <c r="E187" s="195"/>
      <c r="F187" s="195"/>
      <c r="G187" s="195"/>
      <c r="H187" s="230"/>
      <c r="I187" s="195"/>
      <c r="J187" s="195"/>
      <c r="K187" s="195"/>
      <c r="L187" s="195"/>
      <c r="M187" s="195"/>
      <c r="N187" s="195"/>
      <c r="O187" s="195"/>
      <c r="P187" s="195"/>
      <c r="Q187" s="102"/>
      <c r="V187" s="171"/>
      <c r="W187" s="172"/>
      <c r="X187" s="172"/>
      <c r="Y187" s="172"/>
      <c r="Z187" s="172"/>
      <c r="AA187" s="172"/>
      <c r="AB187" s="172"/>
      <c r="AC187" s="172"/>
      <c r="AD187" s="172"/>
      <c r="AE187" s="172"/>
      <c r="AF187" s="172"/>
      <c r="AG187" s="172"/>
      <c r="AH187" s="172"/>
      <c r="AI187" s="172"/>
      <c r="AJ187" s="172"/>
      <c r="AK187" s="172"/>
      <c r="AL187" s="172"/>
      <c r="AM187" s="172"/>
      <c r="AN187" s="172"/>
      <c r="AO187" s="172"/>
      <c r="AP187" s="172"/>
      <c r="AQ187" s="172"/>
      <c r="AR187" s="172"/>
      <c r="AS187" s="172"/>
    </row>
    <row r="188" spans="1:66" s="22" customFormat="1" ht="18">
      <c r="A188" s="204"/>
      <c r="B188" s="131" t="s">
        <v>527</v>
      </c>
      <c r="C188" s="98"/>
      <c r="D188" s="98"/>
      <c r="E188" s="195"/>
      <c r="F188" s="131" t="s">
        <v>528</v>
      </c>
      <c r="G188" s="98"/>
      <c r="H188" s="134"/>
      <c r="I188" s="98"/>
      <c r="J188" s="195"/>
      <c r="K188" s="131" t="s">
        <v>723</v>
      </c>
      <c r="L188" s="98"/>
      <c r="M188" s="134"/>
      <c r="N188" s="134"/>
      <c r="O188" s="195"/>
      <c r="P188" s="195"/>
      <c r="Q188" s="102"/>
      <c r="R188"/>
      <c r="S188"/>
      <c r="T188"/>
      <c r="U188"/>
      <c r="V188" s="171"/>
      <c r="W188" s="172"/>
      <c r="X188" s="172"/>
      <c r="Y188" s="172"/>
      <c r="Z188" s="172"/>
      <c r="AA188" s="172"/>
      <c r="AB188" s="172"/>
      <c r="AC188" s="172"/>
      <c r="AD188" s="172"/>
      <c r="AE188" s="172"/>
      <c r="AF188" s="172"/>
      <c r="AG188" s="172"/>
      <c r="AH188" s="172"/>
      <c r="AI188" s="172"/>
      <c r="AJ188" s="172"/>
      <c r="AK188" s="172"/>
      <c r="AL188" s="172"/>
      <c r="AM188" s="172"/>
      <c r="AN188" s="172"/>
      <c r="AO188" s="172"/>
      <c r="AP188" s="172"/>
      <c r="AQ188" s="172"/>
      <c r="AR188" s="172"/>
      <c r="AS188" s="172"/>
      <c r="AT188"/>
      <c r="AU188"/>
      <c r="AV188"/>
      <c r="AW188"/>
      <c r="AX188"/>
      <c r="AY188"/>
      <c r="AZ188"/>
      <c r="BA188"/>
      <c r="BB188"/>
      <c r="BC188"/>
      <c r="BD188"/>
      <c r="BE188"/>
      <c r="BF188"/>
      <c r="BG188"/>
      <c r="BH188"/>
      <c r="BI188"/>
      <c r="BJ188"/>
      <c r="BK188"/>
      <c r="BL188"/>
      <c r="BM188"/>
    </row>
    <row r="189" spans="1:66" s="22" customFormat="1">
      <c r="A189" s="196" t="s">
        <v>374</v>
      </c>
      <c r="B189" s="200" t="s">
        <v>369</v>
      </c>
      <c r="C189" s="195"/>
      <c r="D189" s="195"/>
      <c r="E189" s="195"/>
      <c r="L189" s="306" t="s">
        <v>724</v>
      </c>
      <c r="M189" s="306" t="s">
        <v>725</v>
      </c>
      <c r="N189" s="306" t="s">
        <v>414</v>
      </c>
      <c r="O189" s="306" t="s">
        <v>724</v>
      </c>
      <c r="P189" s="306" t="s">
        <v>725</v>
      </c>
      <c r="Q189" s="306" t="s">
        <v>414</v>
      </c>
      <c r="R189"/>
      <c r="S189"/>
      <c r="T189"/>
      <c r="U189"/>
      <c r="V189" s="171"/>
      <c r="W189" s="172"/>
      <c r="X189" s="172"/>
      <c r="Y189" s="172"/>
      <c r="Z189" s="172"/>
      <c r="AA189" s="172"/>
      <c r="AB189" s="172"/>
      <c r="AC189" s="172"/>
      <c r="AD189" s="172"/>
      <c r="AE189" s="172"/>
      <c r="AF189" s="172"/>
      <c r="AG189" s="172"/>
      <c r="AH189" s="172"/>
      <c r="AI189" s="172"/>
      <c r="AJ189" s="172"/>
      <c r="AK189" s="172"/>
      <c r="AL189" s="172"/>
      <c r="AM189" s="172"/>
      <c r="AN189" s="172"/>
      <c r="AO189" s="172"/>
      <c r="AP189" s="172"/>
      <c r="AQ189" s="172"/>
      <c r="AR189" s="172"/>
      <c r="AS189" s="172"/>
      <c r="AT189"/>
      <c r="AU189"/>
      <c r="AV189"/>
      <c r="AW189"/>
      <c r="AX189"/>
      <c r="AY189"/>
      <c r="AZ189"/>
      <c r="BA189"/>
      <c r="BB189"/>
      <c r="BC189"/>
      <c r="BD189"/>
      <c r="BE189"/>
      <c r="BF189"/>
      <c r="BG189"/>
      <c r="BH189"/>
      <c r="BI189"/>
      <c r="BJ189"/>
      <c r="BK189"/>
      <c r="BL189"/>
      <c r="BM189"/>
    </row>
    <row r="190" spans="1:66" s="22" customFormat="1">
      <c r="A190" s="195" t="s">
        <v>403</v>
      </c>
      <c r="B190" s="47">
        <v>-1.0800600000000007E-2</v>
      </c>
      <c r="C190" s="365">
        <v>-1.0800600000000007E-2</v>
      </c>
      <c r="D190" s="75" t="s">
        <v>436</v>
      </c>
      <c r="E190" s="195"/>
      <c r="F190" s="43" t="s">
        <v>244</v>
      </c>
      <c r="G190" s="44">
        <f>$C190+$C191+$C192+$C205</f>
        <v>1.9197799999999994E-2</v>
      </c>
      <c r="H190" s="91" t="s">
        <v>427</v>
      </c>
      <c r="I190" s="195"/>
      <c r="J190" s="195"/>
      <c r="K190" s="43" t="s">
        <v>427</v>
      </c>
      <c r="L190" s="268"/>
      <c r="M190" s="268">
        <v>0.1</v>
      </c>
      <c r="N190" s="268">
        <f t="shared" ref="N190:N201" si="43">1-SUM(L190:M190)</f>
        <v>0.9</v>
      </c>
      <c r="O190" s="308">
        <f t="array" ref="O190:Q201">L190:N201*G190:G201</f>
        <v>0</v>
      </c>
      <c r="P190" s="308">
        <v>1.9197799999999994E-3</v>
      </c>
      <c r="Q190" s="308">
        <v>1.7278019999999995E-2</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row>
    <row r="191" spans="1:66" s="22" customFormat="1">
      <c r="A191" s="205" t="s">
        <v>182</v>
      </c>
      <c r="B191" s="47">
        <v>0</v>
      </c>
      <c r="C191" s="365">
        <v>0</v>
      </c>
      <c r="D191" s="75" t="s">
        <v>440</v>
      </c>
      <c r="E191" s="195"/>
      <c r="F191" s="43" t="s">
        <v>413</v>
      </c>
      <c r="G191" s="44">
        <f>$C193+$C197+$C204</f>
        <v>14.026529500000001</v>
      </c>
      <c r="H191" s="91" t="s">
        <v>428</v>
      </c>
      <c r="I191" s="195"/>
      <c r="J191" s="195"/>
      <c r="K191" s="43" t="s">
        <v>428</v>
      </c>
      <c r="L191" s="268">
        <v>0.8</v>
      </c>
      <c r="M191" s="268">
        <v>0</v>
      </c>
      <c r="N191" s="268">
        <f t="shared" si="43"/>
        <v>0.19999999999999996</v>
      </c>
      <c r="O191" s="308">
        <v>11.221223600000002</v>
      </c>
      <c r="P191" s="308">
        <v>0</v>
      </c>
      <c r="Q191" s="308">
        <v>2.8053058999999996</v>
      </c>
      <c r="R191"/>
      <c r="S191"/>
      <c r="T191"/>
      <c r="U191"/>
      <c r="V191" s="171"/>
      <c r="W191" s="172"/>
      <c r="X191" s="172"/>
      <c r="Y191" s="172"/>
      <c r="Z191" s="172"/>
      <c r="AA191" s="172"/>
      <c r="AB191" s="172"/>
      <c r="AC191" s="172"/>
      <c r="AD191" s="172"/>
      <c r="AE191" s="172"/>
      <c r="AF191" s="172"/>
      <c r="AG191" s="172"/>
      <c r="AH191" s="172"/>
      <c r="AI191" s="172"/>
      <c r="AJ191" s="172"/>
      <c r="AK191" s="172"/>
      <c r="AL191" s="172"/>
      <c r="AM191" s="172"/>
      <c r="AN191" s="172"/>
      <c r="AO191" s="172"/>
      <c r="AP191" s="172"/>
      <c r="AQ191" s="172"/>
      <c r="AR191" s="172"/>
      <c r="AS191" s="172"/>
      <c r="AT191"/>
      <c r="AU191"/>
      <c r="AV191"/>
      <c r="AW191"/>
      <c r="AX191"/>
      <c r="AY191"/>
      <c r="AZ191"/>
      <c r="BA191"/>
      <c r="BB191"/>
      <c r="BC191"/>
      <c r="BD191"/>
      <c r="BE191"/>
      <c r="BF191"/>
      <c r="BG191"/>
      <c r="BH191"/>
      <c r="BI191"/>
      <c r="BJ191"/>
      <c r="BK191"/>
      <c r="BL191"/>
      <c r="BM191"/>
      <c r="BN191"/>
    </row>
    <row r="192" spans="1:66" s="22" customFormat="1">
      <c r="A192" s="205" t="s">
        <v>183</v>
      </c>
      <c r="B192" s="47">
        <v>0</v>
      </c>
      <c r="C192" s="365">
        <v>0</v>
      </c>
      <c r="D192" s="75" t="s">
        <v>441</v>
      </c>
      <c r="E192" s="195"/>
      <c r="F192" s="43" t="s">
        <v>251</v>
      </c>
      <c r="G192" s="44">
        <f>$C196</f>
        <v>0.35200100000000001</v>
      </c>
      <c r="H192" s="91" t="s">
        <v>137</v>
      </c>
      <c r="I192" s="195"/>
      <c r="J192" s="195"/>
      <c r="K192" s="43" t="s">
        <v>137</v>
      </c>
      <c r="L192" s="268">
        <v>1</v>
      </c>
      <c r="M192" s="268"/>
      <c r="N192" s="268">
        <f t="shared" si="43"/>
        <v>0</v>
      </c>
      <c r="O192" s="308">
        <v>0.35200100000000001</v>
      </c>
      <c r="P192" s="308">
        <v>0</v>
      </c>
      <c r="Q192" s="308">
        <v>0</v>
      </c>
      <c r="R192"/>
      <c r="S192"/>
      <c r="T192"/>
      <c r="U192"/>
      <c r="V192" s="171"/>
      <c r="W192" s="172"/>
      <c r="X192" s="172"/>
      <c r="Y192" s="172"/>
      <c r="Z192" s="172"/>
      <c r="AA192" s="172"/>
      <c r="AB192" s="172"/>
      <c r="AC192" s="172"/>
      <c r="AD192" s="172"/>
      <c r="AE192" s="172"/>
      <c r="AF192" s="172"/>
      <c r="AG192" s="172"/>
      <c r="AH192" s="172"/>
      <c r="AI192" s="172"/>
      <c r="AJ192" s="172"/>
      <c r="AK192" s="172"/>
      <c r="AL192" s="172"/>
      <c r="AM192" s="172"/>
      <c r="AN192" s="172"/>
      <c r="AO192" s="172"/>
      <c r="AP192" s="172"/>
      <c r="AQ192" s="172"/>
      <c r="AR192" s="172"/>
      <c r="AS192" s="172"/>
      <c r="AT192"/>
      <c r="AU192"/>
      <c r="AV192"/>
      <c r="AW192"/>
      <c r="AX192"/>
      <c r="AY192"/>
      <c r="AZ192"/>
      <c r="BA192"/>
      <c r="BB192"/>
      <c r="BC192"/>
      <c r="BD192"/>
      <c r="BE192"/>
      <c r="BF192"/>
      <c r="BG192"/>
      <c r="BH192"/>
      <c r="BI192"/>
      <c r="BJ192"/>
      <c r="BK192"/>
      <c r="BL192"/>
      <c r="BM192"/>
      <c r="BN192"/>
    </row>
    <row r="193" spans="1:66" s="22" customFormat="1">
      <c r="A193" s="195" t="s">
        <v>411</v>
      </c>
      <c r="B193" s="47">
        <v>12.763200299999999</v>
      </c>
      <c r="C193" s="365">
        <v>12.763200299999999</v>
      </c>
      <c r="D193" s="75" t="s">
        <v>221</v>
      </c>
      <c r="E193" s="195"/>
      <c r="F193" s="43" t="s">
        <v>574</v>
      </c>
      <c r="G193" s="44">
        <f>$C194</f>
        <v>0.36000199999999999</v>
      </c>
      <c r="H193" s="91" t="s">
        <v>583</v>
      </c>
      <c r="I193" s="195"/>
      <c r="J193" s="195"/>
      <c r="K193" s="43" t="s">
        <v>583</v>
      </c>
      <c r="L193" s="268"/>
      <c r="M193" s="268"/>
      <c r="N193" s="268">
        <f t="shared" si="43"/>
        <v>1</v>
      </c>
      <c r="O193" s="308">
        <v>0</v>
      </c>
      <c r="P193" s="308">
        <v>0</v>
      </c>
      <c r="Q193" s="308">
        <v>0.36000199999999999</v>
      </c>
      <c r="R193"/>
      <c r="S193"/>
      <c r="T193"/>
      <c r="U193"/>
      <c r="V193" s="171"/>
      <c r="W193" s="172"/>
      <c r="X193" s="172"/>
      <c r="Y193" s="172"/>
      <c r="Z193" s="172"/>
      <c r="AA193" s="172"/>
      <c r="AB193" s="172"/>
      <c r="AC193" s="172"/>
      <c r="AD193" s="172"/>
      <c r="AE193" s="172"/>
      <c r="AF193" s="172"/>
      <c r="AG193" s="172"/>
      <c r="AH193" s="172"/>
      <c r="AI193" s="172"/>
      <c r="AJ193" s="172"/>
      <c r="AK193" s="172"/>
      <c r="AL193" s="172"/>
      <c r="AM193" s="172"/>
      <c r="AN193" s="172"/>
      <c r="AO193" s="172"/>
      <c r="AP193" s="172"/>
      <c r="AQ193" s="172"/>
      <c r="AR193" s="172"/>
      <c r="AS193" s="172"/>
      <c r="AT193"/>
      <c r="AU193"/>
      <c r="AV193"/>
      <c r="AW193"/>
      <c r="AX193"/>
      <c r="AY193"/>
      <c r="AZ193"/>
      <c r="BA193"/>
      <c r="BB193"/>
      <c r="BC193"/>
      <c r="BD193"/>
      <c r="BE193"/>
      <c r="BF193"/>
      <c r="BG193"/>
      <c r="BH193"/>
      <c r="BI193"/>
      <c r="BJ193"/>
      <c r="BK193"/>
      <c r="BL193"/>
      <c r="BM193"/>
      <c r="BN193"/>
    </row>
    <row r="194" spans="1:66" s="22" customFormat="1">
      <c r="A194" s="195" t="s">
        <v>410</v>
      </c>
      <c r="B194" s="47">
        <v>0.36000199999999999</v>
      </c>
      <c r="C194" s="365">
        <v>0.36000199999999999</v>
      </c>
      <c r="D194" s="75" t="s">
        <v>217</v>
      </c>
      <c r="E194" s="195"/>
      <c r="F194" s="43" t="s">
        <v>576</v>
      </c>
      <c r="G194" s="44">
        <f>$C195</f>
        <v>0</v>
      </c>
      <c r="H194" s="91" t="s">
        <v>584</v>
      </c>
      <c r="I194" s="195"/>
      <c r="J194" s="195"/>
      <c r="K194" s="43" t="s">
        <v>584</v>
      </c>
      <c r="L194" s="268"/>
      <c r="M194" s="268">
        <v>0.2</v>
      </c>
      <c r="N194" s="268">
        <f t="shared" si="43"/>
        <v>0.8</v>
      </c>
      <c r="O194" s="308">
        <v>0</v>
      </c>
      <c r="P194" s="308">
        <v>0</v>
      </c>
      <c r="Q194" s="308">
        <v>0</v>
      </c>
      <c r="R194"/>
      <c r="S194"/>
      <c r="T194"/>
      <c r="U194"/>
      <c r="V194" s="171"/>
      <c r="W194" s="172"/>
      <c r="X194" s="172"/>
      <c r="Y194" s="172"/>
      <c r="Z194" s="172"/>
      <c r="AA194" s="172"/>
      <c r="AB194" s="172"/>
      <c r="AC194" s="172"/>
      <c r="AD194" s="172"/>
      <c r="AE194" s="172"/>
      <c r="AF194" s="172"/>
      <c r="AG194" s="172"/>
      <c r="AH194" s="172"/>
      <c r="AI194" s="172"/>
      <c r="AJ194" s="172"/>
      <c r="AK194" s="172"/>
      <c r="AL194" s="172"/>
      <c r="AM194" s="172"/>
      <c r="AN194" s="172"/>
      <c r="AO194" s="172"/>
      <c r="AP194" s="172"/>
      <c r="AQ194" s="172"/>
      <c r="AR194" s="172"/>
      <c r="AS194" s="172"/>
      <c r="AT194"/>
      <c r="AU194"/>
      <c r="AV194"/>
      <c r="AW194"/>
      <c r="AX194"/>
      <c r="AY194"/>
      <c r="AZ194"/>
      <c r="BA194"/>
      <c r="BB194"/>
      <c r="BC194"/>
      <c r="BD194"/>
      <c r="BE194"/>
      <c r="BF194"/>
      <c r="BG194"/>
      <c r="BH194"/>
      <c r="BI194"/>
      <c r="BJ194"/>
      <c r="BK194"/>
      <c r="BL194"/>
      <c r="BM194"/>
      <c r="BN194"/>
    </row>
    <row r="195" spans="1:66" s="22" customFormat="1">
      <c r="A195" s="195" t="s">
        <v>409</v>
      </c>
      <c r="B195" s="47">
        <v>0</v>
      </c>
      <c r="C195" s="365">
        <v>0</v>
      </c>
      <c r="D195" s="75" t="s">
        <v>219</v>
      </c>
      <c r="E195" s="195"/>
      <c r="F195" s="43" t="s">
        <v>664</v>
      </c>
      <c r="G195" s="44">
        <f>($C198+$C199+$C200)</f>
        <v>2.1477153000000002</v>
      </c>
      <c r="H195" s="91" t="s">
        <v>429</v>
      </c>
      <c r="I195" s="195"/>
      <c r="J195" s="195"/>
      <c r="K195" s="43" t="s">
        <v>1018</v>
      </c>
      <c r="L195" s="268"/>
      <c r="M195" s="268"/>
      <c r="N195" s="268">
        <f t="shared" si="43"/>
        <v>1</v>
      </c>
      <c r="O195" s="308">
        <v>0</v>
      </c>
      <c r="P195" s="308">
        <v>0</v>
      </c>
      <c r="Q195" s="308">
        <v>2.1477153000000002</v>
      </c>
      <c r="R195"/>
      <c r="S195"/>
      <c r="T195"/>
      <c r="U195"/>
      <c r="V195" s="171"/>
      <c r="W195" s="172"/>
      <c r="X195" s="172"/>
      <c r="Y195" s="172"/>
      <c r="Z195" s="172"/>
      <c r="AA195" s="172"/>
      <c r="AB195" s="172"/>
      <c r="AC195" s="172"/>
      <c r="AD195" s="172"/>
      <c r="AE195" s="172"/>
      <c r="AF195" s="172"/>
      <c r="AG195" s="172"/>
      <c r="AH195" s="172"/>
      <c r="AI195" s="172"/>
      <c r="AJ195" s="172"/>
      <c r="AK195" s="172"/>
      <c r="AL195" s="172"/>
      <c r="AM195" s="172"/>
      <c r="AN195" s="172"/>
      <c r="AO195" s="172"/>
      <c r="AP195" s="172"/>
      <c r="AQ195" s="172"/>
      <c r="AR195" s="172"/>
      <c r="AS195" s="172"/>
      <c r="AT195"/>
      <c r="AU195"/>
      <c r="AV195"/>
      <c r="AW195"/>
      <c r="AX195"/>
      <c r="AY195"/>
      <c r="AZ195"/>
      <c r="BA195"/>
      <c r="BB195"/>
      <c r="BC195"/>
      <c r="BD195"/>
      <c r="BE195"/>
      <c r="BF195"/>
      <c r="BG195"/>
      <c r="BH195"/>
      <c r="BI195"/>
      <c r="BJ195"/>
      <c r="BK195"/>
      <c r="BL195"/>
      <c r="BM195"/>
      <c r="BN195"/>
    </row>
    <row r="196" spans="1:66" s="22" customFormat="1">
      <c r="A196" s="195" t="s">
        <v>426</v>
      </c>
      <c r="B196" s="45">
        <v>0.35200100000000001</v>
      </c>
      <c r="C196" s="365">
        <v>0.35200100000000001</v>
      </c>
      <c r="D196" s="76" t="s">
        <v>220</v>
      </c>
      <c r="E196" s="195"/>
      <c r="F196" s="43" t="s">
        <v>405</v>
      </c>
      <c r="G196" s="44">
        <f>$C201</f>
        <v>0.13800110000000002</v>
      </c>
      <c r="H196" s="91" t="s">
        <v>430</v>
      </c>
      <c r="I196" s="195"/>
      <c r="J196" s="195"/>
      <c r="K196" s="43" t="s">
        <v>430</v>
      </c>
      <c r="L196" s="268"/>
      <c r="M196" s="268">
        <v>0.2</v>
      </c>
      <c r="N196" s="268">
        <f t="shared" si="43"/>
        <v>0.8</v>
      </c>
      <c r="O196" s="308">
        <v>0</v>
      </c>
      <c r="P196" s="308">
        <v>2.7600220000000005E-2</v>
      </c>
      <c r="Q196" s="308">
        <v>0.11040088000000002</v>
      </c>
      <c r="R196"/>
      <c r="S196"/>
      <c r="T196"/>
      <c r="U196"/>
      <c r="V196" s="171"/>
      <c r="W196" s="172"/>
      <c r="X196" s="172"/>
      <c r="Y196" s="172"/>
      <c r="Z196" s="172"/>
      <c r="AA196" s="172"/>
      <c r="AB196" s="172"/>
      <c r="AC196" s="172"/>
      <c r="AD196" s="172"/>
      <c r="AE196" s="172"/>
      <c r="AF196" s="172"/>
      <c r="AG196" s="172"/>
      <c r="AH196" s="172"/>
      <c r="AI196" s="172"/>
      <c r="AJ196" s="172"/>
      <c r="AK196" s="172"/>
      <c r="AL196" s="172"/>
      <c r="AM196" s="172"/>
      <c r="AN196" s="172"/>
      <c r="AO196" s="172"/>
      <c r="AP196" s="172"/>
      <c r="AQ196" s="172"/>
      <c r="AR196" s="172"/>
      <c r="AS196" s="172"/>
      <c r="AT196"/>
      <c r="AU196"/>
      <c r="AV196"/>
      <c r="AW196"/>
      <c r="AX196"/>
      <c r="AY196"/>
      <c r="AZ196"/>
      <c r="BA196"/>
      <c r="BB196"/>
      <c r="BC196"/>
      <c r="BD196"/>
      <c r="BE196"/>
      <c r="BF196"/>
      <c r="BG196"/>
      <c r="BH196"/>
      <c r="BI196"/>
      <c r="BJ196"/>
      <c r="BK196"/>
      <c r="BL196"/>
      <c r="BM196"/>
      <c r="BN196"/>
    </row>
    <row r="197" spans="1:66" s="22" customFormat="1">
      <c r="A197" s="205" t="s">
        <v>184</v>
      </c>
      <c r="B197" s="565">
        <v>1.2353991</v>
      </c>
      <c r="C197" s="380">
        <v>1.2353991</v>
      </c>
      <c r="D197" s="75" t="s">
        <v>647</v>
      </c>
      <c r="E197" s="195"/>
      <c r="F197" s="43" t="s">
        <v>588</v>
      </c>
      <c r="G197" s="44">
        <f>$C202+$C203+$C206+$C207</f>
        <v>7.0075995000000004</v>
      </c>
      <c r="H197" s="91" t="s">
        <v>431</v>
      </c>
      <c r="I197" s="195"/>
      <c r="J197" s="195"/>
      <c r="K197" s="43" t="s">
        <v>431</v>
      </c>
      <c r="L197" s="268"/>
      <c r="M197" s="268"/>
      <c r="N197" s="268">
        <f t="shared" si="43"/>
        <v>1</v>
      </c>
      <c r="O197" s="308">
        <v>0</v>
      </c>
      <c r="P197" s="308">
        <v>0</v>
      </c>
      <c r="Q197" s="308">
        <v>7.0075995000000004</v>
      </c>
      <c r="R197"/>
      <c r="S197"/>
      <c r="T197"/>
      <c r="U197"/>
      <c r="V197" s="171"/>
      <c r="W197" s="172"/>
      <c r="X197" s="172"/>
      <c r="Y197" s="172"/>
      <c r="Z197" s="172"/>
      <c r="AA197" s="172"/>
      <c r="AB197" s="172"/>
      <c r="AC197" s="172"/>
      <c r="AD197" s="172"/>
      <c r="AE197" s="172"/>
      <c r="AF197" s="172"/>
      <c r="AG197" s="172"/>
      <c r="AH197" s="172"/>
      <c r="AI197" s="172"/>
      <c r="AJ197" s="172"/>
      <c r="AK197" s="172"/>
      <c r="AL197" s="172"/>
      <c r="AM197" s="172"/>
      <c r="AN197" s="172"/>
      <c r="AO197" s="172"/>
      <c r="AP197" s="172"/>
      <c r="AQ197" s="172"/>
      <c r="AR197" s="172"/>
      <c r="AS197" s="172"/>
      <c r="AT197"/>
      <c r="AU197"/>
      <c r="AV197"/>
      <c r="AW197"/>
      <c r="AX197"/>
      <c r="AY197"/>
      <c r="AZ197"/>
      <c r="BA197"/>
      <c r="BB197"/>
      <c r="BC197"/>
      <c r="BD197"/>
      <c r="BE197"/>
      <c r="BF197"/>
      <c r="BG197"/>
      <c r="BH197"/>
      <c r="BI197"/>
      <c r="BJ197"/>
      <c r="BK197"/>
      <c r="BL197"/>
      <c r="BM197"/>
      <c r="BN197"/>
    </row>
    <row r="198" spans="1:66" s="22" customFormat="1">
      <c r="A198" s="205" t="s">
        <v>375</v>
      </c>
      <c r="B198" s="47">
        <v>7.4437100000000006E-2</v>
      </c>
      <c r="C198" s="365">
        <v>7.4437100000000006E-2</v>
      </c>
      <c r="D198" s="75" t="s">
        <v>437</v>
      </c>
      <c r="E198" s="195"/>
      <c r="F198" s="43" t="s">
        <v>247</v>
      </c>
      <c r="G198" s="44">
        <f>$C208</f>
        <v>5.5322112199999998</v>
      </c>
      <c r="H198" s="91" t="s">
        <v>432</v>
      </c>
      <c r="I198" s="195"/>
      <c r="J198" s="195"/>
      <c r="K198" s="43" t="s">
        <v>1257</v>
      </c>
      <c r="L198" s="268"/>
      <c r="M198" s="268">
        <v>0.4</v>
      </c>
      <c r="N198" s="268">
        <f t="shared" si="43"/>
        <v>0.6</v>
      </c>
      <c r="O198" s="308">
        <v>0</v>
      </c>
      <c r="P198" s="308">
        <v>2.2128844879999998</v>
      </c>
      <c r="Q198" s="308">
        <v>3.3193267319999999</v>
      </c>
      <c r="R198"/>
      <c r="S198"/>
      <c r="T198"/>
      <c r="U198"/>
      <c r="V198" s="171"/>
      <c r="W198" s="172"/>
      <c r="X198" s="172"/>
      <c r="Y198" s="172"/>
      <c r="Z198" s="172"/>
      <c r="AA198" s="172"/>
      <c r="AB198" s="172"/>
      <c r="AC198" s="172"/>
      <c r="AD198" s="172"/>
      <c r="AE198" s="172"/>
      <c r="AF198" s="172"/>
      <c r="AG198" s="172"/>
      <c r="AH198" s="172"/>
      <c r="AI198" s="172"/>
      <c r="AJ198" s="172"/>
      <c r="AK198" s="172"/>
      <c r="AL198" s="172"/>
      <c r="AM198" s="172"/>
      <c r="AN198" s="172"/>
      <c r="AO198" s="172"/>
      <c r="AP198" s="172"/>
      <c r="AQ198" s="172"/>
      <c r="AR198" s="172"/>
      <c r="AS198" s="172"/>
      <c r="AT198"/>
      <c r="AU198"/>
      <c r="AV198"/>
      <c r="AW198"/>
      <c r="AX198"/>
      <c r="AY198"/>
      <c r="AZ198"/>
      <c r="BA198"/>
      <c r="BB198"/>
      <c r="BC198"/>
      <c r="BD198"/>
      <c r="BE198"/>
      <c r="BF198"/>
      <c r="BG198"/>
      <c r="BH198"/>
      <c r="BI198"/>
      <c r="BJ198"/>
      <c r="BK198"/>
      <c r="BL198"/>
      <c r="BM198"/>
      <c r="BN198"/>
    </row>
    <row r="199" spans="1:66" s="22" customFormat="1">
      <c r="A199" s="287" t="s">
        <v>376</v>
      </c>
      <c r="B199" s="47">
        <v>2.0732782000000003</v>
      </c>
      <c r="C199" s="365">
        <v>2.0732782000000003</v>
      </c>
      <c r="D199" s="75" t="s">
        <v>438</v>
      </c>
      <c r="E199" s="195"/>
      <c r="F199" s="43" t="s">
        <v>414</v>
      </c>
      <c r="G199" s="44">
        <f>$C209</f>
        <v>0.50759999999999994</v>
      </c>
      <c r="H199" s="91" t="s">
        <v>433</v>
      </c>
      <c r="I199" s="195"/>
      <c r="J199" s="195"/>
      <c r="K199" s="43" t="s">
        <v>433</v>
      </c>
      <c r="L199" s="268"/>
      <c r="M199" s="268"/>
      <c r="N199" s="268">
        <f t="shared" si="43"/>
        <v>1</v>
      </c>
      <c r="O199" s="308">
        <v>0</v>
      </c>
      <c r="P199" s="308">
        <v>0</v>
      </c>
      <c r="Q199" s="308">
        <v>0.50759999999999994</v>
      </c>
      <c r="R199"/>
      <c r="S199"/>
      <c r="T199"/>
      <c r="U199"/>
      <c r="V199" s="171"/>
      <c r="W199" s="172"/>
      <c r="X199" s="172"/>
      <c r="Y199" s="172"/>
      <c r="Z199" s="172"/>
      <c r="AA199" s="172"/>
      <c r="AB199" s="172"/>
      <c r="AC199" s="172"/>
      <c r="AD199" s="172"/>
      <c r="AE199" s="172"/>
      <c r="AF199" s="172"/>
      <c r="AG199" s="172"/>
      <c r="AH199" s="172"/>
      <c r="AI199" s="172"/>
      <c r="AJ199" s="172"/>
      <c r="AK199" s="172"/>
      <c r="AL199" s="172"/>
      <c r="AM199" s="172"/>
      <c r="AN199" s="172"/>
      <c r="AO199" s="172"/>
      <c r="AP199" s="172"/>
      <c r="AQ199" s="172"/>
      <c r="AR199" s="172"/>
      <c r="AS199" s="172"/>
      <c r="AT199"/>
      <c r="AU199"/>
      <c r="AV199"/>
      <c r="AW199"/>
      <c r="AX199"/>
      <c r="AY199"/>
      <c r="AZ199"/>
      <c r="BA199"/>
      <c r="BB199"/>
      <c r="BC199"/>
      <c r="BD199"/>
      <c r="BE199"/>
      <c r="BF199"/>
      <c r="BG199"/>
      <c r="BH199"/>
      <c r="BI199"/>
      <c r="BJ199"/>
      <c r="BK199"/>
      <c r="BL199"/>
      <c r="BM199"/>
      <c r="BN199"/>
    </row>
    <row r="200" spans="1:66" s="22" customFormat="1">
      <c r="A200" s="205" t="s">
        <v>185</v>
      </c>
      <c r="B200" s="47">
        <v>0</v>
      </c>
      <c r="C200" s="365">
        <v>0</v>
      </c>
      <c r="D200" s="75" t="s">
        <v>439</v>
      </c>
      <c r="E200" s="195"/>
      <c r="F200" s="43" t="s">
        <v>245</v>
      </c>
      <c r="G200" s="44">
        <f>$C210</f>
        <v>0</v>
      </c>
      <c r="H200" s="91" t="s">
        <v>150</v>
      </c>
      <c r="I200" s="195"/>
      <c r="J200" s="195"/>
      <c r="K200" s="43" t="s">
        <v>150</v>
      </c>
      <c r="L200" s="268"/>
      <c r="M200" s="268"/>
      <c r="N200" s="268">
        <f t="shared" si="43"/>
        <v>1</v>
      </c>
      <c r="O200" s="308">
        <v>0</v>
      </c>
      <c r="P200" s="308">
        <v>0</v>
      </c>
      <c r="Q200" s="308">
        <v>0</v>
      </c>
      <c r="R200"/>
      <c r="S200"/>
      <c r="T200"/>
      <c r="U200"/>
      <c r="V200" s="171"/>
      <c r="W200" s="172"/>
      <c r="X200" s="172"/>
      <c r="Y200" s="172"/>
      <c r="Z200" s="172"/>
      <c r="AA200" s="172"/>
      <c r="AB200" s="172"/>
      <c r="AC200" s="172"/>
      <c r="AD200" s="172"/>
      <c r="AE200" s="172"/>
      <c r="AF200" s="172"/>
      <c r="AG200" s="172"/>
      <c r="AH200" s="172"/>
      <c r="AI200" s="172"/>
      <c r="AJ200" s="172"/>
      <c r="AK200" s="172"/>
      <c r="AL200" s="172"/>
      <c r="AM200" s="172"/>
      <c r="AN200" s="172"/>
      <c r="AO200" s="172"/>
      <c r="AP200" s="172"/>
      <c r="AQ200" s="172"/>
      <c r="AR200" s="172"/>
      <c r="AS200" s="172"/>
      <c r="AT200"/>
      <c r="AU200"/>
      <c r="AV200"/>
      <c r="AW200"/>
      <c r="AX200"/>
      <c r="AY200"/>
      <c r="AZ200"/>
      <c r="BA200"/>
      <c r="BB200"/>
      <c r="BC200"/>
      <c r="BD200"/>
      <c r="BE200"/>
      <c r="BF200"/>
      <c r="BG200"/>
      <c r="BH200"/>
      <c r="BI200"/>
      <c r="BJ200"/>
      <c r="BK200"/>
      <c r="BL200"/>
      <c r="BM200"/>
      <c r="BN200"/>
    </row>
    <row r="201" spans="1:66" s="22" customFormat="1">
      <c r="A201" s="195" t="s">
        <v>405</v>
      </c>
      <c r="B201" s="47">
        <v>0.13800110000000002</v>
      </c>
      <c r="C201" s="365">
        <v>0.13800110000000002</v>
      </c>
      <c r="D201" s="75" t="s">
        <v>110</v>
      </c>
      <c r="E201" s="195"/>
      <c r="F201" s="43" t="s">
        <v>246</v>
      </c>
      <c r="G201" s="44">
        <f>$C211</f>
        <v>0</v>
      </c>
      <c r="H201" s="91" t="s">
        <v>151</v>
      </c>
      <c r="I201" s="195"/>
      <c r="J201" s="195"/>
      <c r="K201" s="43" t="s">
        <v>151</v>
      </c>
      <c r="L201" s="268"/>
      <c r="M201" s="268"/>
      <c r="N201" s="268">
        <f t="shared" si="43"/>
        <v>1</v>
      </c>
      <c r="O201" s="308">
        <v>0</v>
      </c>
      <c r="P201" s="308">
        <v>0</v>
      </c>
      <c r="Q201" s="308">
        <v>0</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row>
    <row r="202" spans="1:66" s="22" customFormat="1">
      <c r="A202" s="195" t="s">
        <v>585</v>
      </c>
      <c r="B202" s="47">
        <v>7.0075995000000004</v>
      </c>
      <c r="C202" s="365">
        <v>7.0075995000000004</v>
      </c>
      <c r="D202" s="75" t="s">
        <v>53</v>
      </c>
      <c r="E202" s="195"/>
      <c r="F202" s="195"/>
      <c r="G202" s="305">
        <f>SUM(G190:G201)</f>
        <v>30.090857420000003</v>
      </c>
      <c r="H202" s="206"/>
      <c r="I202" s="195"/>
      <c r="J202" s="195"/>
      <c r="K202" s="216"/>
      <c r="L202" s="217">
        <f>SUMPRODUCT(L190:L201,$G190:$G201)</f>
        <v>11.573224600000001</v>
      </c>
      <c r="M202" s="376">
        <f>SUMPRODUCT(M190:M201,$G190:$G201)</f>
        <v>2.242404488</v>
      </c>
      <c r="N202" s="376">
        <f>SUMPRODUCT(N190:N201,$G190:$G201)</f>
        <v>16.275228332000001</v>
      </c>
      <c r="O202" s="305"/>
      <c r="P202" s="261"/>
      <c r="Q202" s="102"/>
      <c r="R202"/>
      <c r="S202"/>
      <c r="T202"/>
      <c r="U202"/>
      <c r="V202" s="171"/>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c r="AU202"/>
      <c r="AV202"/>
      <c r="AW202"/>
      <c r="AX202"/>
      <c r="AY202"/>
      <c r="AZ202"/>
      <c r="BA202"/>
      <c r="BB202"/>
      <c r="BC202"/>
      <c r="BD202"/>
      <c r="BE202"/>
      <c r="BF202"/>
      <c r="BG202"/>
      <c r="BH202"/>
      <c r="BI202"/>
      <c r="BJ202"/>
      <c r="BK202"/>
      <c r="BL202"/>
      <c r="BM202"/>
    </row>
    <row r="203" spans="1:66" s="22" customFormat="1">
      <c r="A203" s="195" t="s">
        <v>586</v>
      </c>
      <c r="B203" s="47">
        <v>0</v>
      </c>
      <c r="C203" s="365">
        <v>0</v>
      </c>
      <c r="D203" s="75" t="s">
        <v>589</v>
      </c>
      <c r="E203" s="195"/>
      <c r="F203" s="195"/>
      <c r="G203" s="202"/>
      <c r="H203" s="206"/>
      <c r="I203" s="195"/>
      <c r="J203" s="195"/>
      <c r="O203" s="261"/>
      <c r="P203" s="261"/>
      <c r="Q203" s="102"/>
      <c r="R203"/>
      <c r="S203"/>
      <c r="T203"/>
      <c r="U203"/>
      <c r="V203" s="171"/>
      <c r="W203" s="172"/>
      <c r="X203" s="172"/>
      <c r="Y203" s="172"/>
      <c r="Z203" s="172"/>
      <c r="AA203" s="172"/>
      <c r="AB203" s="172"/>
      <c r="AC203" s="172"/>
      <c r="AD203" s="172"/>
      <c r="AE203" s="172"/>
      <c r="AF203" s="172"/>
      <c r="AG203" s="172"/>
      <c r="AH203" s="172"/>
      <c r="AI203" s="172"/>
      <c r="AJ203" s="172"/>
      <c r="AK203" s="172"/>
      <c r="AL203" s="172"/>
      <c r="AM203" s="172"/>
      <c r="AN203" s="172"/>
      <c r="AO203" s="172"/>
      <c r="AP203" s="172"/>
      <c r="AQ203" s="172"/>
      <c r="AR203" s="172"/>
      <c r="AS203" s="172"/>
      <c r="AT203"/>
      <c r="AU203"/>
      <c r="AV203"/>
      <c r="AW203"/>
      <c r="AX203"/>
      <c r="AY203"/>
      <c r="AZ203"/>
      <c r="BA203"/>
      <c r="BB203"/>
      <c r="BC203"/>
      <c r="BD203"/>
      <c r="BE203"/>
      <c r="BF203"/>
      <c r="BG203"/>
      <c r="BH203"/>
      <c r="BI203"/>
      <c r="BJ203"/>
      <c r="BK203"/>
      <c r="BL203"/>
      <c r="BM203"/>
    </row>
    <row r="204" spans="1:66" s="22" customFormat="1">
      <c r="A204" s="195" t="s">
        <v>966</v>
      </c>
      <c r="B204" s="564">
        <v>2.7930099999999999E-2</v>
      </c>
      <c r="C204" s="380">
        <v>2.7930099999999999E-2</v>
      </c>
      <c r="D204" s="75" t="s">
        <v>742</v>
      </c>
      <c r="E204" s="195"/>
      <c r="F204" s="195"/>
      <c r="G204" s="202"/>
      <c r="H204" s="206"/>
      <c r="I204" s="195"/>
      <c r="J204" s="195"/>
      <c r="K204" s="216"/>
      <c r="L204" s="216"/>
      <c r="M204" s="216"/>
      <c r="N204" s="216"/>
      <c r="O204" s="261"/>
      <c r="P204" s="261"/>
      <c r="Q204" s="102"/>
      <c r="R204"/>
      <c r="S204"/>
      <c r="T204"/>
      <c r="U204"/>
      <c r="V204" s="171"/>
      <c r="W204" s="172"/>
      <c r="X204" s="172"/>
      <c r="Y204" s="172"/>
      <c r="Z204" s="172"/>
      <c r="AA204" s="172"/>
      <c r="AB204" s="172"/>
      <c r="AC204" s="172"/>
      <c r="AD204" s="172"/>
      <c r="AE204" s="172"/>
      <c r="AF204" s="172"/>
      <c r="AG204" s="172"/>
      <c r="AH204" s="172"/>
      <c r="AI204" s="172"/>
      <c r="AJ204" s="172"/>
      <c r="AK204" s="172"/>
      <c r="AL204" s="172"/>
      <c r="AM204" s="172"/>
      <c r="AN204" s="172"/>
      <c r="AO204" s="172"/>
      <c r="AP204" s="172"/>
      <c r="AQ204" s="172"/>
      <c r="AR204" s="172"/>
      <c r="AS204" s="172"/>
      <c r="AT204"/>
      <c r="AU204"/>
      <c r="AV204"/>
      <c r="AW204"/>
      <c r="AX204"/>
      <c r="AY204"/>
      <c r="AZ204"/>
      <c r="BA204"/>
      <c r="BB204"/>
      <c r="BC204"/>
      <c r="BD204"/>
      <c r="BE204"/>
      <c r="BF204"/>
      <c r="BG204"/>
      <c r="BH204"/>
      <c r="BI204"/>
      <c r="BJ204"/>
      <c r="BK204"/>
      <c r="BL204"/>
      <c r="BM204"/>
    </row>
    <row r="205" spans="1:66" s="22" customFormat="1">
      <c r="A205" s="195" t="s">
        <v>967</v>
      </c>
      <c r="B205" s="564">
        <v>2.9998400000000001E-2</v>
      </c>
      <c r="C205" s="380">
        <v>2.9998400000000001E-2</v>
      </c>
      <c r="D205" s="75" t="s">
        <v>43</v>
      </c>
      <c r="F205" s="195"/>
      <c r="G205" s="195"/>
      <c r="H205" s="195"/>
      <c r="I205" s="195"/>
      <c r="J205" s="195"/>
      <c r="K205" s="216"/>
      <c r="L205" s="216"/>
      <c r="M205" s="216"/>
      <c r="N205" s="216"/>
      <c r="O205" s="216"/>
      <c r="P205" s="216"/>
      <c r="Q205" s="102"/>
      <c r="R205"/>
      <c r="S205"/>
      <c r="T205"/>
      <c r="U205"/>
      <c r="V205" s="171"/>
      <c r="W205" s="172"/>
      <c r="X205" s="172"/>
      <c r="Y205" s="172"/>
      <c r="Z205" s="172"/>
      <c r="AA205" s="172"/>
      <c r="AB205" s="172"/>
      <c r="AC205" s="172"/>
      <c r="AD205" s="172"/>
      <c r="AE205" s="172"/>
      <c r="AF205" s="172"/>
      <c r="AG205" s="172"/>
      <c r="AH205" s="172"/>
      <c r="AI205" s="172"/>
      <c r="AJ205" s="172"/>
      <c r="AK205" s="172"/>
      <c r="AL205" s="172"/>
      <c r="AM205" s="172"/>
      <c r="AN205" s="172"/>
      <c r="AO205" s="172"/>
      <c r="AP205" s="172"/>
      <c r="AQ205" s="172"/>
      <c r="AR205" s="172"/>
      <c r="AS205" s="172"/>
      <c r="AT205"/>
      <c r="AU205"/>
      <c r="AV205"/>
      <c r="AW205"/>
      <c r="AX205"/>
      <c r="AY205"/>
      <c r="AZ205"/>
      <c r="BA205"/>
      <c r="BB205"/>
      <c r="BC205"/>
      <c r="BD205"/>
      <c r="BE205"/>
      <c r="BF205"/>
      <c r="BG205"/>
      <c r="BH205"/>
      <c r="BI205"/>
      <c r="BJ205"/>
      <c r="BK205"/>
      <c r="BL205"/>
      <c r="BM205"/>
    </row>
    <row r="206" spans="1:66" s="22" customFormat="1">
      <c r="A206" s="205" t="s">
        <v>367</v>
      </c>
      <c r="B206" s="47">
        <v>0</v>
      </c>
      <c r="C206" s="365">
        <v>0</v>
      </c>
      <c r="D206" s="75" t="s">
        <v>54</v>
      </c>
      <c r="E206" s="195"/>
      <c r="F206" s="195"/>
      <c r="G206" s="195"/>
      <c r="H206" s="195"/>
      <c r="I206" s="195"/>
      <c r="J206" s="195"/>
      <c r="K206" s="216"/>
      <c r="L206" s="216"/>
      <c r="M206" s="216"/>
      <c r="N206" s="216"/>
      <c r="O206" s="216"/>
      <c r="P206" s="216"/>
      <c r="Q206" s="102"/>
      <c r="R206"/>
      <c r="S206"/>
      <c r="T206"/>
      <c r="U206"/>
      <c r="V206" s="171"/>
      <c r="W206" s="172"/>
      <c r="X206" s="172"/>
      <c r="Y206" s="172"/>
      <c r="Z206" s="172"/>
      <c r="AA206" s="172"/>
      <c r="AB206" s="172"/>
      <c r="AC206" s="172"/>
      <c r="AD206" s="172"/>
      <c r="AE206" s="172"/>
      <c r="AF206" s="172"/>
      <c r="AG206" s="172"/>
      <c r="AH206" s="172"/>
      <c r="AI206" s="172"/>
      <c r="AJ206" s="172"/>
      <c r="AK206" s="172"/>
      <c r="AL206" s="172"/>
      <c r="AM206" s="172"/>
      <c r="AN206" s="172"/>
      <c r="AO206" s="172"/>
      <c r="AP206" s="172"/>
      <c r="AQ206" s="172"/>
      <c r="AR206" s="172"/>
      <c r="AS206" s="172"/>
      <c r="AT206"/>
      <c r="AU206"/>
      <c r="AV206"/>
      <c r="AW206"/>
      <c r="AX206"/>
      <c r="AY206"/>
      <c r="AZ206"/>
      <c r="BA206"/>
      <c r="BB206"/>
      <c r="BC206"/>
      <c r="BD206"/>
      <c r="BE206"/>
      <c r="BF206"/>
      <c r="BG206"/>
      <c r="BH206"/>
      <c r="BI206"/>
      <c r="BJ206"/>
      <c r="BK206"/>
      <c r="BL206"/>
      <c r="BM206"/>
    </row>
    <row r="207" spans="1:66" s="22" customFormat="1">
      <c r="A207" s="195" t="s">
        <v>587</v>
      </c>
      <c r="B207" s="47">
        <v>0</v>
      </c>
      <c r="C207" s="365">
        <v>0</v>
      </c>
      <c r="D207" s="75" t="s">
        <v>55</v>
      </c>
      <c r="E207" s="195"/>
      <c r="F207" s="195"/>
      <c r="G207" s="195"/>
      <c r="H207" s="195"/>
      <c r="I207" s="195"/>
      <c r="J207" s="195"/>
      <c r="K207" s="216"/>
      <c r="L207" s="216"/>
      <c r="M207" s="216"/>
      <c r="N207" s="216"/>
      <c r="O207" s="216"/>
      <c r="P207" s="216"/>
      <c r="Q207" s="102"/>
      <c r="R207"/>
      <c r="S207"/>
      <c r="T207"/>
      <c r="U207"/>
      <c r="V207" s="171"/>
      <c r="W207" s="172"/>
      <c r="X207" s="172"/>
      <c r="Y207" s="172"/>
      <c r="Z207" s="172"/>
      <c r="AA207" s="172"/>
      <c r="AB207" s="172"/>
      <c r="AC207" s="172"/>
      <c r="AD207" s="172"/>
      <c r="AE207" s="172"/>
      <c r="AF207" s="172"/>
      <c r="AG207" s="172"/>
      <c r="AH207" s="172"/>
      <c r="AI207" s="172"/>
      <c r="AJ207" s="172"/>
      <c r="AK207" s="172"/>
      <c r="AL207" s="172"/>
      <c r="AM207" s="172"/>
      <c r="AN207" s="172"/>
      <c r="AO207" s="172"/>
      <c r="AP207" s="172"/>
      <c r="AQ207" s="172"/>
      <c r="AR207" s="172"/>
      <c r="AS207" s="172"/>
      <c r="AT207"/>
      <c r="AU207"/>
      <c r="AV207"/>
      <c r="AW207"/>
      <c r="AX207"/>
      <c r="AY207"/>
      <c r="AZ207"/>
      <c r="BA207"/>
      <c r="BB207"/>
      <c r="BC207"/>
      <c r="BD207"/>
      <c r="BE207"/>
      <c r="BF207"/>
      <c r="BG207"/>
      <c r="BH207"/>
      <c r="BI207"/>
      <c r="BJ207"/>
      <c r="BK207"/>
      <c r="BL207"/>
      <c r="BM207"/>
    </row>
    <row r="208" spans="1:66" s="22" customFormat="1">
      <c r="A208" s="195" t="s">
        <v>404</v>
      </c>
      <c r="B208" s="47">
        <v>5.5322112199999998</v>
      </c>
      <c r="C208" s="365">
        <v>5.5322112199999998</v>
      </c>
      <c r="D208" s="75" t="s">
        <v>106</v>
      </c>
      <c r="E208" s="195"/>
      <c r="F208" s="195"/>
      <c r="G208" s="202"/>
      <c r="H208" s="206"/>
      <c r="I208" s="195"/>
      <c r="J208" s="195"/>
      <c r="K208" s="216"/>
      <c r="L208" s="216"/>
      <c r="M208" s="216"/>
      <c r="N208" s="216"/>
      <c r="O208" s="216"/>
      <c r="P208" s="216"/>
      <c r="Q208" s="102"/>
      <c r="R208"/>
      <c r="S208"/>
      <c r="T208"/>
      <c r="U208"/>
      <c r="V208" s="171"/>
      <c r="W208" s="172"/>
      <c r="X208" s="172"/>
      <c r="Y208" s="172"/>
      <c r="Z208" s="172"/>
      <c r="AA208" s="172"/>
      <c r="AB208" s="172"/>
      <c r="AC208" s="172"/>
      <c r="AD208" s="172"/>
      <c r="AE208" s="172"/>
      <c r="AF208" s="172"/>
      <c r="AG208" s="172"/>
      <c r="AH208" s="172"/>
      <c r="AI208" s="172"/>
      <c r="AJ208" s="172"/>
      <c r="AK208" s="172"/>
      <c r="AL208" s="172"/>
      <c r="AM208" s="172"/>
      <c r="AN208" s="172"/>
      <c r="AO208" s="172"/>
      <c r="AP208" s="172"/>
      <c r="AQ208" s="172"/>
      <c r="AR208" s="172"/>
      <c r="AS208" s="172"/>
      <c r="AT208"/>
      <c r="AU208"/>
      <c r="AV208"/>
      <c r="AW208"/>
      <c r="AX208"/>
      <c r="AY208"/>
      <c r="AZ208"/>
      <c r="BA208"/>
      <c r="BB208"/>
      <c r="BC208"/>
      <c r="BD208"/>
      <c r="BE208"/>
      <c r="BF208"/>
      <c r="BG208"/>
      <c r="BH208"/>
      <c r="BI208"/>
      <c r="BJ208"/>
      <c r="BK208"/>
      <c r="BL208"/>
      <c r="BM208"/>
    </row>
    <row r="209" spans="1:65" s="22" customFormat="1">
      <c r="A209" s="195" t="s">
        <v>408</v>
      </c>
      <c r="B209" s="45">
        <v>0.50759999999999994</v>
      </c>
      <c r="C209" s="365">
        <v>0.50759999999999994</v>
      </c>
      <c r="D209" s="75" t="s">
        <v>573</v>
      </c>
      <c r="E209" s="195"/>
      <c r="F209" s="195"/>
      <c r="G209" s="195"/>
      <c r="H209" s="195"/>
      <c r="I209" s="195"/>
      <c r="J209" s="195"/>
      <c r="K209" s="216"/>
      <c r="L209" s="216"/>
      <c r="M209" s="216"/>
      <c r="N209" s="216"/>
      <c r="O209" s="216"/>
      <c r="P209" s="216"/>
      <c r="Q209" s="102"/>
      <c r="R209"/>
      <c r="S209"/>
      <c r="T209"/>
      <c r="U209"/>
      <c r="V209" s="171"/>
      <c r="W209" s="172"/>
      <c r="X209" s="172"/>
      <c r="Y209" s="172"/>
      <c r="Z209" s="172"/>
      <c r="AA209" s="172"/>
      <c r="AB209" s="172"/>
      <c r="AC209" s="172"/>
      <c r="AD209" s="172"/>
      <c r="AE209" s="172"/>
      <c r="AF209" s="172"/>
      <c r="AG209" s="172"/>
      <c r="AH209" s="172"/>
      <c r="AI209" s="172"/>
      <c r="AJ209" s="172"/>
      <c r="AK209" s="172"/>
      <c r="AL209" s="172"/>
      <c r="AM209" s="172"/>
      <c r="AN209" s="172"/>
      <c r="AO209" s="172"/>
      <c r="AP209" s="172"/>
      <c r="AQ209" s="172"/>
      <c r="AR209" s="172"/>
      <c r="AS209" s="172"/>
      <c r="AT209"/>
      <c r="AU209"/>
      <c r="AV209"/>
      <c r="AW209"/>
      <c r="AX209"/>
      <c r="AY209"/>
      <c r="AZ209"/>
      <c r="BA209"/>
      <c r="BB209"/>
      <c r="BC209"/>
      <c r="BD209"/>
      <c r="BE209"/>
      <c r="BF209"/>
      <c r="BG209"/>
      <c r="BH209"/>
      <c r="BI209"/>
      <c r="BJ209"/>
      <c r="BK209"/>
      <c r="BL209"/>
      <c r="BM209"/>
    </row>
    <row r="210" spans="1:65" s="22" customFormat="1">
      <c r="A210" s="195" t="s">
        <v>578</v>
      </c>
      <c r="B210" s="45">
        <v>0</v>
      </c>
      <c r="C210" s="365">
        <v>0</v>
      </c>
      <c r="D210" s="75" t="s">
        <v>579</v>
      </c>
      <c r="E210" s="195"/>
      <c r="F210" s="195"/>
      <c r="G210" s="195"/>
      <c r="H210" s="195"/>
      <c r="I210" s="195"/>
      <c r="J210" s="195"/>
      <c r="K210" s="195"/>
      <c r="L210" s="195"/>
      <c r="M210" s="195"/>
      <c r="N210" s="195"/>
      <c r="O210" s="195"/>
      <c r="P210" s="195"/>
      <c r="Q210" s="102"/>
      <c r="R210"/>
      <c r="S210"/>
      <c r="T210"/>
      <c r="U210"/>
      <c r="V210" s="171"/>
      <c r="W210" s="172"/>
      <c r="X210" s="172"/>
      <c r="Y210" s="172"/>
      <c r="Z210" s="172"/>
      <c r="AA210" s="172"/>
      <c r="AB210" s="172"/>
      <c r="AC210" s="172"/>
      <c r="AD210" s="172"/>
      <c r="AE210" s="172"/>
      <c r="AF210" s="172"/>
      <c r="AG210" s="172"/>
      <c r="AH210" s="172"/>
      <c r="AI210" s="172"/>
      <c r="AJ210" s="172"/>
      <c r="AK210" s="172"/>
      <c r="AL210" s="172"/>
      <c r="AM210" s="172"/>
      <c r="AN210" s="172"/>
      <c r="AO210" s="172"/>
      <c r="AP210" s="172"/>
      <c r="AQ210" s="172"/>
      <c r="AR210" s="172"/>
      <c r="AS210" s="172"/>
      <c r="AT210"/>
      <c r="AU210"/>
      <c r="AV210"/>
      <c r="AW210"/>
      <c r="AX210"/>
      <c r="AY210"/>
      <c r="AZ210"/>
      <c r="BA210"/>
      <c r="BB210"/>
      <c r="BC210"/>
      <c r="BD210"/>
      <c r="BE210"/>
      <c r="BF210"/>
      <c r="BG210"/>
      <c r="BH210"/>
      <c r="BI210"/>
      <c r="BJ210"/>
      <c r="BK210"/>
      <c r="BL210"/>
      <c r="BM210"/>
    </row>
    <row r="211" spans="1:65" s="22" customFormat="1">
      <c r="A211" s="195" t="s">
        <v>602</v>
      </c>
      <c r="B211" s="45">
        <v>0</v>
      </c>
      <c r="C211" s="365">
        <v>0</v>
      </c>
      <c r="D211" s="75" t="s">
        <v>580</v>
      </c>
      <c r="E211" s="195"/>
      <c r="F211" s="195"/>
      <c r="G211" s="195"/>
      <c r="H211" s="195"/>
      <c r="I211" s="195"/>
      <c r="J211" s="195"/>
      <c r="K211" s="195"/>
      <c r="L211" s="195"/>
      <c r="M211" s="195"/>
      <c r="N211" s="195"/>
      <c r="O211" s="195"/>
      <c r="P211" s="195"/>
      <c r="Q211" s="102"/>
      <c r="R211"/>
      <c r="S211"/>
      <c r="T211"/>
      <c r="U211"/>
      <c r="V211" s="171"/>
      <c r="W211" s="172"/>
      <c r="X211" s="172"/>
      <c r="Y211" s="172"/>
      <c r="Z211" s="172"/>
      <c r="AA211" s="172"/>
      <c r="AB211" s="172"/>
      <c r="AC211" s="172"/>
      <c r="AD211" s="172"/>
      <c r="AE211" s="172"/>
      <c r="AF211" s="172"/>
      <c r="AG211" s="172"/>
      <c r="AH211" s="172"/>
      <c r="AI211" s="172"/>
      <c r="AJ211" s="172"/>
      <c r="AK211" s="172"/>
      <c r="AL211" s="172"/>
      <c r="AM211" s="172"/>
      <c r="AN211" s="172"/>
      <c r="AO211" s="172"/>
      <c r="AP211" s="172"/>
      <c r="AQ211" s="172"/>
      <c r="AR211" s="172"/>
      <c r="AS211" s="172"/>
      <c r="AT211"/>
      <c r="AU211"/>
      <c r="AV211"/>
      <c r="AW211"/>
      <c r="AX211"/>
      <c r="AY211"/>
      <c r="AZ211"/>
      <c r="BA211"/>
      <c r="BB211"/>
      <c r="BC211"/>
      <c r="BD211"/>
      <c r="BE211"/>
      <c r="BF211"/>
      <c r="BG211"/>
      <c r="BH211"/>
      <c r="BI211"/>
      <c r="BJ211"/>
      <c r="BK211"/>
      <c r="BL211"/>
      <c r="BM211"/>
    </row>
    <row r="212" spans="1:65" s="22" customFormat="1">
      <c r="A212" s="195" t="s">
        <v>406</v>
      </c>
      <c r="B212" s="564">
        <v>30.090857420000003</v>
      </c>
      <c r="C212" s="305">
        <v>30.090857420000003</v>
      </c>
      <c r="D212" s="356">
        <f>(B212-C212)/B212</f>
        <v>0</v>
      </c>
      <c r="E212" s="195"/>
      <c r="F212" s="195"/>
      <c r="G212" s="195"/>
      <c r="H212" s="195"/>
      <c r="I212" s="195"/>
      <c r="J212" s="195"/>
      <c r="K212" s="195"/>
      <c r="L212" s="195"/>
      <c r="M212" s="195"/>
      <c r="N212" s="195"/>
      <c r="O212" s="195"/>
      <c r="P212" s="195"/>
      <c r="Q212" s="102"/>
      <c r="R212"/>
      <c r="S212"/>
      <c r="T212"/>
      <c r="U212"/>
      <c r="V212" s="171"/>
      <c r="W212" s="172"/>
      <c r="X212" s="172"/>
      <c r="Y212" s="172"/>
      <c r="Z212" s="172"/>
      <c r="AA212" s="172"/>
      <c r="AB212" s="172"/>
      <c r="AC212" s="172"/>
      <c r="AD212" s="172"/>
      <c r="AE212" s="172"/>
      <c r="AF212" s="172"/>
      <c r="AG212" s="172"/>
      <c r="AH212" s="172"/>
      <c r="AI212" s="172"/>
      <c r="AJ212" s="172"/>
      <c r="AK212" s="172"/>
      <c r="AL212" s="172"/>
      <c r="AM212" s="172"/>
      <c r="AN212" s="172"/>
      <c r="AO212" s="172"/>
      <c r="AP212" s="172"/>
      <c r="AQ212" s="172"/>
      <c r="AR212" s="172"/>
      <c r="AS212" s="172"/>
      <c r="AT212"/>
      <c r="AU212"/>
      <c r="AV212"/>
      <c r="AW212"/>
      <c r="AX212"/>
      <c r="AY212"/>
      <c r="AZ212"/>
      <c r="BA212"/>
      <c r="BB212"/>
      <c r="BC212"/>
      <c r="BD212"/>
      <c r="BE212"/>
      <c r="BF212"/>
      <c r="BG212"/>
      <c r="BH212"/>
      <c r="BI212"/>
      <c r="BJ212"/>
      <c r="BK212"/>
      <c r="BL212"/>
      <c r="BM212"/>
    </row>
    <row r="213" spans="1:65" s="22" customFormat="1">
      <c r="A213" s="195"/>
      <c r="B213" s="195"/>
      <c r="C213" s="195"/>
      <c r="D213" s="195"/>
      <c r="E213" s="195"/>
      <c r="F213" s="195"/>
      <c r="G213" s="195"/>
      <c r="H213" s="195"/>
      <c r="I213" s="195"/>
      <c r="J213" s="195"/>
      <c r="K213" s="195"/>
      <c r="L213" s="195"/>
      <c r="M213" s="195"/>
      <c r="N213" s="195"/>
      <c r="O213" s="195"/>
      <c r="P213" s="195"/>
      <c r="Q213" s="102"/>
      <c r="V213"/>
      <c r="W213"/>
      <c r="X213"/>
      <c r="Y213"/>
      <c r="Z213"/>
      <c r="AA213"/>
      <c r="AB213"/>
      <c r="AC213"/>
      <c r="AD213"/>
      <c r="AE213"/>
      <c r="AF213"/>
      <c r="AG213"/>
      <c r="AH213"/>
      <c r="AI213"/>
      <c r="AJ213"/>
      <c r="AK213"/>
      <c r="AL213"/>
      <c r="AM213"/>
      <c r="AN213"/>
      <c r="AO213"/>
      <c r="AP213"/>
      <c r="AQ213"/>
      <c r="AR213"/>
      <c r="AS213"/>
    </row>
    <row r="214" spans="1:65" s="22" customFormat="1">
      <c r="E214" s="195"/>
      <c r="F214" s="195"/>
      <c r="G214" s="195"/>
      <c r="H214" s="195"/>
      <c r="I214" s="195"/>
      <c r="J214" s="195"/>
      <c r="K214" s="195"/>
      <c r="L214" s="195"/>
      <c r="M214" s="195"/>
      <c r="N214" s="195"/>
      <c r="O214" s="195"/>
      <c r="P214" s="195"/>
      <c r="Q214" s="102"/>
      <c r="V214" s="171"/>
      <c r="W214" s="172"/>
      <c r="X214" s="172"/>
      <c r="Y214" s="172"/>
      <c r="Z214" s="172"/>
      <c r="AA214" s="172"/>
      <c r="AB214" s="172"/>
      <c r="AC214" s="172"/>
      <c r="AD214" s="172"/>
      <c r="AE214" s="172"/>
      <c r="AF214" s="172"/>
      <c r="AG214" s="172"/>
      <c r="AH214" s="172"/>
      <c r="AI214" s="172"/>
      <c r="AJ214" s="172"/>
      <c r="AK214" s="172"/>
      <c r="AL214" s="172"/>
      <c r="AM214" s="172"/>
      <c r="AN214" s="172"/>
      <c r="AO214" s="172"/>
      <c r="AP214" s="172"/>
      <c r="AQ214" s="172"/>
      <c r="AR214" s="172"/>
      <c r="AS214" s="172"/>
    </row>
    <row r="215" spans="1:65" s="22" customFormat="1">
      <c r="J215" s="195"/>
      <c r="K215" s="195"/>
      <c r="L215" s="195"/>
      <c r="M215" s="195"/>
      <c r="N215" s="195"/>
      <c r="O215" s="195"/>
      <c r="P215" s="195"/>
      <c r="Q215" s="102"/>
      <c r="V215" s="171"/>
      <c r="W215" s="172"/>
      <c r="X215" s="172"/>
      <c r="Y215" s="172"/>
      <c r="Z215" s="172"/>
      <c r="AA215" s="172"/>
      <c r="AB215" s="172"/>
      <c r="AC215" s="172"/>
      <c r="AD215" s="172"/>
      <c r="AE215" s="172"/>
      <c r="AF215" s="172"/>
      <c r="AG215" s="172"/>
      <c r="AH215" s="172"/>
      <c r="AI215" s="172"/>
      <c r="AJ215" s="172"/>
      <c r="AK215" s="172"/>
      <c r="AL215" s="172"/>
      <c r="AM215" s="172"/>
      <c r="AN215" s="172"/>
      <c r="AO215" s="172"/>
      <c r="AP215" s="172"/>
      <c r="AQ215" s="172"/>
      <c r="AR215" s="172"/>
      <c r="AS215" s="172"/>
    </row>
    <row r="216" spans="1:65">
      <c r="F216" s="22"/>
      <c r="G216" s="22"/>
      <c r="H216" s="22"/>
      <c r="Q216" s="102"/>
      <c r="V216" s="171"/>
      <c r="W216" s="172"/>
      <c r="X216" s="172"/>
      <c r="Y216" s="172"/>
      <c r="Z216" s="172"/>
      <c r="AA216" s="172"/>
      <c r="AB216" s="172"/>
      <c r="AC216" s="172"/>
      <c r="AD216" s="172"/>
      <c r="AE216" s="172"/>
      <c r="AF216" s="172"/>
      <c r="AG216" s="172"/>
      <c r="AH216" s="172"/>
      <c r="AI216" s="172"/>
      <c r="AJ216" s="172"/>
      <c r="AK216" s="172"/>
      <c r="AL216" s="172"/>
      <c r="AM216" s="172"/>
      <c r="AN216" s="172"/>
      <c r="AO216" s="172"/>
      <c r="AP216" s="172"/>
      <c r="AQ216" s="172"/>
      <c r="AR216" s="172"/>
      <c r="AS216" s="172"/>
    </row>
    <row r="217" spans="1:65">
      <c r="Q217" s="102"/>
    </row>
    <row r="218" spans="1:65">
      <c r="Q218" s="102"/>
      <c r="V218" s="171"/>
    </row>
  </sheetData>
  <phoneticPr fontId="0" type="noConversion"/>
  <conditionalFormatting sqref="G44:G45 G38 E36:E42 H36:I42 F37:F42 E44:F46 H44:I46 J43 L36:L38 L40:L42 K36:K42 K44:L46">
    <cfRule type="cellIs" dxfId="2" priority="1" stopIfTrue="1" operator="equal">
      <formula>#N/A</formula>
    </cfRule>
  </conditionalFormatting>
  <pageMargins left="0.75" right="0.75" top="1" bottom="1" header="0.5" footer="0.5"/>
  <pageSetup scale="93"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dimension ref="A1:T139"/>
  <sheetViews>
    <sheetView showGridLines="0" showRowColHeaders="0" showZeros="0" showOutlineSymbols="0" zoomScale="80" workbookViewId="0">
      <pane xSplit="3" ySplit="3" topLeftCell="D4" activePane="bottomRight" state="frozen"/>
      <selection activeCell="B73" sqref="B73"/>
      <selection pane="topRight" activeCell="B73" sqref="B73"/>
      <selection pane="bottomLeft" activeCell="B73" sqref="B73"/>
      <selection pane="bottomRight" activeCell="B73" sqref="B73"/>
    </sheetView>
  </sheetViews>
  <sheetFormatPr defaultColWidth="0" defaultRowHeight="12.75" zeroHeight="1"/>
  <cols>
    <col min="1" max="1" width="12.140625" style="591" hidden="1" customWidth="1"/>
    <col min="2" max="2" width="11.5703125" style="591" hidden="1" customWidth="1"/>
    <col min="3" max="3" width="9.7109375" style="591" hidden="1" customWidth="1"/>
    <col min="4" max="5" width="7.140625" style="591" hidden="1" customWidth="1"/>
    <col min="6" max="8" width="0" style="591" hidden="1" customWidth="1"/>
    <col min="9" max="9" width="4.42578125" style="591" hidden="1" customWidth="1"/>
    <col min="10" max="16384" width="0" style="591" hidden="1"/>
  </cols>
  <sheetData>
    <row r="1" spans="1:20" hidden="1">
      <c r="B1" s="592" t="s">
        <v>712</v>
      </c>
      <c r="C1" s="593">
        <f>MATCH(Region,$F$3:$H$3,0)</f>
        <v>2</v>
      </c>
      <c r="D1" s="592"/>
      <c r="E1" s="594"/>
      <c r="F1" s="595"/>
      <c r="O1" s="596">
        <f>CODE("A")-1</f>
        <v>64</v>
      </c>
    </row>
    <row r="2" spans="1:20" ht="15" hidden="1">
      <c r="F2" s="597" t="s">
        <v>713</v>
      </c>
      <c r="J2" s="597" t="s">
        <v>939</v>
      </c>
      <c r="K2" s="597"/>
    </row>
    <row r="3" spans="1:20" hidden="1">
      <c r="A3" s="598" t="s">
        <v>592</v>
      </c>
      <c r="B3" s="598" t="s">
        <v>300</v>
      </c>
      <c r="C3" s="598" t="s">
        <v>717</v>
      </c>
      <c r="D3" s="599" t="s">
        <v>698</v>
      </c>
      <c r="E3" s="599" t="s">
        <v>699</v>
      </c>
      <c r="F3" s="599" t="s">
        <v>655</v>
      </c>
      <c r="G3" s="600" t="s">
        <v>795</v>
      </c>
      <c r="H3" s="599" t="s">
        <v>950</v>
      </c>
      <c r="I3" s="599"/>
      <c r="J3" s="599" t="s">
        <v>655</v>
      </c>
      <c r="K3" s="599" t="s">
        <v>795</v>
      </c>
      <c r="L3" s="599" t="s">
        <v>950</v>
      </c>
      <c r="M3" s="601" t="s">
        <v>716</v>
      </c>
      <c r="N3" s="602" t="str">
        <f>Region</f>
        <v>FIN</v>
      </c>
      <c r="O3" s="602" t="str">
        <f>Region</f>
        <v>FIN</v>
      </c>
      <c r="Q3" s="603" t="s">
        <v>1238</v>
      </c>
    </row>
    <row r="4" spans="1:20" hidden="1">
      <c r="A4" s="604" t="s">
        <v>128</v>
      </c>
      <c r="B4" s="604" t="s">
        <v>244</v>
      </c>
      <c r="C4" s="604" t="s">
        <v>697</v>
      </c>
      <c r="D4" s="605" t="s">
        <v>700</v>
      </c>
      <c r="E4" s="605">
        <v>36</v>
      </c>
      <c r="F4" s="604">
        <v>0</v>
      </c>
      <c r="G4" s="606">
        <v>0</v>
      </c>
      <c r="H4" s="604">
        <v>0</v>
      </c>
      <c r="I4" s="604"/>
      <c r="J4" s="604">
        <v>0</v>
      </c>
      <c r="K4" s="606">
        <v>0</v>
      </c>
      <c r="L4" s="604">
        <v>0</v>
      </c>
      <c r="M4" s="607">
        <f t="shared" ref="M4:M35" si="0">E4+(CODE(D4)-O$1)/100</f>
        <v>36.03</v>
      </c>
      <c r="N4" s="608">
        <f t="shared" ref="N4:N35" ca="1" si="1">OFFSET($E4,0,RegIndex)</f>
        <v>0</v>
      </c>
      <c r="O4" s="608">
        <f t="shared" ref="O4:O35" ca="1" si="2">OFFSET($I4,0,RegIndex)</f>
        <v>0</v>
      </c>
      <c r="Q4" s="604" t="s">
        <v>965</v>
      </c>
      <c r="R4" s="604"/>
      <c r="S4" s="604"/>
      <c r="T4" s="604"/>
    </row>
    <row r="5" spans="1:20" hidden="1">
      <c r="A5" s="604" t="s">
        <v>128</v>
      </c>
      <c r="B5" s="604" t="s">
        <v>247</v>
      </c>
      <c r="C5" s="604" t="s">
        <v>697</v>
      </c>
      <c r="D5" s="605" t="s">
        <v>700</v>
      </c>
      <c r="E5" s="605">
        <v>43</v>
      </c>
      <c r="F5" s="604">
        <v>0.05</v>
      </c>
      <c r="G5" s="606">
        <v>2.8987267241292192E-3</v>
      </c>
      <c r="H5" s="604">
        <v>4.5524369600685732E-3</v>
      </c>
      <c r="I5" s="604"/>
      <c r="J5" s="604">
        <v>0.05</v>
      </c>
      <c r="K5" s="606">
        <v>9.2227236315699061E-3</v>
      </c>
      <c r="L5" s="604">
        <v>1.746357747851136E-2</v>
      </c>
      <c r="M5" s="607">
        <f t="shared" si="0"/>
        <v>43.03</v>
      </c>
      <c r="N5" s="608">
        <f t="shared" ca="1" si="1"/>
        <v>2.8987267241292192E-3</v>
      </c>
      <c r="O5" s="608">
        <f t="shared" ca="1" si="2"/>
        <v>9.2227236315699061E-3</v>
      </c>
      <c r="Q5" s="604" t="s">
        <v>969</v>
      </c>
      <c r="R5" s="604"/>
      <c r="S5" s="604"/>
      <c r="T5" s="604"/>
    </row>
    <row r="6" spans="1:20" hidden="1">
      <c r="A6" s="604" t="s">
        <v>128</v>
      </c>
      <c r="B6" s="604" t="s">
        <v>245</v>
      </c>
      <c r="C6" s="604" t="s">
        <v>697</v>
      </c>
      <c r="D6" s="605" t="s">
        <v>700</v>
      </c>
      <c r="E6" s="605">
        <v>45</v>
      </c>
      <c r="F6" s="604">
        <v>0.14099999999999999</v>
      </c>
      <c r="G6" s="606">
        <v>0</v>
      </c>
      <c r="H6" s="604">
        <v>0</v>
      </c>
      <c r="I6" s="604"/>
      <c r="J6" s="604">
        <v>0.14099999999999999</v>
      </c>
      <c r="K6" s="606">
        <v>0</v>
      </c>
      <c r="L6" s="604">
        <v>0</v>
      </c>
      <c r="M6" s="607">
        <f t="shared" si="0"/>
        <v>45.03</v>
      </c>
      <c r="N6" s="608">
        <f t="shared" ca="1" si="1"/>
        <v>0</v>
      </c>
      <c r="O6" s="608">
        <f t="shared" ca="1" si="2"/>
        <v>0</v>
      </c>
      <c r="Q6" s="604" t="s">
        <v>968</v>
      </c>
      <c r="R6" s="604"/>
      <c r="S6" s="604"/>
      <c r="T6" s="604"/>
    </row>
    <row r="7" spans="1:20" hidden="1">
      <c r="A7" s="609" t="s">
        <v>44</v>
      </c>
      <c r="B7" s="609" t="s">
        <v>244</v>
      </c>
      <c r="C7" s="609" t="s">
        <v>697</v>
      </c>
      <c r="D7" s="610" t="s">
        <v>701</v>
      </c>
      <c r="E7" s="610">
        <v>36</v>
      </c>
      <c r="F7" s="609">
        <v>0.2</v>
      </c>
      <c r="G7" s="611">
        <v>0.22281990136035987</v>
      </c>
      <c r="H7" s="609">
        <v>0.22281990136035987</v>
      </c>
      <c r="I7" s="609"/>
      <c r="J7" s="609">
        <v>0.2</v>
      </c>
      <c r="K7" s="611">
        <v>0.21468002453485993</v>
      </c>
      <c r="L7" s="609">
        <v>0.20547945205479451</v>
      </c>
      <c r="M7" s="607">
        <f t="shared" si="0"/>
        <v>36.04</v>
      </c>
      <c r="N7" s="608">
        <f t="shared" ca="1" si="1"/>
        <v>0.22281990136035987</v>
      </c>
      <c r="O7" s="608">
        <f t="shared" ca="1" si="2"/>
        <v>0.21468002453485993</v>
      </c>
      <c r="Q7" s="604" t="s">
        <v>973</v>
      </c>
      <c r="R7" s="604"/>
      <c r="S7" s="604"/>
      <c r="T7" s="604"/>
    </row>
    <row r="8" spans="1:20" hidden="1">
      <c r="A8" s="591" t="s">
        <v>44</v>
      </c>
      <c r="B8" s="591" t="s">
        <v>663</v>
      </c>
      <c r="C8" s="591" t="s">
        <v>697</v>
      </c>
      <c r="D8" s="612" t="s">
        <v>701</v>
      </c>
      <c r="E8" s="612">
        <v>37</v>
      </c>
      <c r="F8" s="591">
        <v>0.2</v>
      </c>
      <c r="G8" s="613">
        <v>0.22</v>
      </c>
      <c r="H8" s="591">
        <v>0.22</v>
      </c>
      <c r="J8" s="591">
        <v>0.2</v>
      </c>
      <c r="K8" s="613">
        <v>0.23</v>
      </c>
      <c r="L8" s="591">
        <v>0.23</v>
      </c>
      <c r="M8" s="607">
        <f t="shared" si="0"/>
        <v>37.04</v>
      </c>
      <c r="N8" s="608">
        <f t="shared" ca="1" si="1"/>
        <v>0.22</v>
      </c>
      <c r="O8" s="608">
        <f t="shared" ca="1" si="2"/>
        <v>0.23</v>
      </c>
      <c r="Q8" s="604" t="s">
        <v>970</v>
      </c>
      <c r="R8" s="604"/>
      <c r="S8" s="604"/>
      <c r="T8" s="604"/>
    </row>
    <row r="9" spans="1:20" hidden="1">
      <c r="A9" s="591" t="s">
        <v>44</v>
      </c>
      <c r="B9" s="591" t="s">
        <v>574</v>
      </c>
      <c r="C9" s="591" t="s">
        <v>697</v>
      </c>
      <c r="D9" s="612" t="s">
        <v>701</v>
      </c>
      <c r="E9" s="612">
        <v>38</v>
      </c>
      <c r="F9" s="591">
        <v>0</v>
      </c>
      <c r="G9" s="613">
        <v>0.23</v>
      </c>
      <c r="H9" s="591">
        <v>0.23</v>
      </c>
      <c r="J9" s="591">
        <v>0</v>
      </c>
      <c r="K9" s="613">
        <v>0.24</v>
      </c>
      <c r="L9" s="591">
        <v>0.24</v>
      </c>
      <c r="M9" s="607">
        <f t="shared" si="0"/>
        <v>38.04</v>
      </c>
      <c r="N9" s="608">
        <f t="shared" ca="1" si="1"/>
        <v>0.23</v>
      </c>
      <c r="O9" s="608">
        <f t="shared" ca="1" si="2"/>
        <v>0.24</v>
      </c>
      <c r="Q9" s="604" t="s">
        <v>971</v>
      </c>
      <c r="R9" s="604"/>
      <c r="S9" s="604"/>
      <c r="T9" s="604"/>
    </row>
    <row r="10" spans="1:20" hidden="1">
      <c r="A10" s="591" t="s">
        <v>44</v>
      </c>
      <c r="B10" s="591" t="s">
        <v>576</v>
      </c>
      <c r="C10" s="591" t="s">
        <v>697</v>
      </c>
      <c r="D10" s="612" t="s">
        <v>701</v>
      </c>
      <c r="E10" s="612">
        <v>39</v>
      </c>
      <c r="F10" s="591">
        <v>0.25</v>
      </c>
      <c r="G10" s="613">
        <v>0.11</v>
      </c>
      <c r="H10" s="591">
        <v>0.11</v>
      </c>
      <c r="J10" s="591">
        <v>0.25</v>
      </c>
      <c r="K10" s="613">
        <v>0.115</v>
      </c>
      <c r="L10" s="591">
        <v>0.115</v>
      </c>
      <c r="M10" s="607">
        <f t="shared" si="0"/>
        <v>39.04</v>
      </c>
      <c r="N10" s="608">
        <f t="shared" ca="1" si="1"/>
        <v>0.11</v>
      </c>
      <c r="O10" s="608">
        <f t="shared" ca="1" si="2"/>
        <v>0.115</v>
      </c>
      <c r="Q10" s="604" t="s">
        <v>972</v>
      </c>
      <c r="R10" s="604"/>
      <c r="S10" s="604"/>
      <c r="T10" s="604"/>
    </row>
    <row r="11" spans="1:20" hidden="1">
      <c r="A11" s="591" t="s">
        <v>44</v>
      </c>
      <c r="B11" s="591" t="s">
        <v>664</v>
      </c>
      <c r="C11" s="591" t="s">
        <v>697</v>
      </c>
      <c r="D11" s="612" t="s">
        <v>701</v>
      </c>
      <c r="E11" s="612">
        <v>40</v>
      </c>
      <c r="F11" s="591">
        <v>8.7999999999999995E-2</v>
      </c>
      <c r="G11" s="613">
        <v>0.22</v>
      </c>
      <c r="H11" s="591">
        <v>0.22</v>
      </c>
      <c r="J11" s="591">
        <v>8.7999999999999995E-2</v>
      </c>
      <c r="K11" s="613">
        <v>0.23</v>
      </c>
      <c r="L11" s="591">
        <v>0.23</v>
      </c>
      <c r="M11" s="607">
        <f t="shared" si="0"/>
        <v>40.04</v>
      </c>
      <c r="N11" s="608">
        <f t="shared" ca="1" si="1"/>
        <v>0.22</v>
      </c>
      <c r="O11" s="608">
        <f t="shared" ca="1" si="2"/>
        <v>0.23</v>
      </c>
    </row>
    <row r="12" spans="1:20" hidden="1">
      <c r="A12" s="591" t="s">
        <v>44</v>
      </c>
      <c r="B12" s="591" t="s">
        <v>665</v>
      </c>
      <c r="C12" s="591" t="s">
        <v>697</v>
      </c>
      <c r="D12" s="612" t="s">
        <v>701</v>
      </c>
      <c r="E12" s="612">
        <v>41</v>
      </c>
      <c r="F12" s="591">
        <v>0.2</v>
      </c>
      <c r="G12" s="613">
        <v>0.3</v>
      </c>
      <c r="H12" s="591">
        <v>0.3</v>
      </c>
      <c r="J12" s="591">
        <v>0.2</v>
      </c>
      <c r="K12" s="613">
        <v>0.3</v>
      </c>
      <c r="L12" s="591">
        <v>0.3</v>
      </c>
      <c r="M12" s="607">
        <f t="shared" si="0"/>
        <v>41.04</v>
      </c>
      <c r="N12" s="608">
        <f t="shared" ca="1" si="1"/>
        <v>0.3</v>
      </c>
      <c r="O12" s="608">
        <f t="shared" ca="1" si="2"/>
        <v>0.3</v>
      </c>
    </row>
    <row r="13" spans="1:20" hidden="1">
      <c r="A13" s="591" t="s">
        <v>44</v>
      </c>
      <c r="B13" s="591" t="s">
        <v>588</v>
      </c>
      <c r="C13" s="591" t="s">
        <v>697</v>
      </c>
      <c r="D13" s="612" t="s">
        <v>701</v>
      </c>
      <c r="E13" s="612">
        <v>42</v>
      </c>
      <c r="F13" s="591">
        <v>0</v>
      </c>
      <c r="G13" s="613">
        <v>0.125</v>
      </c>
      <c r="H13" s="591">
        <v>0.15839999999999999</v>
      </c>
      <c r="J13" s="591">
        <v>0</v>
      </c>
      <c r="K13" s="613">
        <v>0.13500000000000001</v>
      </c>
      <c r="L13" s="591">
        <v>0.1656</v>
      </c>
      <c r="M13" s="607">
        <f t="shared" si="0"/>
        <v>42.04</v>
      </c>
      <c r="N13" s="608">
        <f t="shared" ca="1" si="1"/>
        <v>0.125</v>
      </c>
      <c r="O13" s="608">
        <f t="shared" ca="1" si="2"/>
        <v>0.13500000000000001</v>
      </c>
    </row>
    <row r="14" spans="1:20" hidden="1">
      <c r="A14" s="591" t="s">
        <v>44</v>
      </c>
      <c r="B14" s="591" t="s">
        <v>247</v>
      </c>
      <c r="C14" s="591" t="s">
        <v>697</v>
      </c>
      <c r="D14" s="612" t="s">
        <v>701</v>
      </c>
      <c r="E14" s="612">
        <v>43</v>
      </c>
      <c r="F14" s="591">
        <v>0.1</v>
      </c>
      <c r="G14" s="613">
        <v>0.13459175548621022</v>
      </c>
      <c r="H14" s="591">
        <v>7.4456837815688265E-2</v>
      </c>
      <c r="J14" s="591">
        <v>0.1</v>
      </c>
      <c r="K14" s="613">
        <v>0.17670549532641713</v>
      </c>
      <c r="L14" s="591">
        <v>8.4407932240672751E-2</v>
      </c>
      <c r="M14" s="607">
        <f t="shared" si="0"/>
        <v>43.04</v>
      </c>
      <c r="N14" s="608">
        <f t="shared" ca="1" si="1"/>
        <v>0.13459175548621022</v>
      </c>
      <c r="O14" s="608">
        <f t="shared" ca="1" si="2"/>
        <v>0.17670549532641713</v>
      </c>
    </row>
    <row r="15" spans="1:20" hidden="1">
      <c r="A15" s="591" t="s">
        <v>44</v>
      </c>
      <c r="B15" s="591" t="s">
        <v>414</v>
      </c>
      <c r="C15" s="591" t="s">
        <v>697</v>
      </c>
      <c r="D15" s="612" t="s">
        <v>701</v>
      </c>
      <c r="E15" s="612">
        <v>44</v>
      </c>
      <c r="F15" s="591">
        <v>0.22</v>
      </c>
      <c r="G15" s="613">
        <v>0.23</v>
      </c>
      <c r="H15" s="591">
        <v>0.23</v>
      </c>
      <c r="J15" s="591">
        <v>0.22</v>
      </c>
      <c r="K15" s="613">
        <v>0.24</v>
      </c>
      <c r="L15" s="591">
        <v>0.24</v>
      </c>
      <c r="M15" s="607">
        <f t="shared" si="0"/>
        <v>44.04</v>
      </c>
      <c r="N15" s="608">
        <f t="shared" ca="1" si="1"/>
        <v>0.23</v>
      </c>
      <c r="O15" s="608">
        <f t="shared" ca="1" si="2"/>
        <v>0.24</v>
      </c>
    </row>
    <row r="16" spans="1:20" hidden="1">
      <c r="A16" s="591" t="s">
        <v>44</v>
      </c>
      <c r="B16" s="591" t="s">
        <v>245</v>
      </c>
      <c r="C16" s="591" t="s">
        <v>697</v>
      </c>
      <c r="D16" s="612" t="s">
        <v>701</v>
      </c>
      <c r="E16" s="612">
        <v>45</v>
      </c>
      <c r="F16" s="591">
        <v>0</v>
      </c>
      <c r="G16" s="613">
        <v>0</v>
      </c>
      <c r="H16" s="591">
        <v>0</v>
      </c>
      <c r="J16" s="591">
        <v>0</v>
      </c>
      <c r="K16" s="613">
        <v>0</v>
      </c>
      <c r="L16" s="591">
        <v>0</v>
      </c>
      <c r="M16" s="607">
        <f t="shared" si="0"/>
        <v>45.04</v>
      </c>
      <c r="N16" s="608">
        <f t="shared" ca="1" si="1"/>
        <v>0</v>
      </c>
      <c r="O16" s="608">
        <f t="shared" ca="1" si="2"/>
        <v>0</v>
      </c>
    </row>
    <row r="17" spans="1:15" hidden="1">
      <c r="A17" s="591" t="s">
        <v>44</v>
      </c>
      <c r="B17" s="591" t="s">
        <v>246</v>
      </c>
      <c r="C17" s="591" t="s">
        <v>697</v>
      </c>
      <c r="D17" s="612" t="s">
        <v>701</v>
      </c>
      <c r="E17" s="612">
        <v>46</v>
      </c>
      <c r="F17" s="591">
        <v>1</v>
      </c>
      <c r="G17" s="613">
        <v>0</v>
      </c>
      <c r="H17" s="591">
        <v>0</v>
      </c>
      <c r="J17" s="591">
        <v>1</v>
      </c>
      <c r="K17" s="613">
        <v>0</v>
      </c>
      <c r="L17" s="591">
        <v>0</v>
      </c>
      <c r="M17" s="607">
        <f t="shared" si="0"/>
        <v>46.04</v>
      </c>
      <c r="N17" s="608">
        <f t="shared" ca="1" si="1"/>
        <v>0</v>
      </c>
      <c r="O17" s="608">
        <f t="shared" ca="1" si="2"/>
        <v>0</v>
      </c>
    </row>
    <row r="18" spans="1:15" hidden="1">
      <c r="A18" s="604" t="s">
        <v>91</v>
      </c>
      <c r="B18" s="604" t="s">
        <v>247</v>
      </c>
      <c r="C18" s="604" t="s">
        <v>697</v>
      </c>
      <c r="D18" s="605" t="s">
        <v>702</v>
      </c>
      <c r="E18" s="605">
        <v>43</v>
      </c>
      <c r="F18" s="604">
        <v>0.14000000000000001</v>
      </c>
      <c r="G18" s="606">
        <v>5.8850826667426803E-2</v>
      </c>
      <c r="H18" s="604">
        <v>9.2424952038852454E-2</v>
      </c>
      <c r="I18" s="604"/>
      <c r="J18" s="604">
        <v>0.14000000000000001</v>
      </c>
      <c r="K18" s="606">
        <v>4.9432026484532897E-2</v>
      </c>
      <c r="L18" s="604">
        <v>9.3601419593391869E-2</v>
      </c>
      <c r="M18" s="607">
        <f t="shared" si="0"/>
        <v>43.05</v>
      </c>
      <c r="N18" s="608">
        <f t="shared" ca="1" si="1"/>
        <v>5.8850826667426803E-2</v>
      </c>
      <c r="O18" s="608">
        <f t="shared" ca="1" si="2"/>
        <v>4.9432026484532897E-2</v>
      </c>
    </row>
    <row r="19" spans="1:15" hidden="1">
      <c r="A19" s="591" t="s">
        <v>94</v>
      </c>
      <c r="B19" s="591" t="s">
        <v>244</v>
      </c>
      <c r="C19" s="591" t="s">
        <v>697</v>
      </c>
      <c r="D19" s="612" t="s">
        <v>703</v>
      </c>
      <c r="E19" s="612">
        <v>36</v>
      </c>
      <c r="F19" s="591">
        <v>0</v>
      </c>
      <c r="G19" s="613">
        <v>0</v>
      </c>
      <c r="H19" s="591">
        <v>0</v>
      </c>
      <c r="J19" s="591">
        <v>0</v>
      </c>
      <c r="K19" s="613">
        <v>0</v>
      </c>
      <c r="L19" s="591">
        <v>0</v>
      </c>
      <c r="M19" s="607">
        <f t="shared" si="0"/>
        <v>36.06</v>
      </c>
      <c r="N19" s="608">
        <f t="shared" ca="1" si="1"/>
        <v>0</v>
      </c>
      <c r="O19" s="608">
        <f t="shared" ca="1" si="2"/>
        <v>0</v>
      </c>
    </row>
    <row r="20" spans="1:15" hidden="1">
      <c r="A20" s="591" t="s">
        <v>94</v>
      </c>
      <c r="B20" s="591" t="s">
        <v>247</v>
      </c>
      <c r="C20" s="591" t="s">
        <v>697</v>
      </c>
      <c r="D20" s="612" t="s">
        <v>703</v>
      </c>
      <c r="E20" s="612">
        <v>43</v>
      </c>
      <c r="F20" s="591">
        <v>0.01</v>
      </c>
      <c r="G20" s="613">
        <v>7.2462129592431104E-3</v>
      </c>
      <c r="H20" s="591">
        <v>1.138014405483353E-2</v>
      </c>
      <c r="J20" s="591">
        <v>0.01</v>
      </c>
      <c r="K20" s="613">
        <v>6.0864903893036969E-3</v>
      </c>
      <c r="L20" s="591">
        <v>1.1525000719090904E-2</v>
      </c>
      <c r="M20" s="607">
        <f t="shared" si="0"/>
        <v>43.06</v>
      </c>
      <c r="N20" s="608">
        <f t="shared" ca="1" si="1"/>
        <v>7.2462129592431104E-3</v>
      </c>
      <c r="O20" s="608">
        <f t="shared" ca="1" si="2"/>
        <v>6.0864903893036969E-3</v>
      </c>
    </row>
    <row r="21" spans="1:15" hidden="1">
      <c r="A21" s="604" t="s">
        <v>129</v>
      </c>
      <c r="B21" s="604" t="s">
        <v>244</v>
      </c>
      <c r="C21" s="604" t="s">
        <v>697</v>
      </c>
      <c r="D21" s="605" t="s">
        <v>704</v>
      </c>
      <c r="E21" s="605">
        <v>36</v>
      </c>
      <c r="F21" s="604">
        <v>0.1</v>
      </c>
      <c r="G21" s="606">
        <f>0.0312178201723484*2</f>
        <v>6.2435640344696799E-2</v>
      </c>
      <c r="H21" s="606">
        <f>0.0312178201723484*4</f>
        <v>0.1248712806893936</v>
      </c>
      <c r="I21" s="604"/>
      <c r="J21" s="604">
        <v>0.1</v>
      </c>
      <c r="K21" s="606">
        <v>0.10549989777141687</v>
      </c>
      <c r="L21" s="604">
        <v>0.14383561643835618</v>
      </c>
      <c r="M21" s="607">
        <f t="shared" si="0"/>
        <v>36.07</v>
      </c>
      <c r="N21" s="608">
        <f t="shared" ca="1" si="1"/>
        <v>6.2435640344696799E-2</v>
      </c>
      <c r="O21" s="608">
        <f t="shared" ca="1" si="2"/>
        <v>0.10549989777141687</v>
      </c>
    </row>
    <row r="22" spans="1:15" hidden="1">
      <c r="A22" s="604" t="s">
        <v>129</v>
      </c>
      <c r="B22" s="604" t="s">
        <v>663</v>
      </c>
      <c r="C22" s="604" t="s">
        <v>697</v>
      </c>
      <c r="D22" s="605" t="s">
        <v>704</v>
      </c>
      <c r="E22" s="605">
        <v>37</v>
      </c>
      <c r="F22" s="604">
        <v>0</v>
      </c>
      <c r="G22" s="606">
        <v>0</v>
      </c>
      <c r="H22" s="604">
        <v>0</v>
      </c>
      <c r="I22" s="604"/>
      <c r="J22" s="604">
        <v>0</v>
      </c>
      <c r="K22" s="606">
        <v>0</v>
      </c>
      <c r="L22" s="604">
        <v>0</v>
      </c>
      <c r="M22" s="607">
        <f t="shared" si="0"/>
        <v>37.07</v>
      </c>
      <c r="N22" s="608">
        <f t="shared" ca="1" si="1"/>
        <v>0</v>
      </c>
      <c r="O22" s="608">
        <f t="shared" ca="1" si="2"/>
        <v>0</v>
      </c>
    </row>
    <row r="23" spans="1:15" hidden="1">
      <c r="A23" s="604" t="s">
        <v>129</v>
      </c>
      <c r="B23" s="604" t="s">
        <v>576</v>
      </c>
      <c r="C23" s="604" t="s">
        <v>697</v>
      </c>
      <c r="D23" s="605" t="s">
        <v>704</v>
      </c>
      <c r="E23" s="605">
        <v>39</v>
      </c>
      <c r="F23" s="604">
        <v>0.35</v>
      </c>
      <c r="G23" s="606">
        <v>0.1</v>
      </c>
      <c r="H23" s="604">
        <v>0.1</v>
      </c>
      <c r="I23" s="604"/>
      <c r="J23" s="604">
        <v>0.35</v>
      </c>
      <c r="K23" s="606">
        <v>0.1</v>
      </c>
      <c r="L23" s="604">
        <v>0.1</v>
      </c>
      <c r="M23" s="607">
        <f t="shared" si="0"/>
        <v>39.07</v>
      </c>
      <c r="N23" s="608">
        <f t="shared" ca="1" si="1"/>
        <v>0.1</v>
      </c>
      <c r="O23" s="608">
        <f t="shared" ca="1" si="2"/>
        <v>0.1</v>
      </c>
    </row>
    <row r="24" spans="1:15" hidden="1">
      <c r="A24" s="604" t="s">
        <v>129</v>
      </c>
      <c r="B24" s="604" t="s">
        <v>665</v>
      </c>
      <c r="C24" s="604" t="s">
        <v>697</v>
      </c>
      <c r="D24" s="605" t="s">
        <v>704</v>
      </c>
      <c r="E24" s="605">
        <v>41</v>
      </c>
      <c r="F24" s="604">
        <v>0.3</v>
      </c>
      <c r="G24" s="606">
        <v>0.16826644943977975</v>
      </c>
      <c r="H24" s="604">
        <v>0.17938039175478646</v>
      </c>
      <c r="I24" s="604"/>
      <c r="J24" s="604">
        <v>0.3</v>
      </c>
      <c r="K24" s="606">
        <v>0.30294529755731353</v>
      </c>
      <c r="L24" s="604">
        <v>0</v>
      </c>
      <c r="M24" s="607">
        <f t="shared" si="0"/>
        <v>41.07</v>
      </c>
      <c r="N24" s="608">
        <f t="shared" ca="1" si="1"/>
        <v>0.16826644943977975</v>
      </c>
      <c r="O24" s="608">
        <f t="shared" ca="1" si="2"/>
        <v>0.30294529755731353</v>
      </c>
    </row>
    <row r="25" spans="1:15" hidden="1">
      <c r="A25" s="604" t="s">
        <v>129</v>
      </c>
      <c r="B25" s="604" t="s">
        <v>588</v>
      </c>
      <c r="C25" s="604" t="s">
        <v>697</v>
      </c>
      <c r="D25" s="605" t="s">
        <v>704</v>
      </c>
      <c r="E25" s="605">
        <v>42</v>
      </c>
      <c r="F25" s="604">
        <v>0.1</v>
      </c>
      <c r="G25" s="606">
        <v>0.01</v>
      </c>
      <c r="H25" s="604">
        <v>0.01</v>
      </c>
      <c r="I25" s="604"/>
      <c r="J25" s="604">
        <v>0.1</v>
      </c>
      <c r="K25" s="606">
        <v>9.4999999999999998E-3</v>
      </c>
      <c r="L25" s="604">
        <v>4.0000000000000001E-3</v>
      </c>
      <c r="M25" s="607">
        <f t="shared" si="0"/>
        <v>42.07</v>
      </c>
      <c r="N25" s="608">
        <f t="shared" ca="1" si="1"/>
        <v>0.01</v>
      </c>
      <c r="O25" s="608">
        <f t="shared" ca="1" si="2"/>
        <v>9.4999999999999998E-3</v>
      </c>
    </row>
    <row r="26" spans="1:15" hidden="1">
      <c r="A26" s="604" t="s">
        <v>129</v>
      </c>
      <c r="B26" s="604" t="s">
        <v>247</v>
      </c>
      <c r="C26" s="604" t="s">
        <v>697</v>
      </c>
      <c r="D26" s="605" t="s">
        <v>704</v>
      </c>
      <c r="E26" s="605">
        <v>43</v>
      </c>
      <c r="F26" s="604">
        <v>7.0000000000000007E-2</v>
      </c>
      <c r="G26" s="606">
        <v>2.6179717063723199E-2</v>
      </c>
      <c r="H26" s="604">
        <v>4.4256115768797066E-2</v>
      </c>
      <c r="I26" s="604"/>
      <c r="J26" s="604">
        <v>7.0000000000000007E-2</v>
      </c>
      <c r="K26" s="606">
        <v>2.3669684847292156E-2</v>
      </c>
      <c r="L26" s="604">
        <v>4.0246160801410337E-2</v>
      </c>
      <c r="M26" s="607">
        <f t="shared" si="0"/>
        <v>43.07</v>
      </c>
      <c r="N26" s="608">
        <f t="shared" ca="1" si="1"/>
        <v>2.6179717063723199E-2</v>
      </c>
      <c r="O26" s="608">
        <f t="shared" ca="1" si="2"/>
        <v>2.3669684847292156E-2</v>
      </c>
    </row>
    <row r="27" spans="1:15" hidden="1">
      <c r="A27" s="604" t="s">
        <v>129</v>
      </c>
      <c r="B27" s="604" t="s">
        <v>246</v>
      </c>
      <c r="C27" s="604" t="s">
        <v>697</v>
      </c>
      <c r="D27" s="605" t="s">
        <v>704</v>
      </c>
      <c r="E27" s="605">
        <v>46</v>
      </c>
      <c r="F27" s="604">
        <v>0</v>
      </c>
      <c r="G27" s="606">
        <v>0</v>
      </c>
      <c r="H27" s="604">
        <v>0</v>
      </c>
      <c r="I27" s="604"/>
      <c r="J27" s="604">
        <v>0</v>
      </c>
      <c r="K27" s="606">
        <v>0</v>
      </c>
      <c r="L27" s="604">
        <v>0</v>
      </c>
      <c r="M27" s="607">
        <f t="shared" si="0"/>
        <v>46.07</v>
      </c>
      <c r="N27" s="608">
        <f t="shared" ca="1" si="1"/>
        <v>0</v>
      </c>
      <c r="O27" s="608">
        <f t="shared" ca="1" si="2"/>
        <v>0</v>
      </c>
    </row>
    <row r="28" spans="1:15" hidden="1">
      <c r="A28" s="591" t="s">
        <v>96</v>
      </c>
      <c r="B28" s="591" t="s">
        <v>247</v>
      </c>
      <c r="C28" s="591" t="s">
        <v>697</v>
      </c>
      <c r="D28" s="612" t="s">
        <v>705</v>
      </c>
      <c r="E28" s="612">
        <v>43</v>
      </c>
      <c r="F28" s="591">
        <v>0.04</v>
      </c>
      <c r="G28" s="613">
        <v>1.0466752052240048E-2</v>
      </c>
      <c r="H28" s="591">
        <v>1.6437985856981766E-2</v>
      </c>
      <c r="J28" s="591">
        <v>0.04</v>
      </c>
      <c r="K28" s="613">
        <v>8.791597228994228E-3</v>
      </c>
      <c r="L28" s="591">
        <v>1.6647223260909085E-2</v>
      </c>
      <c r="M28" s="607">
        <f t="shared" si="0"/>
        <v>43.08</v>
      </c>
      <c r="N28" s="608">
        <f t="shared" ca="1" si="1"/>
        <v>1.0466752052240048E-2</v>
      </c>
      <c r="O28" s="608">
        <f t="shared" ca="1" si="2"/>
        <v>8.791597228994228E-3</v>
      </c>
    </row>
    <row r="29" spans="1:15" hidden="1">
      <c r="A29" s="604" t="s">
        <v>92</v>
      </c>
      <c r="B29" s="604" t="s">
        <v>247</v>
      </c>
      <c r="C29" s="604" t="s">
        <v>697</v>
      </c>
      <c r="D29" s="605" t="s">
        <v>706</v>
      </c>
      <c r="E29" s="605">
        <v>43</v>
      </c>
      <c r="F29" s="604">
        <v>0.02</v>
      </c>
      <c r="G29" s="606">
        <v>1.4894993305110838E-2</v>
      </c>
      <c r="H29" s="604">
        <v>2.3392518334935587E-2</v>
      </c>
      <c r="I29" s="604"/>
      <c r="J29" s="604">
        <v>0.02</v>
      </c>
      <c r="K29" s="606">
        <v>1.2511119133568709E-2</v>
      </c>
      <c r="L29" s="604">
        <v>2.369027925590908E-2</v>
      </c>
      <c r="M29" s="607">
        <f t="shared" si="0"/>
        <v>43.09</v>
      </c>
      <c r="N29" s="608">
        <f t="shared" ca="1" si="1"/>
        <v>1.4894993305110838E-2</v>
      </c>
      <c r="O29" s="608">
        <f t="shared" ca="1" si="2"/>
        <v>1.2511119133568709E-2</v>
      </c>
    </row>
    <row r="30" spans="1:15" hidden="1">
      <c r="A30" s="591" t="s">
        <v>637</v>
      </c>
      <c r="B30" s="591" t="s">
        <v>244</v>
      </c>
      <c r="C30" s="591" t="s">
        <v>697</v>
      </c>
      <c r="D30" s="612" t="s">
        <v>707</v>
      </c>
      <c r="E30" s="612">
        <v>36</v>
      </c>
      <c r="F30" s="591">
        <v>0</v>
      </c>
      <c r="G30" s="613">
        <v>0</v>
      </c>
      <c r="H30" s="591">
        <v>0</v>
      </c>
      <c r="J30" s="591">
        <v>0</v>
      </c>
      <c r="K30" s="613">
        <v>0</v>
      </c>
      <c r="L30" s="591">
        <v>0</v>
      </c>
      <c r="M30" s="607">
        <f t="shared" si="0"/>
        <v>36.1</v>
      </c>
      <c r="N30" s="608">
        <f t="shared" ca="1" si="1"/>
        <v>0</v>
      </c>
      <c r="O30" s="608">
        <f t="shared" ca="1" si="2"/>
        <v>0</v>
      </c>
    </row>
    <row r="31" spans="1:15" hidden="1">
      <c r="A31" s="591" t="s">
        <v>637</v>
      </c>
      <c r="B31" s="591" t="s">
        <v>663</v>
      </c>
      <c r="C31" s="591" t="s">
        <v>697</v>
      </c>
      <c r="D31" s="612" t="s">
        <v>707</v>
      </c>
      <c r="E31" s="612">
        <v>37</v>
      </c>
      <c r="F31" s="591">
        <v>0</v>
      </c>
      <c r="G31" s="613">
        <v>0</v>
      </c>
      <c r="H31" s="591">
        <v>0</v>
      </c>
      <c r="J31" s="591">
        <v>0</v>
      </c>
      <c r="K31" s="613">
        <v>0</v>
      </c>
      <c r="L31" s="591">
        <v>0</v>
      </c>
      <c r="M31" s="607">
        <f t="shared" si="0"/>
        <v>37.1</v>
      </c>
      <c r="N31" s="608">
        <f t="shared" ca="1" si="1"/>
        <v>0</v>
      </c>
      <c r="O31" s="608">
        <f t="shared" ca="1" si="2"/>
        <v>0</v>
      </c>
    </row>
    <row r="32" spans="1:15" hidden="1">
      <c r="A32" s="591" t="s">
        <v>637</v>
      </c>
      <c r="B32" s="591" t="s">
        <v>576</v>
      </c>
      <c r="C32" s="591" t="s">
        <v>697</v>
      </c>
      <c r="D32" s="612" t="s">
        <v>707</v>
      </c>
      <c r="E32" s="612">
        <v>39</v>
      </c>
      <c r="F32" s="591">
        <v>0</v>
      </c>
      <c r="G32" s="613">
        <v>0.4</v>
      </c>
      <c r="H32" s="591">
        <v>0.4</v>
      </c>
      <c r="J32" s="591">
        <v>0</v>
      </c>
      <c r="K32" s="613">
        <v>0.4</v>
      </c>
      <c r="L32" s="591">
        <v>0.4</v>
      </c>
      <c r="M32" s="607">
        <f t="shared" si="0"/>
        <v>39.1</v>
      </c>
      <c r="N32" s="608">
        <f t="shared" ca="1" si="1"/>
        <v>0.4</v>
      </c>
      <c r="O32" s="608">
        <f t="shared" ca="1" si="2"/>
        <v>0.4</v>
      </c>
    </row>
    <row r="33" spans="1:15" hidden="1">
      <c r="A33" s="591" t="s">
        <v>637</v>
      </c>
      <c r="B33" s="591" t="s">
        <v>665</v>
      </c>
      <c r="C33" s="591" t="s">
        <v>697</v>
      </c>
      <c r="D33" s="612" t="s">
        <v>707</v>
      </c>
      <c r="E33" s="612">
        <v>41</v>
      </c>
      <c r="F33" s="591">
        <v>0</v>
      </c>
      <c r="G33" s="613">
        <v>0.1417335505602203</v>
      </c>
      <c r="H33" s="591">
        <v>0.13061960824521357</v>
      </c>
      <c r="J33" s="591">
        <v>0</v>
      </c>
      <c r="K33" s="613">
        <v>7.0547024426865779E-3</v>
      </c>
      <c r="L33" s="591">
        <v>0.31</v>
      </c>
      <c r="M33" s="607">
        <f t="shared" si="0"/>
        <v>41.1</v>
      </c>
      <c r="N33" s="608">
        <f t="shared" ca="1" si="1"/>
        <v>0.1417335505602203</v>
      </c>
      <c r="O33" s="608">
        <f t="shared" ca="1" si="2"/>
        <v>7.0547024426865779E-3</v>
      </c>
    </row>
    <row r="34" spans="1:15" hidden="1">
      <c r="A34" s="591" t="s">
        <v>637</v>
      </c>
      <c r="B34" s="591" t="s">
        <v>588</v>
      </c>
      <c r="C34" s="591" t="s">
        <v>697</v>
      </c>
      <c r="D34" s="612" t="s">
        <v>707</v>
      </c>
      <c r="E34" s="612">
        <v>42</v>
      </c>
      <c r="F34" s="591">
        <v>0</v>
      </c>
      <c r="G34" s="613">
        <v>0.11</v>
      </c>
      <c r="H34" s="591">
        <v>0</v>
      </c>
      <c r="J34" s="591">
        <v>0</v>
      </c>
      <c r="K34" s="613">
        <v>0.1112675521075956</v>
      </c>
      <c r="L34" s="591">
        <v>0</v>
      </c>
      <c r="M34" s="607">
        <f t="shared" si="0"/>
        <v>42.1</v>
      </c>
      <c r="N34" s="608">
        <f t="shared" ca="1" si="1"/>
        <v>0.11</v>
      </c>
      <c r="O34" s="608">
        <f t="shared" ca="1" si="2"/>
        <v>0.1112675521075956</v>
      </c>
    </row>
    <row r="35" spans="1:15" hidden="1">
      <c r="A35" s="591" t="s">
        <v>639</v>
      </c>
      <c r="B35" s="591" t="s">
        <v>247</v>
      </c>
      <c r="C35" s="591" t="s">
        <v>697</v>
      </c>
      <c r="D35" s="612" t="s">
        <v>708</v>
      </c>
      <c r="E35" s="612">
        <v>43</v>
      </c>
      <c r="F35" s="591">
        <v>0.31</v>
      </c>
      <c r="G35" s="613">
        <v>0.21558387156214198</v>
      </c>
      <c r="H35" s="591">
        <v>0.33857347666637805</v>
      </c>
      <c r="J35" s="591">
        <v>0.31</v>
      </c>
      <c r="K35" s="613">
        <v>0.19427273939496165</v>
      </c>
      <c r="L35" s="591">
        <v>0.3724360970275955</v>
      </c>
      <c r="M35" s="607">
        <f t="shared" si="0"/>
        <v>43.11</v>
      </c>
      <c r="N35" s="608">
        <f t="shared" ca="1" si="1"/>
        <v>0.21558387156214198</v>
      </c>
      <c r="O35" s="608">
        <f t="shared" ca="1" si="2"/>
        <v>0.19427273939496165</v>
      </c>
    </row>
    <row r="36" spans="1:15" hidden="1">
      <c r="A36" s="604" t="s">
        <v>130</v>
      </c>
      <c r="B36" s="604" t="s">
        <v>576</v>
      </c>
      <c r="C36" s="604" t="s">
        <v>697</v>
      </c>
      <c r="D36" s="605" t="s">
        <v>709</v>
      </c>
      <c r="E36" s="605">
        <v>39</v>
      </c>
      <c r="F36" s="604">
        <v>0.03</v>
      </c>
      <c r="G36" s="606">
        <v>0</v>
      </c>
      <c r="H36" s="604">
        <v>0</v>
      </c>
      <c r="I36" s="604"/>
      <c r="J36" s="604">
        <v>0.03</v>
      </c>
      <c r="K36" s="606">
        <v>0</v>
      </c>
      <c r="L36" s="604">
        <v>0</v>
      </c>
      <c r="M36" s="607">
        <f t="shared" ref="M36:M67" si="3">E36+(CODE(D36)-O$1)/100</f>
        <v>39.119999999999997</v>
      </c>
      <c r="N36" s="608">
        <f t="shared" ref="N36:N67" ca="1" si="4">OFFSET($E36,0,RegIndex)</f>
        <v>0</v>
      </c>
      <c r="O36" s="608">
        <f t="shared" ref="O36:O67" ca="1" si="5">OFFSET($I36,0,RegIndex)</f>
        <v>0</v>
      </c>
    </row>
    <row r="37" spans="1:15" hidden="1">
      <c r="A37" s="604" t="s">
        <v>130</v>
      </c>
      <c r="B37" s="604" t="s">
        <v>247</v>
      </c>
      <c r="C37" s="604" t="s">
        <v>697</v>
      </c>
      <c r="D37" s="605" t="s">
        <v>709</v>
      </c>
      <c r="E37" s="605">
        <v>43</v>
      </c>
      <c r="F37" s="604">
        <v>0.09</v>
      </c>
      <c r="G37" s="606">
        <v>0.10107991847344228</v>
      </c>
      <c r="H37" s="604">
        <v>0.15874554608711844</v>
      </c>
      <c r="I37" s="604"/>
      <c r="J37" s="604">
        <v>0.09</v>
      </c>
      <c r="K37" s="606">
        <v>6.4922564152572762E-2</v>
      </c>
      <c r="L37" s="604">
        <v>0.12293334100363632</v>
      </c>
      <c r="M37" s="607">
        <f t="shared" si="3"/>
        <v>43.12</v>
      </c>
      <c r="N37" s="608">
        <f t="shared" ca="1" si="4"/>
        <v>0.10107991847344228</v>
      </c>
      <c r="O37" s="608">
        <f t="shared" ca="1" si="5"/>
        <v>6.4922564152572762E-2</v>
      </c>
    </row>
    <row r="38" spans="1:15" hidden="1">
      <c r="A38" s="591" t="s">
        <v>252</v>
      </c>
      <c r="B38" s="591" t="s">
        <v>244</v>
      </c>
      <c r="C38" s="591" t="s">
        <v>697</v>
      </c>
      <c r="D38" s="612" t="s">
        <v>700</v>
      </c>
      <c r="E38" s="612">
        <v>52</v>
      </c>
      <c r="F38" s="591">
        <v>0</v>
      </c>
      <c r="G38" s="613">
        <v>0.88155684580208871</v>
      </c>
      <c r="H38" s="591">
        <v>0.346211257813829</v>
      </c>
      <c r="J38" s="591">
        <v>0</v>
      </c>
      <c r="K38" s="613">
        <v>0.83960782777124665</v>
      </c>
      <c r="L38" s="591">
        <v>0.57566015223136568</v>
      </c>
      <c r="M38" s="607">
        <f t="shared" si="3"/>
        <v>52.03</v>
      </c>
      <c r="N38" s="608">
        <f t="shared" ca="1" si="4"/>
        <v>0.88155684580208871</v>
      </c>
      <c r="O38" s="608">
        <f t="shared" ca="1" si="5"/>
        <v>0.83960782777124665</v>
      </c>
    </row>
    <row r="39" spans="1:15" hidden="1">
      <c r="A39" s="591" t="s">
        <v>252</v>
      </c>
      <c r="B39" s="591" t="s">
        <v>663</v>
      </c>
      <c r="C39" s="591" t="s">
        <v>697</v>
      </c>
      <c r="D39" s="612" t="s">
        <v>700</v>
      </c>
      <c r="E39" s="612">
        <v>53</v>
      </c>
      <c r="F39" s="591">
        <v>0</v>
      </c>
      <c r="G39" s="613">
        <v>0.17509148539368405</v>
      </c>
      <c r="H39" s="591">
        <v>0.34621125781382911</v>
      </c>
      <c r="J39" s="591">
        <v>0</v>
      </c>
      <c r="K39" s="613">
        <v>0.10891481297940424</v>
      </c>
      <c r="L39" s="591">
        <v>0.36665694362890427</v>
      </c>
      <c r="M39" s="607">
        <f t="shared" si="3"/>
        <v>53.03</v>
      </c>
      <c r="N39" s="608">
        <f t="shared" ca="1" si="4"/>
        <v>0.17509148539368405</v>
      </c>
      <c r="O39" s="608">
        <f t="shared" ca="1" si="5"/>
        <v>0.10891481297940424</v>
      </c>
    </row>
    <row r="40" spans="1:15" hidden="1">
      <c r="A40" s="591" t="s">
        <v>252</v>
      </c>
      <c r="B40" s="591" t="s">
        <v>574</v>
      </c>
      <c r="C40" s="591" t="s">
        <v>697</v>
      </c>
      <c r="D40" s="612" t="s">
        <v>700</v>
      </c>
      <c r="E40" s="612">
        <v>54</v>
      </c>
      <c r="F40" s="591">
        <v>0</v>
      </c>
      <c r="G40" s="613">
        <v>1</v>
      </c>
      <c r="H40" s="591">
        <v>0</v>
      </c>
      <c r="J40" s="591">
        <v>0</v>
      </c>
      <c r="K40" s="613">
        <v>1</v>
      </c>
      <c r="L40" s="591">
        <v>0</v>
      </c>
      <c r="M40" s="607">
        <f t="shared" si="3"/>
        <v>54.03</v>
      </c>
      <c r="N40" s="608">
        <f t="shared" ca="1" si="4"/>
        <v>1</v>
      </c>
      <c r="O40" s="608">
        <f t="shared" ca="1" si="5"/>
        <v>1</v>
      </c>
    </row>
    <row r="41" spans="1:15" hidden="1">
      <c r="A41" s="591" t="s">
        <v>252</v>
      </c>
      <c r="B41" s="591" t="s">
        <v>576</v>
      </c>
      <c r="C41" s="591" t="s">
        <v>697</v>
      </c>
      <c r="D41" s="612" t="s">
        <v>700</v>
      </c>
      <c r="E41" s="612">
        <v>55</v>
      </c>
      <c r="F41" s="591">
        <v>0</v>
      </c>
      <c r="G41" s="613">
        <v>0</v>
      </c>
      <c r="H41" s="591">
        <v>0</v>
      </c>
      <c r="J41" s="591">
        <v>0</v>
      </c>
      <c r="K41" s="613">
        <v>0</v>
      </c>
      <c r="L41" s="591">
        <v>0</v>
      </c>
      <c r="M41" s="607">
        <f t="shared" si="3"/>
        <v>55.03</v>
      </c>
      <c r="N41" s="608">
        <f t="shared" ca="1" si="4"/>
        <v>0</v>
      </c>
      <c r="O41" s="608">
        <f t="shared" ca="1" si="5"/>
        <v>0</v>
      </c>
    </row>
    <row r="42" spans="1:15" hidden="1">
      <c r="A42" s="591" t="s">
        <v>252</v>
      </c>
      <c r="B42" s="591" t="s">
        <v>664</v>
      </c>
      <c r="C42" s="591" t="s">
        <v>697</v>
      </c>
      <c r="D42" s="612" t="s">
        <v>700</v>
      </c>
      <c r="E42" s="612">
        <v>56</v>
      </c>
      <c r="F42" s="591">
        <v>0</v>
      </c>
      <c r="G42" s="613">
        <v>9.2715231788079472E-2</v>
      </c>
      <c r="H42" s="591">
        <v>0</v>
      </c>
      <c r="J42" s="591">
        <v>0</v>
      </c>
      <c r="K42" s="613">
        <v>0.12</v>
      </c>
      <c r="L42" s="591">
        <v>0</v>
      </c>
      <c r="M42" s="607">
        <f t="shared" si="3"/>
        <v>56.03</v>
      </c>
      <c r="N42" s="608">
        <f t="shared" ca="1" si="4"/>
        <v>9.2715231788079472E-2</v>
      </c>
      <c r="O42" s="608">
        <f t="shared" ca="1" si="5"/>
        <v>0.12</v>
      </c>
    </row>
    <row r="43" spans="1:15" hidden="1">
      <c r="A43" s="591" t="s">
        <v>252</v>
      </c>
      <c r="B43" s="591" t="s">
        <v>665</v>
      </c>
      <c r="C43" s="591" t="s">
        <v>697</v>
      </c>
      <c r="D43" s="612" t="s">
        <v>700</v>
      </c>
      <c r="E43" s="612">
        <v>57</v>
      </c>
      <c r="F43" s="591">
        <v>0</v>
      </c>
      <c r="G43" s="613">
        <v>0</v>
      </c>
      <c r="H43" s="591">
        <v>0</v>
      </c>
      <c r="J43" s="591">
        <v>0</v>
      </c>
      <c r="K43" s="613">
        <v>0</v>
      </c>
      <c r="L43" s="591">
        <v>0</v>
      </c>
      <c r="M43" s="607">
        <f t="shared" si="3"/>
        <v>57.03</v>
      </c>
      <c r="N43" s="608">
        <f t="shared" ca="1" si="4"/>
        <v>0</v>
      </c>
      <c r="O43" s="608">
        <f t="shared" ca="1" si="5"/>
        <v>0</v>
      </c>
    </row>
    <row r="44" spans="1:15" hidden="1">
      <c r="A44" s="591" t="s">
        <v>252</v>
      </c>
      <c r="B44" s="591" t="s">
        <v>588</v>
      </c>
      <c r="C44" s="591" t="s">
        <v>697</v>
      </c>
      <c r="D44" s="612" t="s">
        <v>700</v>
      </c>
      <c r="E44" s="612">
        <v>58</v>
      </c>
      <c r="F44" s="591">
        <v>0</v>
      </c>
      <c r="G44" s="613">
        <v>1.4528337119925291E-2</v>
      </c>
      <c r="H44" s="591">
        <v>0.21434292643312455</v>
      </c>
      <c r="J44" s="591">
        <v>0</v>
      </c>
      <c r="K44" s="613">
        <v>1.4668632575095594E-2</v>
      </c>
      <c r="L44" s="591">
        <v>0.1783688268030019</v>
      </c>
      <c r="M44" s="607">
        <f t="shared" si="3"/>
        <v>58.03</v>
      </c>
      <c r="N44" s="608">
        <f t="shared" ca="1" si="4"/>
        <v>1.4528337119925291E-2</v>
      </c>
      <c r="O44" s="608">
        <f t="shared" ca="1" si="5"/>
        <v>1.4668632575095594E-2</v>
      </c>
    </row>
    <row r="45" spans="1:15" hidden="1">
      <c r="A45" s="591" t="s">
        <v>252</v>
      </c>
      <c r="B45" s="591" t="s">
        <v>247</v>
      </c>
      <c r="C45" s="591" t="s">
        <v>697</v>
      </c>
      <c r="D45" s="612" t="s">
        <v>700</v>
      </c>
      <c r="E45" s="612">
        <v>59</v>
      </c>
      <c r="F45" s="591">
        <v>0</v>
      </c>
      <c r="G45" s="613">
        <v>0.2060987691558484</v>
      </c>
      <c r="H45" s="591">
        <v>0.17145820904627349</v>
      </c>
      <c r="J45" s="591">
        <v>0</v>
      </c>
      <c r="K45" s="613">
        <v>0.21116363525712814</v>
      </c>
      <c r="L45" s="591">
        <v>0.17012806807205136</v>
      </c>
      <c r="M45" s="607">
        <f t="shared" si="3"/>
        <v>59.03</v>
      </c>
      <c r="N45" s="608">
        <f t="shared" ca="1" si="4"/>
        <v>0.2060987691558484</v>
      </c>
      <c r="O45" s="608">
        <f t="shared" ca="1" si="5"/>
        <v>0.21116363525712814</v>
      </c>
    </row>
    <row r="46" spans="1:15" hidden="1">
      <c r="A46" s="591" t="s">
        <v>252</v>
      </c>
      <c r="B46" s="591" t="s">
        <v>646</v>
      </c>
      <c r="C46" s="591" t="s">
        <v>697</v>
      </c>
      <c r="D46" s="612" t="s">
        <v>700</v>
      </c>
      <c r="E46" s="612">
        <v>60</v>
      </c>
      <c r="F46" s="591">
        <v>0</v>
      </c>
      <c r="G46" s="613">
        <v>0.86216827212233582</v>
      </c>
      <c r="H46" s="591">
        <v>0.93542551188215894</v>
      </c>
      <c r="J46" s="591">
        <v>0</v>
      </c>
      <c r="K46" s="613">
        <v>0.85521435582475847</v>
      </c>
      <c r="L46" s="591">
        <v>0.93549374822360909</v>
      </c>
      <c r="M46" s="607">
        <f t="shared" si="3"/>
        <v>60.03</v>
      </c>
      <c r="N46" s="608">
        <f t="shared" ca="1" si="4"/>
        <v>0.86216827212233582</v>
      </c>
      <c r="O46" s="608">
        <f t="shared" ca="1" si="5"/>
        <v>0.85521435582475847</v>
      </c>
    </row>
    <row r="47" spans="1:15" hidden="1">
      <c r="A47" s="591" t="s">
        <v>252</v>
      </c>
      <c r="B47" s="591" t="s">
        <v>245</v>
      </c>
      <c r="C47" s="591" t="s">
        <v>697</v>
      </c>
      <c r="D47" s="612" t="s">
        <v>700</v>
      </c>
      <c r="E47" s="612">
        <v>61</v>
      </c>
      <c r="F47" s="591">
        <v>0</v>
      </c>
      <c r="G47" s="613">
        <v>0</v>
      </c>
      <c r="H47" s="591">
        <v>0</v>
      </c>
      <c r="J47" s="591">
        <v>0</v>
      </c>
      <c r="K47" s="613">
        <v>0</v>
      </c>
      <c r="L47" s="591">
        <v>0</v>
      </c>
      <c r="M47" s="607">
        <f t="shared" si="3"/>
        <v>61.03</v>
      </c>
      <c r="N47" s="608">
        <f t="shared" ca="1" si="4"/>
        <v>0</v>
      </c>
      <c r="O47" s="608">
        <f t="shared" ca="1" si="5"/>
        <v>0</v>
      </c>
    </row>
    <row r="48" spans="1:15" hidden="1">
      <c r="A48" s="591" t="s">
        <v>252</v>
      </c>
      <c r="B48" s="591" t="s">
        <v>246</v>
      </c>
      <c r="C48" s="591" t="s">
        <v>697</v>
      </c>
      <c r="D48" s="612" t="s">
        <v>700</v>
      </c>
      <c r="E48" s="612">
        <v>62</v>
      </c>
      <c r="F48" s="591">
        <v>0</v>
      </c>
      <c r="G48" s="613">
        <v>0</v>
      </c>
      <c r="H48" s="591">
        <v>0</v>
      </c>
      <c r="J48" s="591">
        <v>0</v>
      </c>
      <c r="K48" s="613">
        <v>0</v>
      </c>
      <c r="L48" s="591">
        <v>0</v>
      </c>
      <c r="M48" s="607">
        <f t="shared" si="3"/>
        <v>62.03</v>
      </c>
      <c r="N48" s="608">
        <f t="shared" ca="1" si="4"/>
        <v>0</v>
      </c>
      <c r="O48" s="608">
        <f t="shared" ca="1" si="5"/>
        <v>0</v>
      </c>
    </row>
    <row r="49" spans="1:15" hidden="1">
      <c r="A49" s="591" t="s">
        <v>710</v>
      </c>
      <c r="B49" s="591" t="s">
        <v>244</v>
      </c>
      <c r="C49" s="591" t="s">
        <v>697</v>
      </c>
      <c r="D49" s="612" t="s">
        <v>700</v>
      </c>
      <c r="E49" s="612">
        <v>127</v>
      </c>
      <c r="F49" s="591">
        <v>5.0000000000000001E-3</v>
      </c>
      <c r="G49" s="613">
        <v>0</v>
      </c>
      <c r="H49" s="591">
        <v>0</v>
      </c>
      <c r="J49" s="591">
        <v>5.0000000000000001E-3</v>
      </c>
      <c r="K49" s="613">
        <v>0</v>
      </c>
      <c r="L49" s="591">
        <v>0</v>
      </c>
      <c r="M49" s="607">
        <f t="shared" si="3"/>
        <v>127.03</v>
      </c>
      <c r="N49" s="614">
        <f t="shared" ca="1" si="4"/>
        <v>0</v>
      </c>
      <c r="O49" s="614">
        <f t="shared" ca="1" si="5"/>
        <v>0</v>
      </c>
    </row>
    <row r="50" spans="1:15" hidden="1">
      <c r="A50" s="591" t="s">
        <v>710</v>
      </c>
      <c r="B50" s="591" t="s">
        <v>663</v>
      </c>
      <c r="C50" s="591" t="s">
        <v>697</v>
      </c>
      <c r="D50" s="612" t="s">
        <v>700</v>
      </c>
      <c r="E50" s="612">
        <v>128</v>
      </c>
      <c r="F50" s="591">
        <v>5.0000000000000001E-3</v>
      </c>
      <c r="G50" s="613">
        <v>0</v>
      </c>
      <c r="H50" s="591">
        <v>0</v>
      </c>
      <c r="J50" s="591">
        <v>5.0000000000000001E-3</v>
      </c>
      <c r="K50" s="613">
        <v>0</v>
      </c>
      <c r="L50" s="591">
        <v>0</v>
      </c>
      <c r="M50" s="607">
        <f t="shared" si="3"/>
        <v>128.03</v>
      </c>
      <c r="N50" s="614">
        <f t="shared" ca="1" si="4"/>
        <v>0</v>
      </c>
      <c r="O50" s="614">
        <f t="shared" ca="1" si="5"/>
        <v>0</v>
      </c>
    </row>
    <row r="51" spans="1:15" hidden="1">
      <c r="A51" s="591" t="s">
        <v>710</v>
      </c>
      <c r="B51" s="591" t="s">
        <v>247</v>
      </c>
      <c r="C51" s="591" t="s">
        <v>697</v>
      </c>
      <c r="D51" s="612" t="s">
        <v>700</v>
      </c>
      <c r="E51" s="612">
        <v>134</v>
      </c>
      <c r="F51" s="591">
        <v>0.1</v>
      </c>
      <c r="G51" s="613">
        <v>3.7689326345115071E-2</v>
      </c>
      <c r="H51" s="591">
        <v>4.3572103949758967E-2</v>
      </c>
      <c r="J51" s="591">
        <v>0.1</v>
      </c>
      <c r="K51" s="613">
        <v>3.8944028267780741E-2</v>
      </c>
      <c r="L51" s="591">
        <v>4.3521211980094662E-2</v>
      </c>
      <c r="M51" s="607">
        <f t="shared" si="3"/>
        <v>134.03</v>
      </c>
      <c r="N51" s="614">
        <f t="shared" ca="1" si="4"/>
        <v>3.7689326345115071E-2</v>
      </c>
      <c r="O51" s="614">
        <f t="shared" ca="1" si="5"/>
        <v>3.8944028267780741E-2</v>
      </c>
    </row>
    <row r="52" spans="1:15" hidden="1">
      <c r="A52" s="591" t="s">
        <v>710</v>
      </c>
      <c r="B52" s="591" t="s">
        <v>414</v>
      </c>
      <c r="C52" s="591" t="s">
        <v>697</v>
      </c>
      <c r="D52" s="612" t="s">
        <v>700</v>
      </c>
      <c r="E52" s="612">
        <v>135</v>
      </c>
      <c r="G52" s="613">
        <v>1.9380065892224034E-3</v>
      </c>
      <c r="H52" s="591">
        <v>1.883194840046138E-2</v>
      </c>
      <c r="K52" s="613">
        <v>3.1271423932261286E-3</v>
      </c>
      <c r="L52" s="591">
        <v>2.7873010563871006E-3</v>
      </c>
      <c r="M52" s="607">
        <f t="shared" si="3"/>
        <v>135.03</v>
      </c>
      <c r="N52" s="614">
        <f t="shared" ca="1" si="4"/>
        <v>1.9380065892224034E-3</v>
      </c>
      <c r="O52" s="614">
        <f t="shared" ca="1" si="5"/>
        <v>3.1271423932261286E-3</v>
      </c>
    </row>
    <row r="53" spans="1:15" hidden="1">
      <c r="A53" s="591" t="s">
        <v>710</v>
      </c>
      <c r="B53" s="591" t="s">
        <v>245</v>
      </c>
      <c r="C53" s="591" t="s">
        <v>697</v>
      </c>
      <c r="D53" s="612" t="s">
        <v>700</v>
      </c>
      <c r="E53" s="612">
        <v>136</v>
      </c>
      <c r="F53" s="591">
        <v>0.1409</v>
      </c>
      <c r="G53" s="613">
        <v>0</v>
      </c>
      <c r="H53" s="591">
        <v>0</v>
      </c>
      <c r="J53" s="591">
        <v>0.1409</v>
      </c>
      <c r="K53" s="613">
        <v>0.5</v>
      </c>
      <c r="L53" s="591">
        <v>0.5</v>
      </c>
      <c r="M53" s="607">
        <f t="shared" si="3"/>
        <v>136.03</v>
      </c>
      <c r="N53" s="614">
        <f t="shared" ca="1" si="4"/>
        <v>0</v>
      </c>
      <c r="O53" s="614">
        <f t="shared" ca="1" si="5"/>
        <v>0.5</v>
      </c>
    </row>
    <row r="54" spans="1:15" hidden="1">
      <c r="A54" s="591" t="s">
        <v>235</v>
      </c>
      <c r="B54" s="591" t="s">
        <v>244</v>
      </c>
      <c r="C54" s="591" t="s">
        <v>697</v>
      </c>
      <c r="D54" s="612" t="s">
        <v>701</v>
      </c>
      <c r="E54" s="612">
        <v>127</v>
      </c>
      <c r="F54" s="591">
        <v>0.27</v>
      </c>
      <c r="G54" s="613">
        <v>0.18</v>
      </c>
      <c r="H54" s="591">
        <v>0.18</v>
      </c>
      <c r="J54" s="591">
        <v>0.27</v>
      </c>
      <c r="K54" s="613">
        <v>0.18</v>
      </c>
      <c r="L54" s="591">
        <v>0.18</v>
      </c>
      <c r="M54" s="607">
        <f t="shared" si="3"/>
        <v>127.04</v>
      </c>
      <c r="N54" s="614">
        <f t="shared" ca="1" si="4"/>
        <v>0.18</v>
      </c>
      <c r="O54" s="614">
        <f t="shared" ca="1" si="5"/>
        <v>0.18</v>
      </c>
    </row>
    <row r="55" spans="1:15" hidden="1">
      <c r="A55" s="591" t="s">
        <v>235</v>
      </c>
      <c r="B55" s="591" t="s">
        <v>663</v>
      </c>
      <c r="C55" s="591" t="s">
        <v>697</v>
      </c>
      <c r="D55" s="612" t="s">
        <v>701</v>
      </c>
      <c r="E55" s="612">
        <v>128</v>
      </c>
      <c r="F55" s="591">
        <v>0.29499999999999998</v>
      </c>
      <c r="G55" s="613">
        <v>0.18797322336921182</v>
      </c>
      <c r="H55" s="591">
        <v>0.18797322336921182</v>
      </c>
      <c r="J55" s="591">
        <v>0.29499999999999998</v>
      </c>
      <c r="K55" s="613">
        <v>0.18767793953764489</v>
      </c>
      <c r="L55" s="591">
        <v>0.2</v>
      </c>
      <c r="M55" s="607">
        <f t="shared" si="3"/>
        <v>128.04</v>
      </c>
      <c r="N55" s="614">
        <f t="shared" ca="1" si="4"/>
        <v>0.18797322336921182</v>
      </c>
      <c r="O55" s="614">
        <f t="shared" ca="1" si="5"/>
        <v>0.18767793953764489</v>
      </c>
    </row>
    <row r="56" spans="1:15" hidden="1">
      <c r="A56" s="591" t="s">
        <v>235</v>
      </c>
      <c r="B56" s="591" t="s">
        <v>87</v>
      </c>
      <c r="C56" s="591" t="s">
        <v>697</v>
      </c>
      <c r="D56" s="612" t="s">
        <v>701</v>
      </c>
      <c r="E56" s="612">
        <v>129</v>
      </c>
      <c r="F56" s="591">
        <v>0</v>
      </c>
      <c r="G56" s="613">
        <v>0.2</v>
      </c>
      <c r="H56" s="591">
        <v>0.2</v>
      </c>
      <c r="J56" s="591">
        <v>0</v>
      </c>
      <c r="K56" s="613">
        <v>0.2</v>
      </c>
      <c r="L56" s="591">
        <v>0.2</v>
      </c>
      <c r="M56" s="607">
        <f t="shared" si="3"/>
        <v>129.04</v>
      </c>
      <c r="N56" s="614">
        <f t="shared" ca="1" si="4"/>
        <v>0.2</v>
      </c>
      <c r="O56" s="614">
        <f t="shared" ca="1" si="5"/>
        <v>0.2</v>
      </c>
    </row>
    <row r="57" spans="1:15" hidden="1">
      <c r="A57" s="591" t="s">
        <v>235</v>
      </c>
      <c r="B57" s="591" t="s">
        <v>576</v>
      </c>
      <c r="C57" s="591" t="s">
        <v>697</v>
      </c>
      <c r="D57" s="612" t="s">
        <v>701</v>
      </c>
      <c r="E57" s="612">
        <v>130</v>
      </c>
      <c r="F57" s="591">
        <v>0.3</v>
      </c>
      <c r="G57" s="613">
        <v>0.2</v>
      </c>
      <c r="H57" s="591">
        <v>0.2</v>
      </c>
      <c r="J57" s="591">
        <v>0.3</v>
      </c>
      <c r="K57" s="613">
        <v>0.2</v>
      </c>
      <c r="L57" s="591">
        <v>0.2</v>
      </c>
      <c r="M57" s="607">
        <f t="shared" si="3"/>
        <v>130.04</v>
      </c>
      <c r="N57" s="614">
        <f t="shared" ca="1" si="4"/>
        <v>0.2</v>
      </c>
      <c r="O57" s="614">
        <f t="shared" ca="1" si="5"/>
        <v>0.2</v>
      </c>
    </row>
    <row r="58" spans="1:15" hidden="1">
      <c r="A58" s="591" t="s">
        <v>235</v>
      </c>
      <c r="B58" s="591" t="s">
        <v>412</v>
      </c>
      <c r="C58" s="591" t="s">
        <v>697</v>
      </c>
      <c r="D58" s="612" t="s">
        <v>701</v>
      </c>
      <c r="E58" s="612">
        <v>131</v>
      </c>
      <c r="F58" s="591">
        <v>0</v>
      </c>
      <c r="G58" s="613">
        <v>0.2</v>
      </c>
      <c r="H58" s="591">
        <v>0.2</v>
      </c>
      <c r="J58" s="591">
        <v>0</v>
      </c>
      <c r="K58" s="613">
        <v>0.2</v>
      </c>
      <c r="L58" s="591">
        <v>0.2</v>
      </c>
      <c r="M58" s="607">
        <f t="shared" si="3"/>
        <v>131.04</v>
      </c>
      <c r="N58" s="614">
        <f t="shared" ca="1" si="4"/>
        <v>0.2</v>
      </c>
      <c r="O58" s="614">
        <f t="shared" ca="1" si="5"/>
        <v>0.2</v>
      </c>
    </row>
    <row r="59" spans="1:15" hidden="1">
      <c r="A59" s="591" t="s">
        <v>235</v>
      </c>
      <c r="B59" s="591" t="s">
        <v>212</v>
      </c>
      <c r="C59" s="591" t="s">
        <v>697</v>
      </c>
      <c r="D59" s="612" t="s">
        <v>701</v>
      </c>
      <c r="E59" s="612">
        <v>132</v>
      </c>
      <c r="F59" s="591">
        <v>0.3</v>
      </c>
      <c r="G59" s="613">
        <v>0.3</v>
      </c>
      <c r="H59" s="591">
        <v>0.3</v>
      </c>
      <c r="J59" s="591">
        <v>0.3</v>
      </c>
      <c r="K59" s="613">
        <v>0.3</v>
      </c>
      <c r="L59" s="591">
        <v>0.3</v>
      </c>
      <c r="M59" s="607">
        <f t="shared" si="3"/>
        <v>132.04</v>
      </c>
      <c r="N59" s="614">
        <f t="shared" ca="1" si="4"/>
        <v>0.3</v>
      </c>
      <c r="O59" s="614">
        <f t="shared" ca="1" si="5"/>
        <v>0.3</v>
      </c>
    </row>
    <row r="60" spans="1:15" hidden="1">
      <c r="A60" s="591" t="s">
        <v>235</v>
      </c>
      <c r="B60" s="591" t="s">
        <v>588</v>
      </c>
      <c r="C60" s="591" t="s">
        <v>697</v>
      </c>
      <c r="D60" s="612" t="s">
        <v>701</v>
      </c>
      <c r="E60" s="612">
        <v>133</v>
      </c>
      <c r="F60" s="591">
        <v>0</v>
      </c>
      <c r="G60" s="613">
        <v>0</v>
      </c>
      <c r="H60" s="591">
        <v>0</v>
      </c>
      <c r="J60" s="591">
        <v>0</v>
      </c>
      <c r="K60" s="613">
        <v>0</v>
      </c>
      <c r="L60" s="591">
        <v>0</v>
      </c>
      <c r="M60" s="607">
        <f t="shared" si="3"/>
        <v>133.04</v>
      </c>
      <c r="N60" s="614">
        <f t="shared" ca="1" si="4"/>
        <v>0</v>
      </c>
      <c r="O60" s="614">
        <f t="shared" ca="1" si="5"/>
        <v>0</v>
      </c>
    </row>
    <row r="61" spans="1:15" hidden="1">
      <c r="A61" s="591" t="s">
        <v>235</v>
      </c>
      <c r="B61" s="591" t="s">
        <v>247</v>
      </c>
      <c r="C61" s="591" t="s">
        <v>697</v>
      </c>
      <c r="D61" s="612" t="s">
        <v>701</v>
      </c>
      <c r="E61" s="612">
        <v>134</v>
      </c>
      <c r="F61" s="591">
        <v>0.06</v>
      </c>
      <c r="G61" s="613">
        <v>3.4695937082828601E-2</v>
      </c>
      <c r="H61" s="591">
        <v>8.8942809221097749E-3</v>
      </c>
      <c r="J61" s="591">
        <v>0.06</v>
      </c>
      <c r="K61" s="613">
        <v>2.9192858474645863E-2</v>
      </c>
      <c r="L61" s="591">
        <v>9.5733658811429923E-3</v>
      </c>
      <c r="M61" s="607">
        <f t="shared" si="3"/>
        <v>134.04</v>
      </c>
      <c r="N61" s="614">
        <f t="shared" ca="1" si="4"/>
        <v>3.4695937082828601E-2</v>
      </c>
      <c r="O61" s="614">
        <f t="shared" ca="1" si="5"/>
        <v>2.9192858474645863E-2</v>
      </c>
    </row>
    <row r="62" spans="1:15" hidden="1">
      <c r="A62" s="591" t="s">
        <v>235</v>
      </c>
      <c r="B62" s="591" t="s">
        <v>414</v>
      </c>
      <c r="C62" s="591" t="s">
        <v>697</v>
      </c>
      <c r="D62" s="612" t="s">
        <v>701</v>
      </c>
      <c r="E62" s="612">
        <v>135</v>
      </c>
      <c r="F62" s="591">
        <v>0</v>
      </c>
      <c r="G62" s="613">
        <v>0.2</v>
      </c>
      <c r="H62" s="591">
        <v>0.2</v>
      </c>
      <c r="J62" s="591">
        <v>0</v>
      </c>
      <c r="K62" s="613">
        <v>0.2</v>
      </c>
      <c r="L62" s="591">
        <v>0.2</v>
      </c>
      <c r="M62" s="607">
        <f t="shared" si="3"/>
        <v>135.04</v>
      </c>
      <c r="N62" s="614">
        <f t="shared" ca="1" si="4"/>
        <v>0.2</v>
      </c>
      <c r="O62" s="614">
        <f t="shared" ca="1" si="5"/>
        <v>0.2</v>
      </c>
    </row>
    <row r="63" spans="1:15" hidden="1">
      <c r="A63" s="591" t="s">
        <v>235</v>
      </c>
      <c r="B63" s="591" t="s">
        <v>245</v>
      </c>
      <c r="C63" s="591" t="s">
        <v>697</v>
      </c>
      <c r="D63" s="612" t="s">
        <v>701</v>
      </c>
      <c r="E63" s="612">
        <v>136</v>
      </c>
      <c r="F63" s="591">
        <v>0</v>
      </c>
      <c r="G63" s="613">
        <v>0</v>
      </c>
      <c r="H63" s="591">
        <v>0</v>
      </c>
      <c r="J63" s="591">
        <v>0</v>
      </c>
      <c r="K63" s="613">
        <v>0</v>
      </c>
      <c r="L63" s="591">
        <v>0</v>
      </c>
      <c r="M63" s="607">
        <f t="shared" si="3"/>
        <v>136.04</v>
      </c>
      <c r="N63" s="614">
        <f t="shared" ca="1" si="4"/>
        <v>0</v>
      </c>
      <c r="O63" s="614">
        <f t="shared" ca="1" si="5"/>
        <v>0</v>
      </c>
    </row>
    <row r="64" spans="1:15" hidden="1">
      <c r="A64" s="591" t="s">
        <v>235</v>
      </c>
      <c r="B64" s="591" t="s">
        <v>246</v>
      </c>
      <c r="C64" s="591" t="s">
        <v>697</v>
      </c>
      <c r="D64" s="612" t="s">
        <v>701</v>
      </c>
      <c r="E64" s="612">
        <v>137</v>
      </c>
      <c r="F64" s="591">
        <v>1</v>
      </c>
      <c r="G64" s="613">
        <v>0</v>
      </c>
      <c r="H64" s="591">
        <v>0</v>
      </c>
      <c r="J64" s="591">
        <v>1</v>
      </c>
      <c r="K64" s="613">
        <v>0</v>
      </c>
      <c r="L64" s="591">
        <v>0</v>
      </c>
      <c r="M64" s="607">
        <f t="shared" si="3"/>
        <v>137.04</v>
      </c>
      <c r="N64" s="614">
        <f t="shared" ca="1" si="4"/>
        <v>0</v>
      </c>
      <c r="O64" s="614">
        <f t="shared" ca="1" si="5"/>
        <v>0</v>
      </c>
    </row>
    <row r="65" spans="1:15" hidden="1">
      <c r="A65" s="604" t="s">
        <v>103</v>
      </c>
      <c r="B65" s="604" t="s">
        <v>576</v>
      </c>
      <c r="C65" s="604" t="s">
        <v>697</v>
      </c>
      <c r="D65" s="605" t="s">
        <v>702</v>
      </c>
      <c r="E65" s="605">
        <v>130</v>
      </c>
      <c r="F65" s="604">
        <v>0</v>
      </c>
      <c r="G65" s="606">
        <v>0</v>
      </c>
      <c r="H65" s="604">
        <v>0</v>
      </c>
      <c r="I65" s="604"/>
      <c r="J65" s="604">
        <v>0</v>
      </c>
      <c r="K65" s="606">
        <v>0</v>
      </c>
      <c r="L65" s="604">
        <v>0</v>
      </c>
      <c r="M65" s="607">
        <f t="shared" si="3"/>
        <v>130.05000000000001</v>
      </c>
      <c r="N65" s="614">
        <f t="shared" ca="1" si="4"/>
        <v>0</v>
      </c>
      <c r="O65" s="614">
        <f t="shared" ca="1" si="5"/>
        <v>0</v>
      </c>
    </row>
    <row r="66" spans="1:15" hidden="1">
      <c r="A66" s="604" t="s">
        <v>103</v>
      </c>
      <c r="B66" s="604" t="s">
        <v>247</v>
      </c>
      <c r="C66" s="604" t="s">
        <v>697</v>
      </c>
      <c r="D66" s="605" t="s">
        <v>702</v>
      </c>
      <c r="E66" s="605">
        <v>134</v>
      </c>
      <c r="F66" s="604">
        <v>0.39</v>
      </c>
      <c r="G66" s="606">
        <v>0.2644865006674742</v>
      </c>
      <c r="H66" s="604">
        <v>0.30576915052462433</v>
      </c>
      <c r="I66" s="604"/>
      <c r="J66" s="604">
        <v>0.39</v>
      </c>
      <c r="K66" s="606">
        <v>0.2732914264405667</v>
      </c>
      <c r="L66" s="604">
        <v>0.30541201389540118</v>
      </c>
      <c r="M66" s="607">
        <f t="shared" si="3"/>
        <v>134.05000000000001</v>
      </c>
      <c r="N66" s="614">
        <f t="shared" ca="1" si="4"/>
        <v>0.2644865006674742</v>
      </c>
      <c r="O66" s="614">
        <f t="shared" ca="1" si="5"/>
        <v>0.2732914264405667</v>
      </c>
    </row>
    <row r="67" spans="1:15" hidden="1">
      <c r="A67" s="591" t="s">
        <v>71</v>
      </c>
      <c r="B67" s="591" t="s">
        <v>244</v>
      </c>
      <c r="C67" s="591" t="s">
        <v>697</v>
      </c>
      <c r="D67" s="612" t="s">
        <v>703</v>
      </c>
      <c r="E67" s="612">
        <v>127</v>
      </c>
      <c r="F67" s="591">
        <v>0.2</v>
      </c>
      <c r="G67" s="613">
        <v>0.1</v>
      </c>
      <c r="H67" s="591">
        <v>0.1</v>
      </c>
      <c r="J67" s="591">
        <v>0.2</v>
      </c>
      <c r="K67" s="613">
        <v>0.1</v>
      </c>
      <c r="L67" s="591">
        <v>0.1</v>
      </c>
      <c r="M67" s="607">
        <f t="shared" si="3"/>
        <v>127.06</v>
      </c>
      <c r="N67" s="614">
        <f t="shared" ca="1" si="4"/>
        <v>0.1</v>
      </c>
      <c r="O67" s="614">
        <f t="shared" ca="1" si="5"/>
        <v>0.1</v>
      </c>
    </row>
    <row r="68" spans="1:15" hidden="1">
      <c r="A68" s="591" t="s">
        <v>71</v>
      </c>
      <c r="B68" s="591" t="s">
        <v>576</v>
      </c>
      <c r="C68" s="591" t="s">
        <v>697</v>
      </c>
      <c r="D68" s="612" t="s">
        <v>703</v>
      </c>
      <c r="E68" s="612">
        <v>130</v>
      </c>
      <c r="F68" s="591">
        <v>0.5</v>
      </c>
      <c r="G68" s="613">
        <v>0</v>
      </c>
      <c r="H68" s="591">
        <v>0</v>
      </c>
      <c r="J68" s="591">
        <v>0.5</v>
      </c>
      <c r="K68" s="613">
        <v>0</v>
      </c>
      <c r="L68" s="591">
        <v>0</v>
      </c>
      <c r="M68" s="607">
        <f t="shared" ref="M68:M76" si="6">E68+(CODE(D68)-O$1)/100</f>
        <v>130.06</v>
      </c>
      <c r="N68" s="614">
        <f t="shared" ref="N68:N76" ca="1" si="7">OFFSET($E68,0,RegIndex)</f>
        <v>0</v>
      </c>
      <c r="O68" s="614">
        <f t="shared" ref="O68:O76" ca="1" si="8">OFFSET($I68,0,RegIndex)</f>
        <v>0</v>
      </c>
    </row>
    <row r="69" spans="1:15" hidden="1">
      <c r="A69" s="591" t="s">
        <v>71</v>
      </c>
      <c r="B69" s="591" t="s">
        <v>212</v>
      </c>
      <c r="C69" s="591" t="s">
        <v>697</v>
      </c>
      <c r="D69" s="612" t="s">
        <v>703</v>
      </c>
      <c r="E69" s="612">
        <v>132</v>
      </c>
      <c r="F69" s="591">
        <v>0.5</v>
      </c>
      <c r="G69" s="613">
        <v>0.25</v>
      </c>
      <c r="H69" s="613">
        <v>0.25</v>
      </c>
      <c r="J69" s="591">
        <v>0.5</v>
      </c>
      <c r="K69" s="613">
        <v>0.25</v>
      </c>
      <c r="L69" s="613">
        <v>0.25</v>
      </c>
      <c r="M69" s="607">
        <f t="shared" si="6"/>
        <v>132.06</v>
      </c>
      <c r="N69" s="614">
        <f t="shared" ca="1" si="7"/>
        <v>0.25</v>
      </c>
      <c r="O69" s="614">
        <f t="shared" ca="1" si="8"/>
        <v>0.25</v>
      </c>
    </row>
    <row r="70" spans="1:15" hidden="1">
      <c r="A70" s="591" t="s">
        <v>71</v>
      </c>
      <c r="B70" s="591" t="s">
        <v>247</v>
      </c>
      <c r="C70" s="591" t="s">
        <v>697</v>
      </c>
      <c r="D70" s="612" t="s">
        <v>703</v>
      </c>
      <c r="E70" s="612">
        <v>134</v>
      </c>
      <c r="F70" s="591">
        <v>0.04</v>
      </c>
      <c r="G70" s="613">
        <v>0.04</v>
      </c>
      <c r="H70" s="591">
        <v>0.04</v>
      </c>
      <c r="J70" s="591">
        <v>0.04</v>
      </c>
      <c r="K70" s="613">
        <v>0.04</v>
      </c>
      <c r="L70" s="591">
        <v>0.04</v>
      </c>
      <c r="M70" s="607">
        <f t="shared" si="6"/>
        <v>134.06</v>
      </c>
      <c r="N70" s="614">
        <f t="shared" ca="1" si="7"/>
        <v>0.04</v>
      </c>
      <c r="O70" s="614">
        <f t="shared" ca="1" si="8"/>
        <v>0.04</v>
      </c>
    </row>
    <row r="71" spans="1:15" hidden="1">
      <c r="A71" s="591" t="s">
        <v>71</v>
      </c>
      <c r="B71" s="591" t="s">
        <v>246</v>
      </c>
      <c r="C71" s="591" t="s">
        <v>697</v>
      </c>
      <c r="D71" s="612" t="s">
        <v>703</v>
      </c>
      <c r="E71" s="612">
        <v>137</v>
      </c>
      <c r="F71" s="591">
        <v>0</v>
      </c>
      <c r="G71" s="613">
        <v>0</v>
      </c>
      <c r="H71" s="591">
        <v>0</v>
      </c>
      <c r="J71" s="591">
        <v>0</v>
      </c>
      <c r="K71" s="613">
        <v>0</v>
      </c>
      <c r="L71" s="591">
        <v>0</v>
      </c>
      <c r="M71" s="607">
        <f t="shared" si="6"/>
        <v>137.06</v>
      </c>
      <c r="N71" s="614">
        <f t="shared" ca="1" si="7"/>
        <v>0</v>
      </c>
      <c r="O71" s="614">
        <f t="shared" ca="1" si="8"/>
        <v>0</v>
      </c>
    </row>
    <row r="72" spans="1:15" hidden="1">
      <c r="A72" s="604" t="s">
        <v>70</v>
      </c>
      <c r="B72" s="604" t="s">
        <v>247</v>
      </c>
      <c r="C72" s="604" t="s">
        <v>697</v>
      </c>
      <c r="D72" s="605" t="s">
        <v>704</v>
      </c>
      <c r="E72" s="605">
        <v>134</v>
      </c>
      <c r="F72" s="604">
        <v>0.09</v>
      </c>
      <c r="G72" s="606">
        <v>7.0000000000000007E-2</v>
      </c>
      <c r="H72" s="604">
        <v>7.0000000000000007E-2</v>
      </c>
      <c r="I72" s="604"/>
      <c r="J72" s="604">
        <v>0.09</v>
      </c>
      <c r="K72" s="606">
        <v>7.0000000000000007E-2</v>
      </c>
      <c r="L72" s="604">
        <v>7.0000000000000007E-2</v>
      </c>
      <c r="M72" s="607">
        <f t="shared" si="6"/>
        <v>134.07</v>
      </c>
      <c r="N72" s="614">
        <f t="shared" ca="1" si="7"/>
        <v>7.0000000000000007E-2</v>
      </c>
      <c r="O72" s="614">
        <f t="shared" ca="1" si="8"/>
        <v>7.0000000000000007E-2</v>
      </c>
    </row>
    <row r="73" spans="1:15" hidden="1">
      <c r="A73" s="591" t="s">
        <v>482</v>
      </c>
      <c r="B73" s="591" t="s">
        <v>247</v>
      </c>
      <c r="C73" s="591" t="s">
        <v>697</v>
      </c>
      <c r="D73" s="612" t="s">
        <v>705</v>
      </c>
      <c r="E73" s="612">
        <v>134</v>
      </c>
      <c r="F73" s="591">
        <v>0.17</v>
      </c>
      <c r="G73" s="613">
        <v>6.6528850531260689E-2</v>
      </c>
      <c r="H73" s="591">
        <v>7.5352214814200805E-2</v>
      </c>
      <c r="J73" s="591">
        <v>0.17</v>
      </c>
      <c r="K73" s="613">
        <v>6.8410732335095203E-2</v>
      </c>
      <c r="L73" s="591">
        <v>7.5275883798887555E-2</v>
      </c>
      <c r="M73" s="607">
        <f t="shared" si="6"/>
        <v>134.08000000000001</v>
      </c>
      <c r="N73" s="614">
        <f t="shared" ca="1" si="7"/>
        <v>6.6528850531260689E-2</v>
      </c>
      <c r="O73" s="614">
        <f t="shared" ca="1" si="8"/>
        <v>6.8410732335095203E-2</v>
      </c>
    </row>
    <row r="74" spans="1:15" hidden="1">
      <c r="A74" s="604" t="s">
        <v>215</v>
      </c>
      <c r="B74" s="604" t="s">
        <v>244</v>
      </c>
      <c r="C74" s="604" t="s">
        <v>697</v>
      </c>
      <c r="D74" s="605" t="s">
        <v>706</v>
      </c>
      <c r="E74" s="605">
        <v>127</v>
      </c>
      <c r="F74" s="604">
        <v>0</v>
      </c>
      <c r="G74" s="606">
        <v>0</v>
      </c>
      <c r="H74" s="604">
        <v>0</v>
      </c>
      <c r="I74" s="604"/>
      <c r="J74" s="604">
        <v>0</v>
      </c>
      <c r="K74" s="606">
        <v>0</v>
      </c>
      <c r="L74" s="604">
        <v>0</v>
      </c>
      <c r="M74" s="607">
        <f t="shared" si="6"/>
        <v>127.09</v>
      </c>
      <c r="N74" s="614">
        <f t="shared" ca="1" si="7"/>
        <v>0</v>
      </c>
      <c r="O74" s="614">
        <f t="shared" ca="1" si="8"/>
        <v>0</v>
      </c>
    </row>
    <row r="75" spans="1:15" hidden="1">
      <c r="A75" s="604" t="s">
        <v>215</v>
      </c>
      <c r="B75" s="604" t="s">
        <v>663</v>
      </c>
      <c r="C75" s="604" t="s">
        <v>697</v>
      </c>
      <c r="D75" s="605" t="s">
        <v>706</v>
      </c>
      <c r="E75" s="605">
        <v>128</v>
      </c>
      <c r="F75" s="604">
        <v>0</v>
      </c>
      <c r="G75" s="606">
        <v>6.0133883153940991E-2</v>
      </c>
      <c r="H75" s="604">
        <v>6.0133883153940991E-2</v>
      </c>
      <c r="I75" s="604"/>
      <c r="J75" s="604">
        <v>0</v>
      </c>
      <c r="K75" s="606">
        <v>6.1610302311775667E-2</v>
      </c>
      <c r="L75" s="604">
        <v>0</v>
      </c>
      <c r="M75" s="607">
        <f t="shared" si="6"/>
        <v>128.09</v>
      </c>
      <c r="N75" s="614">
        <f t="shared" ca="1" si="7"/>
        <v>6.0133883153940991E-2</v>
      </c>
      <c r="O75" s="614">
        <f t="shared" ca="1" si="8"/>
        <v>6.1610302311775667E-2</v>
      </c>
    </row>
    <row r="76" spans="1:15" hidden="1">
      <c r="A76" s="604" t="s">
        <v>215</v>
      </c>
      <c r="B76" s="604" t="s">
        <v>247</v>
      </c>
      <c r="C76" s="604" t="s">
        <v>697</v>
      </c>
      <c r="D76" s="605" t="s">
        <v>706</v>
      </c>
      <c r="E76" s="605">
        <v>134</v>
      </c>
      <c r="F76" s="604">
        <v>0</v>
      </c>
      <c r="G76" s="606">
        <v>0.34781563704200713</v>
      </c>
      <c r="H76" s="604">
        <v>0.42083512610086704</v>
      </c>
      <c r="I76" s="604"/>
      <c r="J76" s="604">
        <v>0</v>
      </c>
      <c r="K76" s="606">
        <v>0.36338952058332807</v>
      </c>
      <c r="L76" s="604">
        <v>0.42020343374874525</v>
      </c>
      <c r="M76" s="607">
        <f t="shared" si="6"/>
        <v>134.09</v>
      </c>
      <c r="N76" s="614">
        <f t="shared" ca="1" si="7"/>
        <v>0.34781563704200713</v>
      </c>
      <c r="O76" s="614">
        <f t="shared" ca="1" si="8"/>
        <v>0.36338952058332807</v>
      </c>
    </row>
    <row r="77" spans="1:15" hidden="1">
      <c r="A77" s="609"/>
      <c r="B77" s="609"/>
      <c r="C77" s="609"/>
      <c r="D77" s="610"/>
      <c r="E77" s="610"/>
      <c r="F77" s="609"/>
      <c r="G77" s="609"/>
      <c r="H77" s="609"/>
      <c r="I77" s="609"/>
      <c r="J77" s="609"/>
      <c r="K77" s="609"/>
      <c r="L77" s="609"/>
      <c r="M77" s="615"/>
      <c r="N77" s="614"/>
      <c r="O77" s="614"/>
    </row>
    <row r="78" spans="1:15" hidden="1">
      <c r="A78" s="598" t="s">
        <v>718</v>
      </c>
      <c r="B78" s="598" t="s">
        <v>300</v>
      </c>
      <c r="C78" s="598" t="s">
        <v>717</v>
      </c>
      <c r="D78" s="599" t="s">
        <v>698</v>
      </c>
      <c r="E78" s="599" t="s">
        <v>699</v>
      </c>
      <c r="F78" s="599" t="s">
        <v>655</v>
      </c>
      <c r="G78" s="599" t="s">
        <v>795</v>
      </c>
      <c r="H78" s="599" t="s">
        <v>950</v>
      </c>
      <c r="I78" s="616"/>
      <c r="J78" s="599" t="s">
        <v>655</v>
      </c>
      <c r="K78" s="599" t="s">
        <v>795</v>
      </c>
      <c r="L78" s="599" t="s">
        <v>950</v>
      </c>
      <c r="M78" s="615"/>
      <c r="N78" s="617" t="str">
        <f>N3</f>
        <v>FIN</v>
      </c>
      <c r="O78" s="617" t="str">
        <f>O3</f>
        <v>FIN</v>
      </c>
    </row>
    <row r="79" spans="1:15" hidden="1">
      <c r="A79" s="591" t="s">
        <v>222</v>
      </c>
      <c r="B79" s="591" t="s">
        <v>415</v>
      </c>
      <c r="C79" s="591" t="s">
        <v>253</v>
      </c>
      <c r="D79" s="612" t="s">
        <v>711</v>
      </c>
      <c r="E79" s="612">
        <v>6</v>
      </c>
      <c r="F79" s="591">
        <v>0.99</v>
      </c>
      <c r="G79" s="591">
        <v>1</v>
      </c>
      <c r="H79" s="591">
        <v>1</v>
      </c>
      <c r="J79" s="591">
        <v>0.99</v>
      </c>
      <c r="K79" s="591">
        <v>1</v>
      </c>
      <c r="L79" s="591">
        <v>1</v>
      </c>
      <c r="M79" s="615"/>
      <c r="N79" s="614">
        <f t="shared" ref="N79:N110" ca="1" si="9">OFFSET($E79,0,RegIndex)</f>
        <v>1</v>
      </c>
      <c r="O79" s="614">
        <f t="shared" ref="O79:O110" ca="1" si="10">OFFSET($I79,0,RegIndex)</f>
        <v>1</v>
      </c>
    </row>
    <row r="80" spans="1:15" hidden="1">
      <c r="A80" s="591" t="s">
        <v>226</v>
      </c>
      <c r="B80" s="591" t="s">
        <v>419</v>
      </c>
      <c r="C80" s="591" t="s">
        <v>253</v>
      </c>
      <c r="D80" s="612" t="s">
        <v>711</v>
      </c>
      <c r="E80" s="612">
        <v>13</v>
      </c>
      <c r="F80" s="591">
        <v>0.3</v>
      </c>
      <c r="G80" s="591">
        <v>0.3</v>
      </c>
      <c r="H80" s="591">
        <v>0.3</v>
      </c>
      <c r="J80" s="591">
        <v>0.3</v>
      </c>
      <c r="K80" s="591">
        <v>0.3</v>
      </c>
      <c r="L80" s="591">
        <v>0.3</v>
      </c>
      <c r="M80" s="615"/>
      <c r="N80" s="614">
        <f t="shared" ca="1" si="9"/>
        <v>0.3</v>
      </c>
      <c r="O80" s="614">
        <f t="shared" ca="1" si="10"/>
        <v>0.3</v>
      </c>
    </row>
    <row r="81" spans="1:15" hidden="1">
      <c r="A81" s="591" t="s">
        <v>979</v>
      </c>
      <c r="B81" s="591" t="s">
        <v>931</v>
      </c>
      <c r="C81" s="591" t="s">
        <v>253</v>
      </c>
      <c r="D81" s="612" t="s">
        <v>711</v>
      </c>
      <c r="E81" s="612"/>
      <c r="F81" s="591">
        <v>0.1</v>
      </c>
      <c r="G81" s="591">
        <v>0.08</v>
      </c>
      <c r="H81" s="591">
        <v>0.21</v>
      </c>
      <c r="J81" s="591">
        <v>0.1</v>
      </c>
      <c r="K81" s="591">
        <v>0.09</v>
      </c>
      <c r="L81" s="591">
        <v>0.27</v>
      </c>
      <c r="M81" s="615"/>
      <c r="N81" s="614">
        <f t="shared" ca="1" si="9"/>
        <v>0.08</v>
      </c>
      <c r="O81" s="614">
        <f t="shared" ca="1" si="10"/>
        <v>0.09</v>
      </c>
    </row>
    <row r="82" spans="1:15" hidden="1">
      <c r="A82" s="591" t="s">
        <v>227</v>
      </c>
      <c r="B82" s="591" t="s">
        <v>420</v>
      </c>
      <c r="C82" s="591" t="s">
        <v>253</v>
      </c>
      <c r="D82" s="612" t="s">
        <v>711</v>
      </c>
      <c r="E82" s="612">
        <v>15</v>
      </c>
      <c r="F82" s="591">
        <v>0.84</v>
      </c>
      <c r="G82" s="591">
        <v>0.85</v>
      </c>
      <c r="H82" s="591">
        <v>0.85</v>
      </c>
      <c r="J82" s="591">
        <v>0.84</v>
      </c>
      <c r="K82" s="591">
        <v>0.72</v>
      </c>
      <c r="L82" s="591">
        <v>0.82499999999999996</v>
      </c>
      <c r="M82" s="615"/>
      <c r="N82" s="614">
        <f t="shared" ca="1" si="9"/>
        <v>0.85</v>
      </c>
      <c r="O82" s="614">
        <f t="shared" ca="1" si="10"/>
        <v>0.72</v>
      </c>
    </row>
    <row r="83" spans="1:15" hidden="1">
      <c r="A83" s="591" t="s">
        <v>648</v>
      </c>
      <c r="B83" s="591" t="s">
        <v>415</v>
      </c>
      <c r="C83" s="591" t="s">
        <v>252</v>
      </c>
      <c r="D83" s="612" t="s">
        <v>711</v>
      </c>
      <c r="E83" s="612">
        <v>6</v>
      </c>
      <c r="F83" s="591">
        <v>0.99990000000000001</v>
      </c>
      <c r="G83" s="591">
        <v>1</v>
      </c>
      <c r="H83" s="591">
        <v>1</v>
      </c>
      <c r="J83" s="591">
        <v>0.99990000000000001</v>
      </c>
      <c r="K83" s="591">
        <v>1</v>
      </c>
      <c r="L83" s="591">
        <v>1</v>
      </c>
      <c r="M83" s="615"/>
      <c r="N83" s="614">
        <f t="shared" ca="1" si="9"/>
        <v>1</v>
      </c>
      <c r="O83" s="614">
        <f t="shared" ca="1" si="10"/>
        <v>1</v>
      </c>
    </row>
    <row r="84" spans="1:15" hidden="1">
      <c r="A84" s="591" t="s">
        <v>1013</v>
      </c>
      <c r="B84" s="591" t="s">
        <v>931</v>
      </c>
      <c r="C84" s="591" t="s">
        <v>253</v>
      </c>
      <c r="D84" s="612" t="s">
        <v>711</v>
      </c>
      <c r="E84" s="612"/>
      <c r="F84" s="591">
        <v>0.4</v>
      </c>
      <c r="G84" s="591">
        <v>0.4</v>
      </c>
      <c r="H84" s="591">
        <v>0.4</v>
      </c>
      <c r="J84" s="591">
        <v>0.5</v>
      </c>
      <c r="K84" s="591">
        <v>0.5</v>
      </c>
      <c r="L84" s="591">
        <v>0.5</v>
      </c>
      <c r="M84" s="615"/>
      <c r="N84" s="614">
        <f t="shared" ca="1" si="9"/>
        <v>0.4</v>
      </c>
      <c r="O84" s="614">
        <f t="shared" ca="1" si="10"/>
        <v>0.5</v>
      </c>
    </row>
    <row r="85" spans="1:15" hidden="1">
      <c r="A85" s="591" t="s">
        <v>653</v>
      </c>
      <c r="B85" s="591" t="s">
        <v>420</v>
      </c>
      <c r="C85" s="591" t="s">
        <v>252</v>
      </c>
      <c r="D85" s="612" t="s">
        <v>711</v>
      </c>
      <c r="E85" s="612">
        <v>14</v>
      </c>
      <c r="F85" s="591">
        <v>0.83809999999999996</v>
      </c>
      <c r="G85" s="618">
        <v>0.98</v>
      </c>
      <c r="H85" s="591">
        <v>0.99</v>
      </c>
      <c r="J85" s="591">
        <v>0.83809999999999996</v>
      </c>
      <c r="K85" s="591">
        <v>0.82</v>
      </c>
      <c r="L85" s="591">
        <v>0.91</v>
      </c>
      <c r="M85" s="615"/>
      <c r="N85" s="614">
        <f t="shared" ca="1" si="9"/>
        <v>0.98</v>
      </c>
      <c r="O85" s="614">
        <f t="shared" ca="1" si="10"/>
        <v>0.82</v>
      </c>
    </row>
    <row r="86" spans="1:15" hidden="1">
      <c r="A86" s="591" t="s">
        <v>656</v>
      </c>
      <c r="B86" s="591" t="s">
        <v>415</v>
      </c>
      <c r="C86" s="591" t="s">
        <v>257</v>
      </c>
      <c r="D86" s="612" t="s">
        <v>711</v>
      </c>
      <c r="E86" s="612">
        <v>6</v>
      </c>
      <c r="F86" s="591">
        <v>0.99990000000000001</v>
      </c>
      <c r="G86" s="591">
        <v>1</v>
      </c>
      <c r="H86" s="591">
        <v>1</v>
      </c>
      <c r="J86" s="591">
        <v>0.99990000000000001</v>
      </c>
      <c r="K86" s="591">
        <v>1</v>
      </c>
      <c r="L86" s="591">
        <v>1</v>
      </c>
      <c r="M86" s="615"/>
      <c r="N86" s="614">
        <f t="shared" ca="1" si="9"/>
        <v>1</v>
      </c>
      <c r="O86" s="614">
        <f t="shared" ca="1" si="10"/>
        <v>1</v>
      </c>
    </row>
    <row r="87" spans="1:15" hidden="1">
      <c r="A87" s="591" t="s">
        <v>657</v>
      </c>
      <c r="B87" s="591" t="s">
        <v>420</v>
      </c>
      <c r="C87" s="591" t="s">
        <v>257</v>
      </c>
      <c r="D87" s="612" t="s">
        <v>711</v>
      </c>
      <c r="E87" s="612">
        <v>14</v>
      </c>
      <c r="F87" s="591">
        <v>0.83809999999999996</v>
      </c>
      <c r="G87" s="591">
        <v>0.83809999999999996</v>
      </c>
      <c r="H87" s="591">
        <v>0.83809999999999996</v>
      </c>
      <c r="J87" s="591">
        <v>0.83809999999999996</v>
      </c>
      <c r="K87" s="591">
        <v>0.83809999999999996</v>
      </c>
      <c r="L87" s="591">
        <v>0.83809999999999996</v>
      </c>
      <c r="M87" s="615"/>
      <c r="N87" s="614">
        <f t="shared" ca="1" si="9"/>
        <v>0.83809999999999996</v>
      </c>
      <c r="O87" s="614">
        <f t="shared" ca="1" si="10"/>
        <v>0.83809999999999996</v>
      </c>
    </row>
    <row r="88" spans="1:15" hidden="1">
      <c r="A88" s="591" t="s">
        <v>658</v>
      </c>
      <c r="B88" s="591" t="s">
        <v>415</v>
      </c>
      <c r="C88" s="591" t="s">
        <v>598</v>
      </c>
      <c r="D88" s="612" t="s">
        <v>711</v>
      </c>
      <c r="E88" s="612">
        <v>6</v>
      </c>
      <c r="F88" s="591">
        <v>0.99990000000000001</v>
      </c>
      <c r="G88" s="591">
        <v>0.99990000000000001</v>
      </c>
      <c r="H88" s="591">
        <v>0.99990000000000001</v>
      </c>
      <c r="J88" s="591">
        <v>0.99990000000000001</v>
      </c>
      <c r="K88" s="591">
        <v>0.99990000000000001</v>
      </c>
      <c r="L88" s="591">
        <v>0.99990000000000001</v>
      </c>
      <c r="M88" s="615"/>
      <c r="N88" s="614">
        <f t="shared" ca="1" si="9"/>
        <v>0.99990000000000001</v>
      </c>
      <c r="O88" s="614">
        <f t="shared" ca="1" si="10"/>
        <v>0.99990000000000001</v>
      </c>
    </row>
    <row r="89" spans="1:15" hidden="1">
      <c r="A89" s="591" t="s">
        <v>615</v>
      </c>
      <c r="B89" s="591" t="s">
        <v>420</v>
      </c>
      <c r="C89" s="591" t="s">
        <v>598</v>
      </c>
      <c r="D89" s="612" t="s">
        <v>711</v>
      </c>
      <c r="E89" s="612">
        <v>14</v>
      </c>
      <c r="F89" s="591">
        <v>0.83809999999999996</v>
      </c>
      <c r="G89" s="591">
        <v>0.83809999999999996</v>
      </c>
      <c r="H89" s="591">
        <v>0.83809999999999996</v>
      </c>
      <c r="J89" s="591">
        <v>0.83809999999999996</v>
      </c>
      <c r="K89" s="591">
        <v>0.83809999999999996</v>
      </c>
      <c r="L89" s="591">
        <v>0.83809999999999996</v>
      </c>
      <c r="M89" s="615"/>
      <c r="N89" s="614">
        <f t="shared" ca="1" si="9"/>
        <v>0.83809999999999996</v>
      </c>
      <c r="O89" s="614">
        <f t="shared" ca="1" si="10"/>
        <v>0.83809999999999996</v>
      </c>
    </row>
    <row r="90" spans="1:15" hidden="1">
      <c r="A90" s="604" t="s">
        <v>616</v>
      </c>
      <c r="B90" s="604" t="s">
        <v>420</v>
      </c>
      <c r="C90" s="604" t="s">
        <v>255</v>
      </c>
      <c r="D90" s="605" t="s">
        <v>711</v>
      </c>
      <c r="E90" s="605">
        <v>8</v>
      </c>
      <c r="F90" s="604">
        <v>0.53749999999999998</v>
      </c>
      <c r="G90" s="604">
        <v>0.53749999999999998</v>
      </c>
      <c r="H90" s="604">
        <v>0.53749999999999998</v>
      </c>
      <c r="I90" s="604"/>
      <c r="J90" s="604">
        <v>0.53749999999999998</v>
      </c>
      <c r="K90" s="604">
        <v>0.53749999999999998</v>
      </c>
      <c r="L90" s="604">
        <v>0.53749999999999998</v>
      </c>
      <c r="M90" s="615"/>
      <c r="N90" s="614">
        <f t="shared" ca="1" si="9"/>
        <v>0.53749999999999998</v>
      </c>
      <c r="O90" s="614">
        <f t="shared" ca="1" si="10"/>
        <v>0.53749999999999998</v>
      </c>
    </row>
    <row r="91" spans="1:15" hidden="1">
      <c r="A91" s="604" t="s">
        <v>605</v>
      </c>
      <c r="B91" s="604" t="s">
        <v>420</v>
      </c>
      <c r="C91" s="604" t="s">
        <v>255</v>
      </c>
      <c r="D91" s="605" t="s">
        <v>711</v>
      </c>
      <c r="E91" s="605">
        <v>9</v>
      </c>
      <c r="F91" s="604">
        <v>4.1799999999999997E-2</v>
      </c>
      <c r="G91" s="604">
        <v>4.1799999999999997E-2</v>
      </c>
      <c r="H91" s="604">
        <v>4.1799999999999997E-2</v>
      </c>
      <c r="I91" s="604"/>
      <c r="J91" s="604">
        <v>4.1799999999999997E-2</v>
      </c>
      <c r="K91" s="604">
        <v>4.1799999999999997E-2</v>
      </c>
      <c r="L91" s="604">
        <v>4.1799999999999997E-2</v>
      </c>
      <c r="M91" s="615"/>
      <c r="N91" s="614">
        <f t="shared" ca="1" si="9"/>
        <v>4.1799999999999997E-2</v>
      </c>
      <c r="O91" s="614">
        <f t="shared" ca="1" si="10"/>
        <v>4.1799999999999997E-2</v>
      </c>
    </row>
    <row r="92" spans="1:15" hidden="1">
      <c r="A92" s="604" t="s">
        <v>618</v>
      </c>
      <c r="B92" s="604" t="s">
        <v>420</v>
      </c>
      <c r="C92" s="604" t="s">
        <v>254</v>
      </c>
      <c r="D92" s="605" t="s">
        <v>711</v>
      </c>
      <c r="E92" s="605">
        <v>8</v>
      </c>
      <c r="F92" s="604">
        <v>0.53749999999999998</v>
      </c>
      <c r="G92" s="604">
        <v>0.53749999999999998</v>
      </c>
      <c r="H92" s="604">
        <v>0.53749999999999998</v>
      </c>
      <c r="I92" s="604"/>
      <c r="J92" s="604">
        <v>0.53749999999999998</v>
      </c>
      <c r="K92" s="604">
        <v>0.53749999999999998</v>
      </c>
      <c r="L92" s="604">
        <v>0.53749999999999998</v>
      </c>
      <c r="M92" s="615"/>
      <c r="N92" s="614">
        <f t="shared" ca="1" si="9"/>
        <v>0.53749999999999998</v>
      </c>
      <c r="O92" s="614">
        <f t="shared" ca="1" si="10"/>
        <v>0.53749999999999998</v>
      </c>
    </row>
    <row r="93" spans="1:15" hidden="1">
      <c r="A93" s="604" t="s">
        <v>606</v>
      </c>
      <c r="B93" s="604" t="s">
        <v>420</v>
      </c>
      <c r="C93" s="604" t="s">
        <v>254</v>
      </c>
      <c r="D93" s="605" t="s">
        <v>711</v>
      </c>
      <c r="E93" s="605">
        <v>9</v>
      </c>
      <c r="F93" s="604">
        <v>4.1799999999999997E-2</v>
      </c>
      <c r="G93" s="604">
        <v>4.1799999999999997E-2</v>
      </c>
      <c r="H93" s="604">
        <v>4.1799999999999997E-2</v>
      </c>
      <c r="I93" s="604"/>
      <c r="J93" s="604">
        <v>4.1799999999999997E-2</v>
      </c>
      <c r="K93" s="604">
        <v>4.1799999999999997E-2</v>
      </c>
      <c r="L93" s="604">
        <v>4.1799999999999997E-2</v>
      </c>
      <c r="M93" s="615"/>
      <c r="N93" s="614">
        <f t="shared" ca="1" si="9"/>
        <v>4.1799999999999997E-2</v>
      </c>
      <c r="O93" s="614">
        <f t="shared" ca="1" si="10"/>
        <v>4.1799999999999997E-2</v>
      </c>
    </row>
    <row r="94" spans="1:15" hidden="1">
      <c r="A94" s="604" t="s">
        <v>620</v>
      </c>
      <c r="B94" s="604" t="s">
        <v>420</v>
      </c>
      <c r="C94" s="604" t="s">
        <v>256</v>
      </c>
      <c r="D94" s="605" t="s">
        <v>711</v>
      </c>
      <c r="E94" s="605">
        <v>8</v>
      </c>
      <c r="F94" s="604">
        <v>0.53749999999999998</v>
      </c>
      <c r="G94" s="604">
        <v>0.53749999999999998</v>
      </c>
      <c r="H94" s="604">
        <v>0.53749999999999998</v>
      </c>
      <c r="I94" s="604"/>
      <c r="J94" s="604">
        <v>0.53749999999999998</v>
      </c>
      <c r="K94" s="604">
        <v>0.53749999999999998</v>
      </c>
      <c r="L94" s="604">
        <v>0.53749999999999998</v>
      </c>
      <c r="M94" s="615"/>
      <c r="N94" s="614">
        <f t="shared" ca="1" si="9"/>
        <v>0.53749999999999998</v>
      </c>
      <c r="O94" s="614">
        <f t="shared" ca="1" si="10"/>
        <v>0.53749999999999998</v>
      </c>
    </row>
    <row r="95" spans="1:15" hidden="1">
      <c r="A95" s="604" t="s">
        <v>607</v>
      </c>
      <c r="B95" s="604" t="s">
        <v>420</v>
      </c>
      <c r="C95" s="604" t="s">
        <v>256</v>
      </c>
      <c r="D95" s="605" t="s">
        <v>711</v>
      </c>
      <c r="E95" s="605">
        <v>9</v>
      </c>
      <c r="F95" s="604">
        <v>4.1799999999999997E-2</v>
      </c>
      <c r="G95" s="604">
        <v>4.1799999999999997E-2</v>
      </c>
      <c r="H95" s="604">
        <v>4.1799999999999997E-2</v>
      </c>
      <c r="I95" s="604"/>
      <c r="J95" s="604">
        <v>4.1799999999999997E-2</v>
      </c>
      <c r="K95" s="604">
        <v>4.1799999999999997E-2</v>
      </c>
      <c r="L95" s="604">
        <v>4.1799999999999997E-2</v>
      </c>
      <c r="M95" s="615"/>
      <c r="N95" s="614">
        <f t="shared" ca="1" si="9"/>
        <v>4.1799999999999997E-2</v>
      </c>
      <c r="O95" s="614">
        <f t="shared" ca="1" si="10"/>
        <v>4.1799999999999997E-2</v>
      </c>
    </row>
    <row r="96" spans="1:15" hidden="1">
      <c r="A96" s="604" t="s">
        <v>621</v>
      </c>
      <c r="B96" s="604" t="s">
        <v>420</v>
      </c>
      <c r="C96" s="604" t="s">
        <v>601</v>
      </c>
      <c r="D96" s="605" t="s">
        <v>711</v>
      </c>
      <c r="E96" s="605">
        <v>8</v>
      </c>
      <c r="F96" s="604">
        <v>0.53749999999999998</v>
      </c>
      <c r="G96" s="604">
        <v>0.53749999999999998</v>
      </c>
      <c r="H96" s="604">
        <v>0.53749999999999998</v>
      </c>
      <c r="I96" s="604"/>
      <c r="J96" s="604">
        <v>0.53749999999999998</v>
      </c>
      <c r="K96" s="604">
        <v>0.53749999999999998</v>
      </c>
      <c r="L96" s="604">
        <v>0.53749999999999998</v>
      </c>
      <c r="M96" s="615"/>
      <c r="N96" s="614">
        <f t="shared" ca="1" si="9"/>
        <v>0.53749999999999998</v>
      </c>
      <c r="O96" s="614">
        <f t="shared" ca="1" si="10"/>
        <v>0.53749999999999998</v>
      </c>
    </row>
    <row r="97" spans="1:15" hidden="1">
      <c r="A97" s="604" t="s">
        <v>608</v>
      </c>
      <c r="B97" s="604" t="s">
        <v>420</v>
      </c>
      <c r="C97" s="604" t="s">
        <v>601</v>
      </c>
      <c r="D97" s="605" t="s">
        <v>711</v>
      </c>
      <c r="E97" s="605">
        <v>9</v>
      </c>
      <c r="F97" s="604">
        <v>4.1799999999999997E-2</v>
      </c>
      <c r="G97" s="604">
        <v>4.1799999999999997E-2</v>
      </c>
      <c r="H97" s="604">
        <v>4.1799999999999997E-2</v>
      </c>
      <c r="I97" s="604"/>
      <c r="J97" s="604">
        <v>4.1799999999999997E-2</v>
      </c>
      <c r="K97" s="604">
        <v>4.1799999999999997E-2</v>
      </c>
      <c r="L97" s="604">
        <v>4.1799999999999997E-2</v>
      </c>
      <c r="M97" s="615"/>
      <c r="N97" s="614">
        <f t="shared" ca="1" si="9"/>
        <v>4.1799999999999997E-2</v>
      </c>
      <c r="O97" s="614">
        <f t="shared" ca="1" si="10"/>
        <v>4.1799999999999997E-2</v>
      </c>
    </row>
    <row r="98" spans="1:15" hidden="1">
      <c r="A98" s="591" t="s">
        <v>624</v>
      </c>
      <c r="B98" s="591" t="s">
        <v>420</v>
      </c>
      <c r="C98" s="591" t="s">
        <v>91</v>
      </c>
      <c r="D98" s="612" t="s">
        <v>711</v>
      </c>
      <c r="E98" s="612">
        <v>6</v>
      </c>
      <c r="F98" s="591">
        <v>0.78</v>
      </c>
      <c r="G98" s="591">
        <v>0.78</v>
      </c>
      <c r="H98" s="591">
        <v>0.78</v>
      </c>
      <c r="J98" s="591">
        <v>0.78</v>
      </c>
      <c r="K98" s="591">
        <v>0.78</v>
      </c>
      <c r="L98" s="591">
        <v>0.78</v>
      </c>
      <c r="M98" s="615"/>
      <c r="N98" s="614">
        <f t="shared" ca="1" si="9"/>
        <v>0.78</v>
      </c>
      <c r="O98" s="614">
        <f t="shared" ca="1" si="10"/>
        <v>0.78</v>
      </c>
    </row>
    <row r="99" spans="1:15" hidden="1">
      <c r="A99" s="591" t="s">
        <v>506</v>
      </c>
      <c r="B99" s="591" t="s">
        <v>420</v>
      </c>
      <c r="C99" s="591" t="s">
        <v>504</v>
      </c>
      <c r="D99" s="612" t="s">
        <v>711</v>
      </c>
      <c r="E99" s="612">
        <v>7</v>
      </c>
      <c r="F99" s="591">
        <v>0.88</v>
      </c>
      <c r="G99" s="591">
        <v>0.88</v>
      </c>
      <c r="H99" s="591">
        <v>0.9</v>
      </c>
      <c r="J99" s="591">
        <v>0.88</v>
      </c>
      <c r="K99" s="591">
        <v>0.55000000000000004</v>
      </c>
      <c r="L99" s="591">
        <v>0.55000000000000004</v>
      </c>
      <c r="M99" s="615"/>
      <c r="N99" s="614">
        <f t="shared" ca="1" si="9"/>
        <v>0.88</v>
      </c>
      <c r="O99" s="614">
        <f t="shared" ca="1" si="10"/>
        <v>0.55000000000000004</v>
      </c>
    </row>
    <row r="100" spans="1:15" hidden="1">
      <c r="A100" s="591" t="s">
        <v>507</v>
      </c>
      <c r="B100" s="591" t="s">
        <v>420</v>
      </c>
      <c r="C100" s="591" t="s">
        <v>504</v>
      </c>
      <c r="D100" s="612" t="s">
        <v>711</v>
      </c>
      <c r="E100" s="612">
        <v>8</v>
      </c>
      <c r="F100" s="591">
        <v>0.04</v>
      </c>
      <c r="G100" s="591">
        <v>0.04</v>
      </c>
      <c r="H100" s="591">
        <v>0.05</v>
      </c>
      <c r="J100" s="591">
        <v>0.04</v>
      </c>
      <c r="K100" s="591">
        <v>0.12</v>
      </c>
      <c r="L100" s="591">
        <v>0.12</v>
      </c>
      <c r="M100" s="615"/>
      <c r="N100" s="614">
        <f t="shared" ca="1" si="9"/>
        <v>0.04</v>
      </c>
      <c r="O100" s="614">
        <f t="shared" ca="1" si="10"/>
        <v>0.12</v>
      </c>
    </row>
    <row r="101" spans="1:15" hidden="1">
      <c r="A101" s="591" t="s">
        <v>508</v>
      </c>
      <c r="B101" s="591" t="s">
        <v>420</v>
      </c>
      <c r="C101" s="591" t="s">
        <v>504</v>
      </c>
      <c r="D101" s="612" t="s">
        <v>711</v>
      </c>
      <c r="E101" s="612">
        <v>9</v>
      </c>
      <c r="F101" s="591">
        <v>7.0000000000000007E-2</v>
      </c>
      <c r="G101" s="591">
        <v>7.0000000000000007E-2</v>
      </c>
      <c r="H101" s="591">
        <v>0.05</v>
      </c>
      <c r="J101" s="591">
        <v>7.0000000000000007E-2</v>
      </c>
      <c r="K101" s="591">
        <v>0.13</v>
      </c>
      <c r="L101" s="591">
        <v>0.13</v>
      </c>
      <c r="M101" s="615"/>
      <c r="N101" s="614">
        <f t="shared" ca="1" si="9"/>
        <v>7.0000000000000007E-2</v>
      </c>
      <c r="O101" s="614">
        <f t="shared" ca="1" si="10"/>
        <v>0.13</v>
      </c>
    </row>
    <row r="102" spans="1:15" hidden="1">
      <c r="A102" s="591" t="s">
        <v>363</v>
      </c>
      <c r="B102" s="591" t="s">
        <v>420</v>
      </c>
      <c r="C102" s="591" t="s">
        <v>361</v>
      </c>
      <c r="D102" s="612" t="s">
        <v>711</v>
      </c>
      <c r="E102" s="612">
        <v>7</v>
      </c>
      <c r="F102" s="591">
        <v>0.9</v>
      </c>
      <c r="G102" s="591">
        <v>0.9</v>
      </c>
      <c r="H102" s="591">
        <v>0.9</v>
      </c>
      <c r="J102" s="591">
        <v>0.9</v>
      </c>
      <c r="K102" s="591">
        <v>0.9</v>
      </c>
      <c r="L102" s="591">
        <v>0.9</v>
      </c>
      <c r="M102" s="615"/>
      <c r="N102" s="614">
        <f t="shared" ca="1" si="9"/>
        <v>0.9</v>
      </c>
      <c r="O102" s="614">
        <f t="shared" ca="1" si="10"/>
        <v>0.9</v>
      </c>
    </row>
    <row r="103" spans="1:15" hidden="1">
      <c r="A103" s="591" t="s">
        <v>364</v>
      </c>
      <c r="B103" s="591" t="s">
        <v>420</v>
      </c>
      <c r="C103" s="591" t="s">
        <v>361</v>
      </c>
      <c r="D103" s="612" t="s">
        <v>711</v>
      </c>
      <c r="E103" s="612">
        <v>8</v>
      </c>
      <c r="F103" s="591">
        <v>0.05</v>
      </c>
      <c r="G103" s="591">
        <v>0.05</v>
      </c>
      <c r="H103" s="591">
        <v>0.05</v>
      </c>
      <c r="J103" s="591">
        <v>0.05</v>
      </c>
      <c r="K103" s="591">
        <v>0.05</v>
      </c>
      <c r="L103" s="591">
        <v>0.05</v>
      </c>
      <c r="M103" s="615"/>
      <c r="N103" s="614">
        <f t="shared" ca="1" si="9"/>
        <v>0.05</v>
      </c>
      <c r="O103" s="614">
        <f t="shared" ca="1" si="10"/>
        <v>0.05</v>
      </c>
    </row>
    <row r="104" spans="1:15" hidden="1">
      <c r="A104" s="591" t="s">
        <v>365</v>
      </c>
      <c r="B104" s="591" t="s">
        <v>420</v>
      </c>
      <c r="C104" s="591" t="s">
        <v>361</v>
      </c>
      <c r="D104" s="612" t="s">
        <v>711</v>
      </c>
      <c r="E104" s="612">
        <v>9</v>
      </c>
      <c r="F104" s="591">
        <v>0.05</v>
      </c>
      <c r="G104" s="591">
        <v>0.05</v>
      </c>
      <c r="H104" s="591">
        <v>0.05</v>
      </c>
      <c r="J104" s="591">
        <v>0.05</v>
      </c>
      <c r="K104" s="591">
        <v>0.05</v>
      </c>
      <c r="L104" s="591">
        <v>0.05</v>
      </c>
      <c r="M104" s="615"/>
      <c r="N104" s="614">
        <f t="shared" ca="1" si="9"/>
        <v>0.05</v>
      </c>
      <c r="O104" s="614">
        <f t="shared" ca="1" si="10"/>
        <v>0.05</v>
      </c>
    </row>
    <row r="105" spans="1:15" hidden="1">
      <c r="A105" s="591" t="s">
        <v>555</v>
      </c>
      <c r="B105" s="591" t="s">
        <v>420</v>
      </c>
      <c r="C105" s="591" t="s">
        <v>554</v>
      </c>
      <c r="D105" s="612" t="s">
        <v>711</v>
      </c>
      <c r="E105" s="612">
        <v>7</v>
      </c>
      <c r="F105" s="591">
        <v>0.9</v>
      </c>
      <c r="G105" s="591">
        <v>0.9</v>
      </c>
      <c r="H105" s="591">
        <v>0.9</v>
      </c>
      <c r="J105" s="591">
        <v>0.9</v>
      </c>
      <c r="K105" s="591">
        <v>0.9</v>
      </c>
      <c r="L105" s="591">
        <v>0.9</v>
      </c>
      <c r="M105" s="615"/>
      <c r="N105" s="614">
        <f t="shared" ca="1" si="9"/>
        <v>0.9</v>
      </c>
      <c r="O105" s="614">
        <f t="shared" ca="1" si="10"/>
        <v>0.9</v>
      </c>
    </row>
    <row r="106" spans="1:15" hidden="1">
      <c r="A106" s="591" t="s">
        <v>556</v>
      </c>
      <c r="B106" s="591" t="s">
        <v>420</v>
      </c>
      <c r="C106" s="591" t="s">
        <v>554</v>
      </c>
      <c r="D106" s="612" t="s">
        <v>711</v>
      </c>
      <c r="E106" s="612">
        <v>8</v>
      </c>
      <c r="F106" s="591">
        <v>0.05</v>
      </c>
      <c r="G106" s="591">
        <v>0.05</v>
      </c>
      <c r="H106" s="591">
        <v>0.05</v>
      </c>
      <c r="J106" s="591">
        <v>0.05</v>
      </c>
      <c r="K106" s="591">
        <v>0.05</v>
      </c>
      <c r="L106" s="591">
        <v>0.05</v>
      </c>
      <c r="M106" s="615"/>
      <c r="N106" s="614">
        <f t="shared" ca="1" si="9"/>
        <v>0.05</v>
      </c>
      <c r="O106" s="614">
        <f t="shared" ca="1" si="10"/>
        <v>0.05</v>
      </c>
    </row>
    <row r="107" spans="1:15" hidden="1">
      <c r="A107" s="591" t="s">
        <v>557</v>
      </c>
      <c r="B107" s="591" t="s">
        <v>420</v>
      </c>
      <c r="C107" s="591" t="s">
        <v>554</v>
      </c>
      <c r="D107" s="612" t="s">
        <v>711</v>
      </c>
      <c r="E107" s="612">
        <v>9</v>
      </c>
      <c r="F107" s="591">
        <v>0.05</v>
      </c>
      <c r="G107" s="591">
        <v>0.05</v>
      </c>
      <c r="H107" s="591">
        <v>0.05</v>
      </c>
      <c r="J107" s="591">
        <v>0.05</v>
      </c>
      <c r="K107" s="591">
        <v>0.05</v>
      </c>
      <c r="L107" s="591">
        <v>0.05</v>
      </c>
      <c r="M107" s="615"/>
      <c r="N107" s="614">
        <f t="shared" ca="1" si="9"/>
        <v>0.05</v>
      </c>
      <c r="O107" s="614">
        <f t="shared" ca="1" si="10"/>
        <v>0.05</v>
      </c>
    </row>
    <row r="108" spans="1:15" hidden="1">
      <c r="A108" s="591" t="s">
        <v>613</v>
      </c>
      <c r="B108" s="591" t="s">
        <v>420</v>
      </c>
      <c r="C108" s="591" t="s">
        <v>612</v>
      </c>
      <c r="D108" s="612" t="s">
        <v>711</v>
      </c>
      <c r="E108" s="612">
        <v>7</v>
      </c>
      <c r="F108" s="591">
        <v>0.9</v>
      </c>
      <c r="G108" s="591">
        <v>0.9</v>
      </c>
      <c r="H108" s="591">
        <v>0.9</v>
      </c>
      <c r="J108" s="591">
        <v>0.9</v>
      </c>
      <c r="K108" s="591">
        <v>0.9</v>
      </c>
      <c r="L108" s="591">
        <v>0.9</v>
      </c>
      <c r="M108" s="615"/>
      <c r="N108" s="614">
        <f t="shared" ca="1" si="9"/>
        <v>0.9</v>
      </c>
      <c r="O108" s="614">
        <f t="shared" ca="1" si="10"/>
        <v>0.9</v>
      </c>
    </row>
    <row r="109" spans="1:15" hidden="1">
      <c r="A109" s="591" t="s">
        <v>614</v>
      </c>
      <c r="B109" s="591" t="s">
        <v>420</v>
      </c>
      <c r="C109" s="591" t="s">
        <v>612</v>
      </c>
      <c r="D109" s="612" t="s">
        <v>711</v>
      </c>
      <c r="E109" s="612">
        <v>8</v>
      </c>
      <c r="F109" s="591">
        <v>0.05</v>
      </c>
      <c r="G109" s="591">
        <v>0.05</v>
      </c>
      <c r="H109" s="591">
        <v>0.05</v>
      </c>
      <c r="J109" s="591">
        <v>0.05</v>
      </c>
      <c r="K109" s="591">
        <v>0.05</v>
      </c>
      <c r="L109" s="591">
        <v>0.05</v>
      </c>
      <c r="M109" s="615"/>
      <c r="N109" s="614">
        <f t="shared" ca="1" si="9"/>
        <v>0.05</v>
      </c>
      <c r="O109" s="614">
        <f t="shared" ca="1" si="10"/>
        <v>0.05</v>
      </c>
    </row>
    <row r="110" spans="1:15" hidden="1">
      <c r="A110" s="591" t="s">
        <v>342</v>
      </c>
      <c r="B110" s="591" t="s">
        <v>420</v>
      </c>
      <c r="C110" s="591" t="s">
        <v>612</v>
      </c>
      <c r="D110" s="612" t="s">
        <v>711</v>
      </c>
      <c r="E110" s="612">
        <v>9</v>
      </c>
      <c r="F110" s="591">
        <v>0.05</v>
      </c>
      <c r="G110" s="591">
        <v>0.05</v>
      </c>
      <c r="H110" s="591">
        <v>0.05</v>
      </c>
      <c r="J110" s="591">
        <v>0.05</v>
      </c>
      <c r="K110" s="591">
        <v>0.05</v>
      </c>
      <c r="L110" s="591">
        <v>0.05</v>
      </c>
      <c r="M110" s="615"/>
      <c r="N110" s="614">
        <f t="shared" ca="1" si="9"/>
        <v>0.05</v>
      </c>
      <c r="O110" s="614">
        <f t="shared" ca="1" si="10"/>
        <v>0.05</v>
      </c>
    </row>
    <row r="111" spans="1:15" hidden="1">
      <c r="A111" s="591" t="s">
        <v>74</v>
      </c>
      <c r="B111" s="591" t="s">
        <v>422</v>
      </c>
      <c r="C111" s="591" t="s">
        <v>237</v>
      </c>
      <c r="D111" s="612" t="s">
        <v>711</v>
      </c>
      <c r="E111" s="612">
        <v>6</v>
      </c>
      <c r="F111" s="591">
        <v>0.99990000000000001</v>
      </c>
      <c r="G111" s="591">
        <v>1</v>
      </c>
      <c r="H111" s="591">
        <v>0.999</v>
      </c>
      <c r="J111" s="591">
        <v>0.99990000000000001</v>
      </c>
      <c r="K111" s="591">
        <v>1</v>
      </c>
      <c r="L111" s="591">
        <v>1</v>
      </c>
      <c r="M111" s="615"/>
      <c r="N111" s="614">
        <f t="shared" ref="N111:N139" ca="1" si="11">OFFSET($E111,0,RegIndex)</f>
        <v>1</v>
      </c>
      <c r="O111" s="614">
        <f t="shared" ref="O111:O139" ca="1" si="12">OFFSET($I111,0,RegIndex)</f>
        <v>1</v>
      </c>
    </row>
    <row r="112" spans="1:15" hidden="1">
      <c r="A112" s="591" t="s">
        <v>73</v>
      </c>
      <c r="B112" s="591" t="s">
        <v>445</v>
      </c>
      <c r="C112" s="591" t="s">
        <v>237</v>
      </c>
      <c r="D112" s="612" t="s">
        <v>711</v>
      </c>
      <c r="E112" s="612">
        <v>14</v>
      </c>
      <c r="F112" s="591">
        <v>0.75</v>
      </c>
      <c r="G112" s="591">
        <v>0.97</v>
      </c>
      <c r="H112" s="591">
        <v>0.85</v>
      </c>
      <c r="J112" s="591">
        <v>0.75</v>
      </c>
      <c r="K112" s="618">
        <v>0.87841488941913348</v>
      </c>
      <c r="L112" s="591">
        <v>0.7308593749576735</v>
      </c>
      <c r="M112" s="615"/>
      <c r="N112" s="614">
        <f t="shared" ca="1" si="11"/>
        <v>0.97</v>
      </c>
      <c r="O112" s="614">
        <f t="shared" ca="1" si="12"/>
        <v>0.87841488941913348</v>
      </c>
    </row>
    <row r="113" spans="1:15" hidden="1">
      <c r="A113" s="591" t="s">
        <v>78</v>
      </c>
      <c r="B113" s="591" t="s">
        <v>422</v>
      </c>
      <c r="C113" s="591" t="s">
        <v>238</v>
      </c>
      <c r="D113" s="612" t="s">
        <v>711</v>
      </c>
      <c r="E113" s="612">
        <v>6</v>
      </c>
      <c r="F113" s="591">
        <v>1</v>
      </c>
      <c r="G113" s="591">
        <v>1</v>
      </c>
      <c r="H113" s="591">
        <v>1</v>
      </c>
      <c r="J113" s="591">
        <v>1</v>
      </c>
      <c r="K113" s="591">
        <v>1</v>
      </c>
      <c r="L113" s="591">
        <v>1</v>
      </c>
      <c r="M113" s="615"/>
      <c r="N113" s="614">
        <f t="shared" ca="1" si="11"/>
        <v>1</v>
      </c>
      <c r="O113" s="614">
        <f t="shared" ca="1" si="12"/>
        <v>1</v>
      </c>
    </row>
    <row r="114" spans="1:15" hidden="1">
      <c r="A114" s="591" t="s">
        <v>81</v>
      </c>
      <c r="B114" s="591" t="s">
        <v>445</v>
      </c>
      <c r="C114" s="591" t="s">
        <v>238</v>
      </c>
      <c r="D114" s="612" t="s">
        <v>711</v>
      </c>
      <c r="E114" s="612">
        <v>14</v>
      </c>
      <c r="F114" s="591">
        <v>0.755</v>
      </c>
      <c r="G114" s="591">
        <v>0.755</v>
      </c>
      <c r="H114" s="591">
        <v>0.78280000000000005</v>
      </c>
      <c r="J114" s="591">
        <v>0.755</v>
      </c>
      <c r="K114" s="591">
        <v>0.755</v>
      </c>
      <c r="L114" s="591">
        <v>0.755</v>
      </c>
      <c r="M114" s="615"/>
      <c r="N114" s="614">
        <f t="shared" ca="1" si="11"/>
        <v>0.755</v>
      </c>
      <c r="O114" s="614">
        <f t="shared" ca="1" si="12"/>
        <v>0.755</v>
      </c>
    </row>
    <row r="115" spans="1:15" hidden="1">
      <c r="A115" s="591" t="s">
        <v>80</v>
      </c>
      <c r="B115" s="591" t="s">
        <v>422</v>
      </c>
      <c r="C115" s="591" t="s">
        <v>239</v>
      </c>
      <c r="D115" s="612" t="s">
        <v>711</v>
      </c>
      <c r="E115" s="612">
        <v>6</v>
      </c>
      <c r="F115" s="591">
        <v>1</v>
      </c>
      <c r="G115" s="591">
        <v>1</v>
      </c>
      <c r="H115" s="591">
        <v>1</v>
      </c>
      <c r="J115" s="591">
        <v>1</v>
      </c>
      <c r="K115" s="591">
        <v>1</v>
      </c>
      <c r="L115" s="591">
        <v>1</v>
      </c>
      <c r="M115" s="615"/>
      <c r="N115" s="614">
        <f t="shared" ca="1" si="11"/>
        <v>1</v>
      </c>
      <c r="O115" s="614">
        <f t="shared" ca="1" si="12"/>
        <v>1</v>
      </c>
    </row>
    <row r="116" spans="1:15" hidden="1">
      <c r="A116" s="591" t="s">
        <v>82</v>
      </c>
      <c r="B116" s="591" t="s">
        <v>445</v>
      </c>
      <c r="C116" s="591" t="s">
        <v>239</v>
      </c>
      <c r="D116" s="612" t="s">
        <v>711</v>
      </c>
      <c r="E116" s="612">
        <v>14</v>
      </c>
      <c r="F116" s="591">
        <v>0.755</v>
      </c>
      <c r="G116" s="591">
        <v>0.755</v>
      </c>
      <c r="H116" s="591">
        <v>0.72499999999999998</v>
      </c>
      <c r="J116" s="591">
        <v>0.755</v>
      </c>
      <c r="K116" s="591">
        <v>0.755</v>
      </c>
      <c r="L116" s="591">
        <v>0.755</v>
      </c>
      <c r="M116" s="615"/>
      <c r="N116" s="614">
        <f t="shared" ca="1" si="11"/>
        <v>0.755</v>
      </c>
      <c r="O116" s="614">
        <f t="shared" ca="1" si="12"/>
        <v>0.755</v>
      </c>
    </row>
    <row r="117" spans="1:15" hidden="1">
      <c r="A117" s="591" t="s">
        <v>84</v>
      </c>
      <c r="B117" s="591" t="s">
        <v>422</v>
      </c>
      <c r="C117" s="591" t="s">
        <v>107</v>
      </c>
      <c r="D117" s="612" t="s">
        <v>711</v>
      </c>
      <c r="E117" s="612">
        <v>6</v>
      </c>
      <c r="F117" s="591">
        <v>1</v>
      </c>
      <c r="G117" s="591">
        <v>1</v>
      </c>
      <c r="H117" s="591">
        <v>1</v>
      </c>
      <c r="J117" s="591">
        <v>1</v>
      </c>
      <c r="K117" s="591">
        <v>1</v>
      </c>
      <c r="L117" s="591">
        <v>1</v>
      </c>
      <c r="M117" s="615"/>
      <c r="N117" s="614">
        <f t="shared" ca="1" si="11"/>
        <v>1</v>
      </c>
      <c r="O117" s="614">
        <f t="shared" ca="1" si="12"/>
        <v>1</v>
      </c>
    </row>
    <row r="118" spans="1:15" hidden="1">
      <c r="A118" s="591" t="s">
        <v>83</v>
      </c>
      <c r="B118" s="591" t="s">
        <v>445</v>
      </c>
      <c r="C118" s="591" t="s">
        <v>107</v>
      </c>
      <c r="D118" s="612" t="s">
        <v>711</v>
      </c>
      <c r="E118" s="612">
        <v>14</v>
      </c>
      <c r="F118" s="591">
        <v>0.755</v>
      </c>
      <c r="G118" s="591">
        <v>0.755</v>
      </c>
      <c r="H118" s="591">
        <v>6.3500000000000001E-2</v>
      </c>
      <c r="J118" s="591">
        <v>0.755</v>
      </c>
      <c r="K118" s="591">
        <v>0.755</v>
      </c>
      <c r="L118" s="591">
        <v>0.755</v>
      </c>
      <c r="M118" s="615"/>
      <c r="N118" s="614">
        <f t="shared" ca="1" si="11"/>
        <v>0.755</v>
      </c>
      <c r="O118" s="614">
        <f t="shared" ca="1" si="12"/>
        <v>0.755</v>
      </c>
    </row>
    <row r="119" spans="1:15" hidden="1">
      <c r="A119" s="604" t="s">
        <v>116</v>
      </c>
      <c r="B119" s="604" t="s">
        <v>445</v>
      </c>
      <c r="C119" s="604" t="s">
        <v>240</v>
      </c>
      <c r="D119" s="605" t="s">
        <v>711</v>
      </c>
      <c r="E119" s="605">
        <v>9</v>
      </c>
      <c r="F119" s="604">
        <v>0.54410000000000003</v>
      </c>
      <c r="G119" s="604">
        <v>0.54410000000000003</v>
      </c>
      <c r="H119" s="604">
        <v>0.54410000000000003</v>
      </c>
      <c r="I119" s="604"/>
      <c r="J119" s="604">
        <v>0.54410000000000003</v>
      </c>
      <c r="K119" s="604">
        <v>0.54410000000000003</v>
      </c>
      <c r="L119" s="604">
        <v>0.54410000000000003</v>
      </c>
      <c r="M119" s="615"/>
      <c r="N119" s="614">
        <f t="shared" ca="1" si="11"/>
        <v>0.54410000000000003</v>
      </c>
      <c r="O119" s="614">
        <f t="shared" ca="1" si="12"/>
        <v>0.54410000000000003</v>
      </c>
    </row>
    <row r="120" spans="1:15" hidden="1">
      <c r="A120" s="604" t="s">
        <v>85</v>
      </c>
      <c r="B120" s="604" t="s">
        <v>445</v>
      </c>
      <c r="C120" s="604" t="s">
        <v>240</v>
      </c>
      <c r="D120" s="605" t="s">
        <v>711</v>
      </c>
      <c r="E120" s="605">
        <v>10</v>
      </c>
      <c r="F120" s="604">
        <v>3.3E-3</v>
      </c>
      <c r="G120" s="604">
        <v>3.3E-3</v>
      </c>
      <c r="H120" s="604">
        <v>3.3E-3</v>
      </c>
      <c r="I120" s="604"/>
      <c r="J120" s="604">
        <v>3.3E-3</v>
      </c>
      <c r="K120" s="604">
        <v>3.3E-3</v>
      </c>
      <c r="L120" s="604">
        <v>3.3E-3</v>
      </c>
      <c r="M120" s="615"/>
      <c r="N120" s="614">
        <f t="shared" ca="1" si="11"/>
        <v>3.3E-3</v>
      </c>
      <c r="O120" s="614">
        <f t="shared" ca="1" si="12"/>
        <v>3.3E-3</v>
      </c>
    </row>
    <row r="121" spans="1:15" hidden="1">
      <c r="A121" s="604" t="s">
        <v>118</v>
      </c>
      <c r="B121" s="604" t="s">
        <v>445</v>
      </c>
      <c r="C121" s="604" t="s">
        <v>241</v>
      </c>
      <c r="D121" s="605" t="s">
        <v>711</v>
      </c>
      <c r="E121" s="605">
        <v>9</v>
      </c>
      <c r="F121" s="604">
        <v>0.54410000000000003</v>
      </c>
      <c r="G121" s="604">
        <v>0.54410000000000003</v>
      </c>
      <c r="H121" s="604">
        <v>0.56510000000000005</v>
      </c>
      <c r="I121" s="604"/>
      <c r="J121" s="604">
        <v>0.54410000000000003</v>
      </c>
      <c r="K121" s="604">
        <v>0.54410000000000003</v>
      </c>
      <c r="L121" s="604">
        <v>0.54410000000000003</v>
      </c>
      <c r="M121" s="615"/>
      <c r="N121" s="614">
        <f t="shared" ca="1" si="11"/>
        <v>0.54410000000000003</v>
      </c>
      <c r="O121" s="614">
        <f t="shared" ca="1" si="12"/>
        <v>0.54410000000000003</v>
      </c>
    </row>
    <row r="122" spans="1:15" hidden="1">
      <c r="A122" s="604" t="s">
        <v>258</v>
      </c>
      <c r="B122" s="604" t="s">
        <v>445</v>
      </c>
      <c r="C122" s="604" t="s">
        <v>241</v>
      </c>
      <c r="D122" s="605" t="s">
        <v>711</v>
      </c>
      <c r="E122" s="605">
        <v>10</v>
      </c>
      <c r="F122" s="604">
        <v>3.3E-3</v>
      </c>
      <c r="G122" s="604">
        <v>3.3E-3</v>
      </c>
      <c r="H122" s="604">
        <v>3.3999999999999998E-3</v>
      </c>
      <c r="I122" s="604"/>
      <c r="J122" s="604">
        <v>3.3E-3</v>
      </c>
      <c r="K122" s="604">
        <v>3.3E-3</v>
      </c>
      <c r="L122" s="604">
        <v>3.3E-3</v>
      </c>
      <c r="M122" s="615"/>
      <c r="N122" s="614">
        <f t="shared" ca="1" si="11"/>
        <v>3.3E-3</v>
      </c>
      <c r="O122" s="614">
        <f t="shared" ca="1" si="12"/>
        <v>3.3E-3</v>
      </c>
    </row>
    <row r="123" spans="1:15" hidden="1">
      <c r="A123" s="604" t="s">
        <v>111</v>
      </c>
      <c r="B123" s="604" t="s">
        <v>445</v>
      </c>
      <c r="C123" s="604" t="s">
        <v>242</v>
      </c>
      <c r="D123" s="605" t="s">
        <v>711</v>
      </c>
      <c r="E123" s="605">
        <v>9</v>
      </c>
      <c r="F123" s="604">
        <v>0.54410000000000003</v>
      </c>
      <c r="G123" s="604">
        <v>0.54410000000000003</v>
      </c>
      <c r="H123" s="604">
        <v>0.56699999999999995</v>
      </c>
      <c r="I123" s="604"/>
      <c r="J123" s="604">
        <v>0.54410000000000003</v>
      </c>
      <c r="K123" s="604">
        <v>0.54410000000000003</v>
      </c>
      <c r="L123" s="604">
        <v>0.54410000000000003</v>
      </c>
      <c r="M123" s="615"/>
      <c r="N123" s="614">
        <f t="shared" ca="1" si="11"/>
        <v>0.54410000000000003</v>
      </c>
      <c r="O123" s="614">
        <f t="shared" ca="1" si="12"/>
        <v>0.54410000000000003</v>
      </c>
    </row>
    <row r="124" spans="1:15" hidden="1">
      <c r="A124" s="604" t="s">
        <v>259</v>
      </c>
      <c r="B124" s="604" t="s">
        <v>445</v>
      </c>
      <c r="C124" s="604" t="s">
        <v>242</v>
      </c>
      <c r="D124" s="605" t="s">
        <v>711</v>
      </c>
      <c r="E124" s="605">
        <v>10</v>
      </c>
      <c r="F124" s="604">
        <v>3.3E-3</v>
      </c>
      <c r="G124" s="604">
        <v>3.3E-3</v>
      </c>
      <c r="H124" s="604">
        <v>1.67E-2</v>
      </c>
      <c r="I124" s="604"/>
      <c r="J124" s="604">
        <v>3.3E-3</v>
      </c>
      <c r="K124" s="604">
        <v>3.3E-3</v>
      </c>
      <c r="L124" s="604">
        <v>3.3E-3</v>
      </c>
      <c r="M124" s="615"/>
      <c r="N124" s="614">
        <f t="shared" ca="1" si="11"/>
        <v>3.3E-3</v>
      </c>
      <c r="O124" s="614">
        <f t="shared" ca="1" si="12"/>
        <v>3.3E-3</v>
      </c>
    </row>
    <row r="125" spans="1:15" hidden="1">
      <c r="A125" s="604" t="s">
        <v>112</v>
      </c>
      <c r="B125" s="604" t="s">
        <v>445</v>
      </c>
      <c r="C125" s="604" t="s">
        <v>142</v>
      </c>
      <c r="D125" s="605" t="s">
        <v>711</v>
      </c>
      <c r="E125" s="605">
        <v>9</v>
      </c>
      <c r="F125" s="604">
        <v>0.54410000000000003</v>
      </c>
      <c r="G125" s="604">
        <v>0.54410000000000003</v>
      </c>
      <c r="H125" s="604">
        <v>0.56699999999999995</v>
      </c>
      <c r="I125" s="604"/>
      <c r="J125" s="604">
        <v>0.54410000000000003</v>
      </c>
      <c r="K125" s="604">
        <v>0.54410000000000003</v>
      </c>
      <c r="L125" s="604">
        <v>0.54410000000000003</v>
      </c>
      <c r="M125" s="615"/>
      <c r="N125" s="614">
        <f t="shared" ca="1" si="11"/>
        <v>0.54410000000000003</v>
      </c>
      <c r="O125" s="614">
        <f t="shared" ca="1" si="12"/>
        <v>0.54410000000000003</v>
      </c>
    </row>
    <row r="126" spans="1:15" hidden="1">
      <c r="A126" s="604" t="s">
        <v>260</v>
      </c>
      <c r="B126" s="604" t="s">
        <v>445</v>
      </c>
      <c r="C126" s="604" t="s">
        <v>142</v>
      </c>
      <c r="D126" s="605" t="s">
        <v>711</v>
      </c>
      <c r="E126" s="605">
        <v>10</v>
      </c>
      <c r="F126" s="604">
        <v>3.3E-3</v>
      </c>
      <c r="G126" s="604">
        <v>3.3E-3</v>
      </c>
      <c r="H126" s="604">
        <v>1.67E-2</v>
      </c>
      <c r="I126" s="604"/>
      <c r="J126" s="604">
        <v>3.3E-3</v>
      </c>
      <c r="K126" s="604">
        <v>3.3E-3</v>
      </c>
      <c r="L126" s="604">
        <v>3.3E-3</v>
      </c>
      <c r="M126" s="615"/>
      <c r="N126" s="614">
        <f t="shared" ca="1" si="11"/>
        <v>3.3E-3</v>
      </c>
      <c r="O126" s="614">
        <f t="shared" ca="1" si="12"/>
        <v>3.3E-3</v>
      </c>
    </row>
    <row r="127" spans="1:15" hidden="1">
      <c r="A127" s="591" t="s">
        <v>145</v>
      </c>
      <c r="B127" s="591" t="s">
        <v>445</v>
      </c>
      <c r="C127" s="591" t="s">
        <v>103</v>
      </c>
      <c r="D127" s="612" t="s">
        <v>711</v>
      </c>
      <c r="E127" s="612">
        <v>7</v>
      </c>
      <c r="F127" s="591">
        <v>0.05</v>
      </c>
      <c r="G127" s="591">
        <v>0.06</v>
      </c>
      <c r="H127" s="591">
        <v>0.3</v>
      </c>
      <c r="J127" s="591">
        <v>0.05</v>
      </c>
      <c r="K127" s="591">
        <v>0.04</v>
      </c>
      <c r="L127" s="591">
        <v>0.04</v>
      </c>
      <c r="M127" s="615"/>
      <c r="N127" s="614">
        <f t="shared" ca="1" si="11"/>
        <v>0.06</v>
      </c>
      <c r="O127" s="614">
        <f t="shared" ca="1" si="12"/>
        <v>0.04</v>
      </c>
    </row>
    <row r="128" spans="1:15" hidden="1">
      <c r="A128" s="591" t="s">
        <v>146</v>
      </c>
      <c r="B128" s="591" t="s">
        <v>445</v>
      </c>
      <c r="C128" s="591" t="s">
        <v>103</v>
      </c>
      <c r="D128" s="612" t="s">
        <v>711</v>
      </c>
      <c r="E128" s="612">
        <v>8</v>
      </c>
      <c r="F128" s="591">
        <v>0.01</v>
      </c>
      <c r="G128" s="591">
        <v>0.01</v>
      </c>
      <c r="H128" s="591">
        <v>0.02</v>
      </c>
      <c r="J128" s="591">
        <v>0.01</v>
      </c>
      <c r="K128" s="591">
        <v>0.02</v>
      </c>
      <c r="L128" s="591">
        <v>0.02</v>
      </c>
      <c r="M128" s="615"/>
      <c r="N128" s="614">
        <f t="shared" ca="1" si="11"/>
        <v>0.01</v>
      </c>
      <c r="O128" s="614">
        <f t="shared" ca="1" si="12"/>
        <v>0.02</v>
      </c>
    </row>
    <row r="129" spans="1:15" hidden="1">
      <c r="A129" s="591" t="s">
        <v>261</v>
      </c>
      <c r="B129" s="591" t="s">
        <v>445</v>
      </c>
      <c r="C129" s="591" t="s">
        <v>103</v>
      </c>
      <c r="D129" s="612" t="s">
        <v>711</v>
      </c>
      <c r="E129" s="612">
        <v>9</v>
      </c>
      <c r="F129" s="591">
        <v>0.08</v>
      </c>
      <c r="G129" s="591">
        <v>0.05</v>
      </c>
      <c r="H129" s="591">
        <v>0.05</v>
      </c>
      <c r="J129" s="591">
        <v>0.08</v>
      </c>
      <c r="K129" s="591">
        <v>0.05</v>
      </c>
      <c r="L129" s="591">
        <v>0.05</v>
      </c>
      <c r="M129" s="615"/>
      <c r="N129" s="614">
        <f t="shared" ca="1" si="11"/>
        <v>0.05</v>
      </c>
      <c r="O129" s="614">
        <f t="shared" ca="1" si="12"/>
        <v>0.05</v>
      </c>
    </row>
    <row r="130" spans="1:15" hidden="1">
      <c r="A130" s="591" t="s">
        <v>147</v>
      </c>
      <c r="B130" s="591" t="s">
        <v>445</v>
      </c>
      <c r="C130" s="591" t="s">
        <v>103</v>
      </c>
      <c r="D130" s="612" t="s">
        <v>711</v>
      </c>
      <c r="E130" s="612">
        <v>10</v>
      </c>
      <c r="F130" s="591">
        <v>0.79</v>
      </c>
      <c r="G130" s="591">
        <v>0.79</v>
      </c>
      <c r="H130" s="591">
        <v>0.6</v>
      </c>
      <c r="J130" s="591">
        <v>0.79</v>
      </c>
      <c r="K130" s="591">
        <v>0.75</v>
      </c>
      <c r="L130" s="591">
        <v>0.75</v>
      </c>
      <c r="M130" s="615"/>
      <c r="N130" s="614">
        <f t="shared" ca="1" si="11"/>
        <v>0.79</v>
      </c>
      <c r="O130" s="614">
        <f t="shared" ca="1" si="12"/>
        <v>0.75</v>
      </c>
    </row>
    <row r="131" spans="1:15" hidden="1">
      <c r="A131" s="591" t="s">
        <v>226</v>
      </c>
      <c r="B131" s="591" t="s">
        <v>419</v>
      </c>
      <c r="C131" s="591" t="s">
        <v>774</v>
      </c>
      <c r="D131" s="612" t="s">
        <v>775</v>
      </c>
      <c r="E131" s="612" t="s">
        <v>775</v>
      </c>
      <c r="F131" s="591">
        <v>1</v>
      </c>
      <c r="G131" s="591">
        <v>0.91</v>
      </c>
      <c r="H131" s="591">
        <v>0.9</v>
      </c>
      <c r="J131" s="591">
        <v>1</v>
      </c>
      <c r="K131" s="591">
        <v>0.91</v>
      </c>
      <c r="L131" s="591">
        <v>0.9</v>
      </c>
      <c r="N131" s="614">
        <f t="shared" ca="1" si="11"/>
        <v>0.91</v>
      </c>
      <c r="O131" s="614">
        <f t="shared" ca="1" si="12"/>
        <v>0.91</v>
      </c>
    </row>
    <row r="132" spans="1:15" hidden="1">
      <c r="A132" s="591" t="s">
        <v>865</v>
      </c>
      <c r="B132" s="591" t="s">
        <v>866</v>
      </c>
      <c r="C132" s="591" t="s">
        <v>866</v>
      </c>
      <c r="F132" s="591">
        <v>1.05</v>
      </c>
      <c r="G132" s="619">
        <f>1/0.92</f>
        <v>1.0869565217391304</v>
      </c>
      <c r="H132" s="619">
        <f>1/0.92</f>
        <v>1.0869565217391304</v>
      </c>
      <c r="J132" s="591">
        <v>0.98</v>
      </c>
      <c r="K132" s="619">
        <v>0.94</v>
      </c>
      <c r="L132" s="619">
        <v>0.94</v>
      </c>
      <c r="N132" s="614">
        <f t="shared" ca="1" si="11"/>
        <v>1.0869565217391304</v>
      </c>
      <c r="O132" s="614">
        <f t="shared" ca="1" si="12"/>
        <v>0.94</v>
      </c>
    </row>
    <row r="133" spans="1:15" hidden="1">
      <c r="A133" s="591" t="s">
        <v>859</v>
      </c>
      <c r="B133" s="591" t="s">
        <v>836</v>
      </c>
      <c r="C133" s="591" t="s">
        <v>877</v>
      </c>
      <c r="F133" s="591">
        <v>0.6</v>
      </c>
      <c r="G133" s="591">
        <v>0.6</v>
      </c>
      <c r="H133" s="591">
        <v>0.6</v>
      </c>
      <c r="J133" s="591">
        <v>0.6</v>
      </c>
      <c r="K133" s="591">
        <v>0.6</v>
      </c>
      <c r="L133" s="591">
        <v>0.6</v>
      </c>
      <c r="N133" s="614">
        <f t="shared" ca="1" si="11"/>
        <v>0.6</v>
      </c>
      <c r="O133" s="614">
        <f t="shared" ca="1" si="12"/>
        <v>0.6</v>
      </c>
    </row>
    <row r="134" spans="1:15" hidden="1">
      <c r="A134" s="591" t="s">
        <v>859</v>
      </c>
      <c r="B134" s="591" t="s">
        <v>837</v>
      </c>
      <c r="C134" s="591" t="s">
        <v>877</v>
      </c>
      <c r="F134" s="591">
        <v>0.4</v>
      </c>
      <c r="G134" s="591">
        <v>0.4</v>
      </c>
      <c r="H134" s="591">
        <v>0.4</v>
      </c>
      <c r="J134" s="591">
        <v>0.4</v>
      </c>
      <c r="K134" s="591">
        <v>0.4</v>
      </c>
      <c r="L134" s="591">
        <v>0.4</v>
      </c>
      <c r="N134" s="614">
        <f t="shared" ca="1" si="11"/>
        <v>0.4</v>
      </c>
      <c r="O134" s="614">
        <f t="shared" ca="1" si="12"/>
        <v>0.4</v>
      </c>
    </row>
    <row r="135" spans="1:15" hidden="1">
      <c r="A135" s="591" t="s">
        <v>859</v>
      </c>
      <c r="B135" s="591" t="s">
        <v>838</v>
      </c>
      <c r="C135" s="591" t="s">
        <v>877</v>
      </c>
      <c r="F135" s="591">
        <v>0.25</v>
      </c>
      <c r="G135" s="591">
        <v>0.25</v>
      </c>
      <c r="H135" s="591">
        <v>0.25</v>
      </c>
      <c r="J135" s="591">
        <v>0.25</v>
      </c>
      <c r="K135" s="591">
        <v>0.25</v>
      </c>
      <c r="L135" s="591">
        <v>0.25</v>
      </c>
      <c r="N135" s="614">
        <f t="shared" ca="1" si="11"/>
        <v>0.25</v>
      </c>
      <c r="O135" s="614">
        <f t="shared" ca="1" si="12"/>
        <v>0.25</v>
      </c>
    </row>
    <row r="136" spans="1:15" hidden="1">
      <c r="A136" s="591" t="s">
        <v>860</v>
      </c>
      <c r="B136" s="591" t="s">
        <v>832</v>
      </c>
      <c r="C136" s="591" t="s">
        <v>878</v>
      </c>
      <c r="F136" s="591">
        <v>0.52</v>
      </c>
      <c r="G136" s="591">
        <v>0.52</v>
      </c>
      <c r="H136" s="591">
        <v>0.52</v>
      </c>
      <c r="J136" s="591">
        <v>0.52</v>
      </c>
      <c r="K136" s="591">
        <v>0.52</v>
      </c>
      <c r="L136" s="591">
        <v>0.52</v>
      </c>
      <c r="N136" s="614">
        <f t="shared" ca="1" si="11"/>
        <v>0.52</v>
      </c>
      <c r="O136" s="614">
        <f t="shared" ca="1" si="12"/>
        <v>0.52</v>
      </c>
    </row>
    <row r="137" spans="1:15" hidden="1">
      <c r="A137" s="591" t="s">
        <v>860</v>
      </c>
      <c r="B137" s="591" t="s">
        <v>833</v>
      </c>
      <c r="C137" s="591" t="s">
        <v>878</v>
      </c>
      <c r="F137" s="591">
        <v>0.4</v>
      </c>
      <c r="G137" s="591">
        <v>0.4</v>
      </c>
      <c r="H137" s="591">
        <v>0.4</v>
      </c>
      <c r="J137" s="591">
        <v>0.4</v>
      </c>
      <c r="K137" s="591">
        <v>0.4</v>
      </c>
      <c r="L137" s="591">
        <v>0.4</v>
      </c>
      <c r="N137" s="614">
        <f t="shared" ca="1" si="11"/>
        <v>0.4</v>
      </c>
      <c r="O137" s="614">
        <f t="shared" ca="1" si="12"/>
        <v>0.4</v>
      </c>
    </row>
    <row r="138" spans="1:15" hidden="1">
      <c r="A138" s="591" t="s">
        <v>860</v>
      </c>
      <c r="B138" s="591" t="s">
        <v>834</v>
      </c>
      <c r="C138" s="591" t="s">
        <v>878</v>
      </c>
      <c r="F138" s="591">
        <v>0.21</v>
      </c>
      <c r="G138" s="591">
        <v>0.21</v>
      </c>
      <c r="H138" s="591">
        <v>0.21</v>
      </c>
      <c r="J138" s="591">
        <v>0.21</v>
      </c>
      <c r="K138" s="591">
        <v>0.21</v>
      </c>
      <c r="L138" s="591">
        <v>0.21</v>
      </c>
      <c r="N138" s="614">
        <f t="shared" ca="1" si="11"/>
        <v>0.21</v>
      </c>
      <c r="O138" s="614">
        <f t="shared" ca="1" si="12"/>
        <v>0.21</v>
      </c>
    </row>
    <row r="139" spans="1:15" hidden="1">
      <c r="A139" s="591" t="s">
        <v>867</v>
      </c>
      <c r="B139" s="591" t="s">
        <v>948</v>
      </c>
      <c r="C139" s="591" t="s">
        <v>878</v>
      </c>
      <c r="F139" s="603">
        <v>0.65</v>
      </c>
      <c r="G139" s="603">
        <v>0.7</v>
      </c>
      <c r="H139" s="603">
        <v>1</v>
      </c>
      <c r="J139" s="603">
        <v>0.65</v>
      </c>
      <c r="K139" s="603">
        <v>0.7</v>
      </c>
      <c r="L139" s="603">
        <v>1</v>
      </c>
      <c r="N139" s="614">
        <f t="shared" ca="1" si="11"/>
        <v>0.7</v>
      </c>
      <c r="O139" s="614">
        <f t="shared" ca="1" si="12"/>
        <v>0.7</v>
      </c>
    </row>
  </sheetData>
  <sheetProtection password="C14A" sheet="1" objects="1" selectLockedCells="1" selectUnlockedCells="1"/>
  <phoneticPr fontId="3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B2:I141"/>
  <sheetViews>
    <sheetView tabSelected="1" zoomScale="75" workbookViewId="0">
      <selection activeCell="B73" sqref="B73"/>
    </sheetView>
  </sheetViews>
  <sheetFormatPr defaultColWidth="11.42578125" defaultRowHeight="12.75"/>
  <cols>
    <col min="1" max="1" width="9.140625" customWidth="1"/>
    <col min="2" max="2" width="12.140625" customWidth="1"/>
    <col min="3" max="3" width="10.7109375" customWidth="1"/>
    <col min="4" max="4" width="30.85546875" bestFit="1" customWidth="1"/>
    <col min="5" max="5" width="12.85546875" customWidth="1"/>
    <col min="6" max="6" width="10.7109375" customWidth="1"/>
  </cols>
  <sheetData>
    <row r="2" spans="2:9">
      <c r="B2" s="245" t="s">
        <v>382</v>
      </c>
    </row>
    <row r="3" spans="2:9">
      <c r="B3" s="275" t="s">
        <v>383</v>
      </c>
      <c r="C3" s="275" t="s">
        <v>384</v>
      </c>
      <c r="D3" s="275" t="s">
        <v>385</v>
      </c>
      <c r="E3" s="275" t="s">
        <v>386</v>
      </c>
      <c r="F3" s="276" t="s">
        <v>86</v>
      </c>
      <c r="G3" s="276" t="s">
        <v>274</v>
      </c>
      <c r="H3" s="276" t="s">
        <v>275</v>
      </c>
      <c r="I3" s="276" t="s">
        <v>276</v>
      </c>
    </row>
    <row r="4" spans="2:9">
      <c r="B4" s="494" t="s">
        <v>1005</v>
      </c>
      <c r="C4" s="436" t="s">
        <v>434</v>
      </c>
      <c r="D4" s="436" t="s">
        <v>301</v>
      </c>
      <c r="E4" s="436" t="s">
        <v>249</v>
      </c>
      <c r="F4" s="436"/>
      <c r="G4" s="436"/>
      <c r="H4" s="436"/>
      <c r="I4" s="436"/>
    </row>
    <row r="5" spans="2:9">
      <c r="B5" s="494" t="s">
        <v>1005</v>
      </c>
      <c r="C5" s="436" t="s">
        <v>240</v>
      </c>
      <c r="D5" s="436" t="s">
        <v>108</v>
      </c>
      <c r="E5" s="436" t="s">
        <v>249</v>
      </c>
      <c r="F5" s="436"/>
      <c r="G5" s="436"/>
      <c r="H5" s="436"/>
      <c r="I5" s="436"/>
    </row>
    <row r="6" spans="2:9">
      <c r="B6" s="494" t="s">
        <v>1005</v>
      </c>
      <c r="C6" s="436" t="s">
        <v>241</v>
      </c>
      <c r="D6" s="436" t="s">
        <v>109</v>
      </c>
      <c r="E6" s="436" t="s">
        <v>249</v>
      </c>
      <c r="F6" s="436"/>
      <c r="G6" s="436"/>
      <c r="H6" s="436"/>
      <c r="I6" s="436"/>
    </row>
    <row r="7" spans="2:9">
      <c r="B7" s="494" t="s">
        <v>1005</v>
      </c>
      <c r="C7" s="436" t="s">
        <v>71</v>
      </c>
      <c r="D7" s="436" t="s">
        <v>485</v>
      </c>
      <c r="E7" s="436" t="s">
        <v>249</v>
      </c>
      <c r="F7" s="436"/>
      <c r="G7" s="436"/>
      <c r="H7" s="436"/>
      <c r="I7" s="436"/>
    </row>
    <row r="8" spans="2:9">
      <c r="B8" s="494" t="s">
        <v>1005</v>
      </c>
      <c r="C8" s="436" t="s">
        <v>237</v>
      </c>
      <c r="D8" s="436" t="s">
        <v>387</v>
      </c>
      <c r="E8" s="436" t="s">
        <v>249</v>
      </c>
      <c r="F8" s="436"/>
      <c r="G8" s="436"/>
      <c r="H8" s="436"/>
      <c r="I8" s="436"/>
    </row>
    <row r="9" spans="2:9">
      <c r="B9" s="494" t="s">
        <v>1005</v>
      </c>
      <c r="C9" s="436" t="s">
        <v>238</v>
      </c>
      <c r="D9" s="436" t="s">
        <v>754</v>
      </c>
      <c r="E9" s="436" t="s">
        <v>249</v>
      </c>
      <c r="F9" s="436"/>
      <c r="G9" s="436"/>
      <c r="H9" s="436"/>
      <c r="I9" s="436"/>
    </row>
    <row r="10" spans="2:9">
      <c r="B10" s="494" t="s">
        <v>1005</v>
      </c>
      <c r="C10" s="436" t="s">
        <v>235</v>
      </c>
      <c r="D10" s="436" t="s">
        <v>234</v>
      </c>
      <c r="E10" s="436" t="s">
        <v>249</v>
      </c>
      <c r="F10" s="436"/>
      <c r="G10" s="436"/>
      <c r="H10" s="436"/>
      <c r="I10" s="436"/>
    </row>
    <row r="11" spans="2:9">
      <c r="B11" s="494" t="s">
        <v>1005</v>
      </c>
      <c r="C11" s="436" t="s">
        <v>1131</v>
      </c>
      <c r="D11" s="436" t="s">
        <v>1096</v>
      </c>
      <c r="E11" s="436" t="s">
        <v>249</v>
      </c>
      <c r="F11" s="436"/>
      <c r="G11" s="436"/>
      <c r="H11" s="436"/>
      <c r="I11" s="436"/>
    </row>
    <row r="12" spans="2:9">
      <c r="B12" s="494" t="s">
        <v>1005</v>
      </c>
      <c r="C12" s="436" t="s">
        <v>103</v>
      </c>
      <c r="D12" s="436" t="s">
        <v>102</v>
      </c>
      <c r="E12" s="436" t="s">
        <v>249</v>
      </c>
      <c r="F12" s="436"/>
      <c r="G12" s="436"/>
      <c r="H12" s="436"/>
      <c r="I12" s="436"/>
    </row>
    <row r="13" spans="2:9">
      <c r="B13" s="494" t="s">
        <v>1005</v>
      </c>
      <c r="C13" s="436" t="s">
        <v>482</v>
      </c>
      <c r="D13" s="436" t="s">
        <v>641</v>
      </c>
      <c r="E13" s="436" t="s">
        <v>249</v>
      </c>
      <c r="F13" s="436"/>
      <c r="G13" s="436"/>
      <c r="H13" s="436"/>
      <c r="I13" s="436"/>
    </row>
    <row r="14" spans="2:9">
      <c r="B14" s="494" t="s">
        <v>1005</v>
      </c>
      <c r="C14" s="436" t="s">
        <v>215</v>
      </c>
      <c r="D14" s="436" t="s">
        <v>216</v>
      </c>
      <c r="E14" s="436" t="s">
        <v>249</v>
      </c>
      <c r="F14" s="436"/>
      <c r="G14" s="436"/>
      <c r="H14" s="436"/>
      <c r="I14" s="436"/>
    </row>
    <row r="15" spans="2:9">
      <c r="B15" s="494" t="s">
        <v>1005</v>
      </c>
      <c r="C15" s="436" t="s">
        <v>70</v>
      </c>
      <c r="D15" s="436" t="s">
        <v>640</v>
      </c>
      <c r="E15" s="436" t="s">
        <v>249</v>
      </c>
      <c r="F15" s="436"/>
      <c r="G15" s="436"/>
      <c r="H15" s="436"/>
      <c r="I15" s="436"/>
    </row>
    <row r="16" spans="2:9">
      <c r="B16" s="494" t="s">
        <v>1005</v>
      </c>
      <c r="C16" s="436" t="s">
        <v>255</v>
      </c>
      <c r="D16" s="436" t="s">
        <v>599</v>
      </c>
      <c r="E16" s="436" t="s">
        <v>249</v>
      </c>
      <c r="F16" s="436"/>
      <c r="G16" s="436"/>
      <c r="H16" s="436"/>
      <c r="I16" s="436"/>
    </row>
    <row r="17" spans="2:9">
      <c r="B17" s="494" t="s">
        <v>1005</v>
      </c>
      <c r="C17" s="436" t="s">
        <v>254</v>
      </c>
      <c r="D17" s="436" t="s">
        <v>600</v>
      </c>
      <c r="E17" s="436" t="s">
        <v>249</v>
      </c>
      <c r="F17" s="436"/>
      <c r="G17" s="436"/>
      <c r="H17" s="436"/>
      <c r="I17" s="436"/>
    </row>
    <row r="18" spans="2:9">
      <c r="B18" s="494" t="s">
        <v>1005</v>
      </c>
      <c r="C18" s="436" t="s">
        <v>94</v>
      </c>
      <c r="D18" s="436" t="s">
        <v>99</v>
      </c>
      <c r="E18" s="436" t="s">
        <v>249</v>
      </c>
      <c r="F18" s="436"/>
      <c r="G18" s="436"/>
      <c r="H18" s="436"/>
      <c r="I18" s="436"/>
    </row>
    <row r="19" spans="2:9">
      <c r="B19" s="494" t="s">
        <v>1005</v>
      </c>
      <c r="C19" s="436" t="s">
        <v>96</v>
      </c>
      <c r="D19" s="436" t="s">
        <v>100</v>
      </c>
      <c r="E19" s="436" t="s">
        <v>249</v>
      </c>
      <c r="F19" s="436"/>
      <c r="G19" s="436"/>
      <c r="H19" s="436"/>
      <c r="I19" s="436"/>
    </row>
    <row r="20" spans="2:9">
      <c r="B20" s="494" t="s">
        <v>1005</v>
      </c>
      <c r="C20" s="436" t="s">
        <v>92</v>
      </c>
      <c r="D20" s="436" t="s">
        <v>101</v>
      </c>
      <c r="E20" s="436" t="s">
        <v>249</v>
      </c>
      <c r="F20" s="436"/>
      <c r="G20" s="436"/>
      <c r="H20" s="436"/>
      <c r="I20" s="436"/>
    </row>
    <row r="21" spans="2:9">
      <c r="B21" s="494" t="s">
        <v>1005</v>
      </c>
      <c r="C21" s="436" t="s">
        <v>639</v>
      </c>
      <c r="D21" s="436" t="s">
        <v>638</v>
      </c>
      <c r="E21" s="436" t="s">
        <v>249</v>
      </c>
      <c r="F21" s="436"/>
      <c r="G21" s="436"/>
      <c r="H21" s="436"/>
      <c r="I21" s="436"/>
    </row>
    <row r="22" spans="2:9">
      <c r="B22" s="494" t="s">
        <v>1005</v>
      </c>
      <c r="C22" s="436" t="s">
        <v>253</v>
      </c>
      <c r="D22" s="436" t="s">
        <v>388</v>
      </c>
      <c r="E22" s="436" t="s">
        <v>249</v>
      </c>
      <c r="F22" s="436"/>
      <c r="G22" s="436"/>
      <c r="H22" s="436"/>
      <c r="I22" s="436"/>
    </row>
    <row r="23" spans="2:9">
      <c r="B23" s="494" t="s">
        <v>1005</v>
      </c>
      <c r="C23" s="436" t="s">
        <v>252</v>
      </c>
      <c r="D23" s="436" t="s">
        <v>755</v>
      </c>
      <c r="E23" s="436" t="s">
        <v>249</v>
      </c>
      <c r="F23" s="436"/>
      <c r="G23" s="436"/>
      <c r="H23" s="436"/>
      <c r="I23" s="436"/>
    </row>
    <row r="24" spans="2:9">
      <c r="B24" s="494" t="s">
        <v>1005</v>
      </c>
      <c r="C24" s="436" t="s">
        <v>909</v>
      </c>
      <c r="D24" s="436" t="s">
        <v>908</v>
      </c>
      <c r="E24" s="436" t="s">
        <v>249</v>
      </c>
      <c r="F24" s="436"/>
      <c r="G24" s="436"/>
      <c r="H24" s="436"/>
      <c r="I24" s="436"/>
    </row>
    <row r="25" spans="2:9">
      <c r="B25" s="494" t="s">
        <v>1005</v>
      </c>
      <c r="C25" s="436" t="s">
        <v>906</v>
      </c>
      <c r="D25" s="436" t="s">
        <v>907</v>
      </c>
      <c r="E25" s="436" t="s">
        <v>249</v>
      </c>
      <c r="F25" s="436"/>
      <c r="G25" s="436"/>
      <c r="H25" s="436"/>
      <c r="I25" s="436"/>
    </row>
    <row r="26" spans="2:9">
      <c r="B26" s="494" t="s">
        <v>1005</v>
      </c>
      <c r="C26" s="436" t="s">
        <v>44</v>
      </c>
      <c r="D26" s="436" t="s">
        <v>89</v>
      </c>
      <c r="E26" s="436" t="s">
        <v>249</v>
      </c>
      <c r="F26" s="436"/>
      <c r="G26" s="436"/>
      <c r="H26" s="436"/>
      <c r="I26" s="436"/>
    </row>
    <row r="27" spans="2:9">
      <c r="B27" s="494" t="s">
        <v>1005</v>
      </c>
      <c r="C27" s="436" t="s">
        <v>1132</v>
      </c>
      <c r="D27" s="436" t="s">
        <v>1095</v>
      </c>
      <c r="E27" s="436" t="s">
        <v>249</v>
      </c>
      <c r="F27" s="436"/>
      <c r="G27" s="436"/>
      <c r="H27" s="436"/>
      <c r="I27" s="436"/>
    </row>
    <row r="28" spans="2:9">
      <c r="B28" s="494" t="s">
        <v>1005</v>
      </c>
      <c r="C28" s="436" t="s">
        <v>303</v>
      </c>
      <c r="D28" s="436" t="s">
        <v>389</v>
      </c>
      <c r="E28" s="436" t="s">
        <v>249</v>
      </c>
      <c r="F28" s="436"/>
      <c r="G28" s="436"/>
      <c r="H28" s="436"/>
      <c r="I28" s="436"/>
    </row>
    <row r="29" spans="2:9">
      <c r="B29" s="494" t="s">
        <v>1005</v>
      </c>
      <c r="C29" s="436" t="s">
        <v>308</v>
      </c>
      <c r="D29" s="436" t="s">
        <v>756</v>
      </c>
      <c r="E29" s="436" t="s">
        <v>249</v>
      </c>
      <c r="F29" s="436"/>
      <c r="G29" s="436"/>
      <c r="H29" s="436"/>
      <c r="I29" s="436"/>
    </row>
    <row r="30" spans="2:9">
      <c r="B30" s="494" t="s">
        <v>1005</v>
      </c>
      <c r="C30" s="436" t="s">
        <v>504</v>
      </c>
      <c r="D30" s="436" t="s">
        <v>390</v>
      </c>
      <c r="E30" s="436" t="s">
        <v>249</v>
      </c>
      <c r="F30" s="436"/>
      <c r="G30" s="436"/>
      <c r="H30" s="436"/>
      <c r="I30" s="436"/>
    </row>
    <row r="31" spans="2:9">
      <c r="B31" s="494" t="s">
        <v>1005</v>
      </c>
      <c r="C31" s="436" t="s">
        <v>361</v>
      </c>
      <c r="D31" s="436" t="s">
        <v>757</v>
      </c>
      <c r="E31" s="436" t="s">
        <v>249</v>
      </c>
      <c r="F31" s="436"/>
      <c r="G31" s="436"/>
      <c r="H31" s="436"/>
      <c r="I31" s="436"/>
    </row>
    <row r="32" spans="2:9">
      <c r="B32" s="494" t="s">
        <v>1005</v>
      </c>
      <c r="C32" s="436" t="s">
        <v>637</v>
      </c>
      <c r="D32" s="436" t="s">
        <v>609</v>
      </c>
      <c r="E32" s="436" t="s">
        <v>249</v>
      </c>
      <c r="F32" s="436"/>
      <c r="G32" s="436"/>
      <c r="H32" s="436"/>
      <c r="I32" s="436"/>
    </row>
    <row r="33" spans="2:9">
      <c r="B33" s="494" t="s">
        <v>1005</v>
      </c>
      <c r="C33" s="436" t="s">
        <v>91</v>
      </c>
      <c r="D33" s="436" t="s">
        <v>98</v>
      </c>
      <c r="E33" s="436" t="s">
        <v>249</v>
      </c>
      <c r="F33" s="436"/>
      <c r="G33" s="436"/>
      <c r="H33" s="436"/>
      <c r="I33" s="436"/>
    </row>
    <row r="34" spans="2:9">
      <c r="B34" s="494" t="s">
        <v>1005</v>
      </c>
      <c r="C34" s="436" t="s">
        <v>1128</v>
      </c>
      <c r="D34" s="436" t="s">
        <v>388</v>
      </c>
      <c r="E34" s="436" t="s">
        <v>249</v>
      </c>
      <c r="F34" s="436"/>
      <c r="G34" s="436"/>
      <c r="H34" s="436"/>
      <c r="I34" s="436"/>
    </row>
    <row r="35" spans="2:9">
      <c r="B35" s="494" t="s">
        <v>1005</v>
      </c>
      <c r="C35" s="436" t="s">
        <v>1129</v>
      </c>
      <c r="D35" s="436" t="s">
        <v>755</v>
      </c>
      <c r="E35" s="436" t="s">
        <v>249</v>
      </c>
      <c r="F35" s="436"/>
      <c r="G35" s="436"/>
      <c r="H35" s="436"/>
      <c r="I35" s="436"/>
    </row>
    <row r="36" spans="2:9">
      <c r="B36" s="494" t="s">
        <v>1005</v>
      </c>
      <c r="C36" s="436" t="s">
        <v>1130</v>
      </c>
      <c r="D36" s="436" t="s">
        <v>387</v>
      </c>
      <c r="E36" s="436" t="s">
        <v>249</v>
      </c>
      <c r="F36" s="436"/>
      <c r="G36" s="436"/>
      <c r="H36" s="436"/>
      <c r="I36" s="436"/>
    </row>
    <row r="37" spans="2:9">
      <c r="B37" s="495" t="s">
        <v>744</v>
      </c>
      <c r="C37" s="12" t="s">
        <v>432</v>
      </c>
      <c r="D37" s="12" t="s">
        <v>199</v>
      </c>
      <c r="E37" s="12" t="s">
        <v>249</v>
      </c>
      <c r="F37" s="12"/>
      <c r="G37" s="12" t="s">
        <v>277</v>
      </c>
      <c r="H37" s="12"/>
      <c r="I37" s="12" t="s">
        <v>106</v>
      </c>
    </row>
    <row r="38" spans="2:9">
      <c r="B38" s="495" t="s">
        <v>744</v>
      </c>
      <c r="C38" s="12" t="s">
        <v>445</v>
      </c>
      <c r="D38" s="12" t="s">
        <v>175</v>
      </c>
      <c r="E38" s="12" t="s">
        <v>249</v>
      </c>
      <c r="F38" s="12"/>
      <c r="G38" s="12" t="s">
        <v>277</v>
      </c>
      <c r="H38" s="12"/>
      <c r="I38" s="12" t="s">
        <v>106</v>
      </c>
    </row>
    <row r="39" spans="2:9">
      <c r="B39" s="495" t="s">
        <v>744</v>
      </c>
      <c r="C39" s="12" t="s">
        <v>420</v>
      </c>
      <c r="D39" s="12" t="s">
        <v>42</v>
      </c>
      <c r="E39" s="12" t="s">
        <v>249</v>
      </c>
      <c r="F39" s="12"/>
      <c r="G39" s="12" t="s">
        <v>277</v>
      </c>
      <c r="H39" s="12"/>
      <c r="I39" s="12" t="s">
        <v>106</v>
      </c>
    </row>
    <row r="40" spans="2:9">
      <c r="B40" s="495" t="s">
        <v>744</v>
      </c>
      <c r="C40" s="12" t="s">
        <v>1257</v>
      </c>
      <c r="D40" s="12" t="s">
        <v>1258</v>
      </c>
      <c r="E40" s="12" t="s">
        <v>249</v>
      </c>
      <c r="F40" s="12"/>
      <c r="G40" s="12" t="s">
        <v>812</v>
      </c>
      <c r="H40" s="12"/>
      <c r="I40" s="12" t="s">
        <v>106</v>
      </c>
    </row>
    <row r="41" spans="2:9">
      <c r="B41" s="495" t="s">
        <v>744</v>
      </c>
      <c r="C41" s="12" t="s">
        <v>831</v>
      </c>
      <c r="D41" s="12" t="s">
        <v>845</v>
      </c>
      <c r="E41" s="12" t="s">
        <v>249</v>
      </c>
      <c r="F41" s="12" t="s">
        <v>924</v>
      </c>
      <c r="G41" s="12" t="s">
        <v>812</v>
      </c>
      <c r="H41" s="12"/>
      <c r="I41" s="12" t="s">
        <v>106</v>
      </c>
    </row>
    <row r="42" spans="2:9">
      <c r="B42" s="495" t="s">
        <v>744</v>
      </c>
      <c r="C42" s="12" t="s">
        <v>832</v>
      </c>
      <c r="D42" s="12" t="s">
        <v>846</v>
      </c>
      <c r="E42" s="12" t="s">
        <v>249</v>
      </c>
      <c r="F42" s="12" t="s">
        <v>924</v>
      </c>
      <c r="G42" s="12" t="s">
        <v>812</v>
      </c>
      <c r="H42" s="12"/>
      <c r="I42" s="12" t="s">
        <v>106</v>
      </c>
    </row>
    <row r="43" spans="2:9">
      <c r="B43" s="495" t="s">
        <v>744</v>
      </c>
      <c r="C43" s="12" t="s">
        <v>833</v>
      </c>
      <c r="D43" s="12" t="s">
        <v>847</v>
      </c>
      <c r="E43" s="12" t="s">
        <v>249</v>
      </c>
      <c r="F43" s="12" t="s">
        <v>924</v>
      </c>
      <c r="G43" s="12" t="s">
        <v>812</v>
      </c>
      <c r="H43" s="12"/>
      <c r="I43" s="12" t="s">
        <v>106</v>
      </c>
    </row>
    <row r="44" spans="2:9">
      <c r="B44" s="495" t="s">
        <v>744</v>
      </c>
      <c r="C44" s="12" t="s">
        <v>834</v>
      </c>
      <c r="D44" s="12" t="s">
        <v>848</v>
      </c>
      <c r="E44" s="12" t="s">
        <v>249</v>
      </c>
      <c r="F44" s="12" t="s">
        <v>924</v>
      </c>
      <c r="G44" s="12" t="s">
        <v>812</v>
      </c>
      <c r="H44" s="12"/>
      <c r="I44" s="12" t="s">
        <v>106</v>
      </c>
    </row>
    <row r="45" spans="2:9">
      <c r="B45" s="495" t="s">
        <v>744</v>
      </c>
      <c r="C45" s="12" t="s">
        <v>835</v>
      </c>
      <c r="D45" s="12" t="s">
        <v>849</v>
      </c>
      <c r="E45" s="12" t="s">
        <v>249</v>
      </c>
      <c r="F45" s="12" t="s">
        <v>924</v>
      </c>
      <c r="G45" s="12" t="s">
        <v>812</v>
      </c>
      <c r="H45" s="12"/>
      <c r="I45" s="12" t="s">
        <v>106</v>
      </c>
    </row>
    <row r="46" spans="2:9">
      <c r="B46" s="495" t="s">
        <v>744</v>
      </c>
      <c r="C46" s="12" t="s">
        <v>836</v>
      </c>
      <c r="D46" s="12" t="s">
        <v>850</v>
      </c>
      <c r="E46" s="12" t="s">
        <v>249</v>
      </c>
      <c r="F46" s="12" t="s">
        <v>924</v>
      </c>
      <c r="G46" s="12" t="s">
        <v>812</v>
      </c>
      <c r="H46" s="12"/>
      <c r="I46" s="12" t="s">
        <v>106</v>
      </c>
    </row>
    <row r="47" spans="2:9">
      <c r="B47" s="495" t="s">
        <v>744</v>
      </c>
      <c r="C47" s="12" t="s">
        <v>837</v>
      </c>
      <c r="D47" s="12" t="s">
        <v>851</v>
      </c>
      <c r="E47" s="12" t="s">
        <v>249</v>
      </c>
      <c r="F47" s="12" t="s">
        <v>924</v>
      </c>
      <c r="G47" s="12" t="s">
        <v>812</v>
      </c>
      <c r="H47" s="12"/>
      <c r="I47" s="12" t="s">
        <v>106</v>
      </c>
    </row>
    <row r="48" spans="2:9">
      <c r="B48" s="495" t="s">
        <v>744</v>
      </c>
      <c r="C48" s="12" t="s">
        <v>838</v>
      </c>
      <c r="D48" s="12" t="s">
        <v>852</v>
      </c>
      <c r="E48" s="12" t="s">
        <v>249</v>
      </c>
      <c r="F48" s="12" t="s">
        <v>924</v>
      </c>
      <c r="G48" s="12" t="s">
        <v>812</v>
      </c>
      <c r="H48" s="12"/>
      <c r="I48" s="12" t="s">
        <v>106</v>
      </c>
    </row>
    <row r="49" spans="2:9">
      <c r="B49" s="495" t="s">
        <v>744</v>
      </c>
      <c r="C49" s="12" t="s">
        <v>839</v>
      </c>
      <c r="D49" s="12" t="s">
        <v>853</v>
      </c>
      <c r="E49" s="12" t="s">
        <v>249</v>
      </c>
      <c r="F49" s="12"/>
      <c r="G49" s="12" t="s">
        <v>812</v>
      </c>
      <c r="H49" s="12"/>
      <c r="I49" s="12" t="s">
        <v>106</v>
      </c>
    </row>
    <row r="50" spans="2:9">
      <c r="B50" s="495" t="s">
        <v>744</v>
      </c>
      <c r="C50" s="12" t="s">
        <v>926</v>
      </c>
      <c r="D50" s="12" t="s">
        <v>955</v>
      </c>
      <c r="E50" s="12" t="s">
        <v>249</v>
      </c>
      <c r="F50" s="12"/>
      <c r="G50" s="12" t="s">
        <v>812</v>
      </c>
      <c r="H50" s="12"/>
      <c r="I50" s="12" t="s">
        <v>106</v>
      </c>
    </row>
    <row r="51" spans="2:9">
      <c r="B51" s="495" t="s">
        <v>744</v>
      </c>
      <c r="C51" s="12" t="s">
        <v>840</v>
      </c>
      <c r="D51" s="12" t="s">
        <v>854</v>
      </c>
      <c r="E51" s="12" t="s">
        <v>249</v>
      </c>
      <c r="F51" s="12"/>
      <c r="G51" s="12" t="s">
        <v>812</v>
      </c>
      <c r="H51" s="12"/>
      <c r="I51" s="12" t="s">
        <v>106</v>
      </c>
    </row>
    <row r="52" spans="2:9">
      <c r="B52" s="495" t="s">
        <v>744</v>
      </c>
      <c r="C52" s="12" t="s">
        <v>951</v>
      </c>
      <c r="D52" s="12" t="s">
        <v>954</v>
      </c>
      <c r="E52" s="12" t="s">
        <v>249</v>
      </c>
      <c r="F52" s="12"/>
      <c r="G52" s="12" t="s">
        <v>812</v>
      </c>
      <c r="H52" s="12"/>
      <c r="I52" s="12" t="s">
        <v>106</v>
      </c>
    </row>
    <row r="53" spans="2:9">
      <c r="B53" s="495" t="s">
        <v>744</v>
      </c>
      <c r="C53" s="12" t="s">
        <v>841</v>
      </c>
      <c r="D53" s="12" t="s">
        <v>855</v>
      </c>
      <c r="E53" s="12" t="s">
        <v>249</v>
      </c>
      <c r="F53" s="12"/>
      <c r="G53" s="12" t="s">
        <v>812</v>
      </c>
      <c r="H53" s="12"/>
      <c r="I53" s="12" t="s">
        <v>106</v>
      </c>
    </row>
    <row r="54" spans="2:9">
      <c r="B54" s="495" t="s">
        <v>744</v>
      </c>
      <c r="C54" s="12" t="s">
        <v>952</v>
      </c>
      <c r="D54" s="12" t="s">
        <v>953</v>
      </c>
      <c r="E54" s="12" t="s">
        <v>249</v>
      </c>
      <c r="F54" s="12"/>
      <c r="G54" s="12" t="s">
        <v>812</v>
      </c>
      <c r="H54" s="12"/>
      <c r="I54" s="12" t="s">
        <v>106</v>
      </c>
    </row>
    <row r="55" spans="2:9">
      <c r="B55" s="495" t="s">
        <v>744</v>
      </c>
      <c r="C55" s="12" t="s">
        <v>842</v>
      </c>
      <c r="D55" s="12" t="s">
        <v>856</v>
      </c>
      <c r="E55" s="12" t="s">
        <v>249</v>
      </c>
      <c r="F55" s="12"/>
      <c r="G55" s="12" t="s">
        <v>812</v>
      </c>
      <c r="H55" s="12"/>
      <c r="I55" s="12" t="s">
        <v>106</v>
      </c>
    </row>
    <row r="56" spans="2:9">
      <c r="B56" s="495" t="s">
        <v>744</v>
      </c>
      <c r="C56" s="12" t="s">
        <v>843</v>
      </c>
      <c r="D56" s="12" t="s">
        <v>857</v>
      </c>
      <c r="E56" s="12" t="s">
        <v>249</v>
      </c>
      <c r="F56" s="12"/>
      <c r="G56" s="12" t="s">
        <v>812</v>
      </c>
      <c r="H56" s="12"/>
      <c r="I56" s="12" t="s">
        <v>106</v>
      </c>
    </row>
    <row r="57" spans="2:9">
      <c r="B57" s="495" t="s">
        <v>744</v>
      </c>
      <c r="C57" s="12" t="s">
        <v>844</v>
      </c>
      <c r="D57" s="12" t="s">
        <v>858</v>
      </c>
      <c r="E57" s="12" t="s">
        <v>249</v>
      </c>
      <c r="F57" s="12"/>
      <c r="G57" s="12" t="s">
        <v>812</v>
      </c>
      <c r="H57" s="12"/>
      <c r="I57" s="12" t="s">
        <v>106</v>
      </c>
    </row>
    <row r="58" spans="2:9">
      <c r="B58" s="492" t="s">
        <v>744</v>
      </c>
      <c r="C58" s="293" t="s">
        <v>1231</v>
      </c>
      <c r="D58" s="293" t="s">
        <v>1229</v>
      </c>
      <c r="E58" s="293" t="s">
        <v>249</v>
      </c>
      <c r="F58" s="293"/>
      <c r="G58" s="293"/>
      <c r="H58" s="293"/>
      <c r="I58" s="293"/>
    </row>
    <row r="59" spans="2:9">
      <c r="B59" s="492" t="s">
        <v>744</v>
      </c>
      <c r="C59" s="293" t="s">
        <v>431</v>
      </c>
      <c r="D59" s="293" t="s">
        <v>193</v>
      </c>
      <c r="E59" s="293" t="s">
        <v>249</v>
      </c>
      <c r="F59" s="293"/>
      <c r="G59" s="293"/>
      <c r="H59" s="293"/>
      <c r="I59" s="293"/>
    </row>
    <row r="60" spans="2:9">
      <c r="B60" s="492" t="s">
        <v>744</v>
      </c>
      <c r="C60" s="293" t="s">
        <v>1046</v>
      </c>
      <c r="D60" s="293" t="s">
        <v>1047</v>
      </c>
      <c r="E60" s="293" t="s">
        <v>249</v>
      </c>
      <c r="F60" s="293"/>
      <c r="G60" s="293"/>
      <c r="H60" s="293"/>
      <c r="I60" s="293"/>
    </row>
    <row r="61" spans="2:9">
      <c r="B61" s="492" t="s">
        <v>744</v>
      </c>
      <c r="C61" s="293" t="s">
        <v>1018</v>
      </c>
      <c r="D61" s="293" t="s">
        <v>189</v>
      </c>
      <c r="E61" s="293" t="s">
        <v>249</v>
      </c>
      <c r="F61" s="293"/>
      <c r="G61" s="293"/>
      <c r="H61" s="293"/>
      <c r="I61" s="293"/>
    </row>
    <row r="62" spans="2:9">
      <c r="B62" s="492" t="s">
        <v>744</v>
      </c>
      <c r="C62" s="293" t="s">
        <v>428</v>
      </c>
      <c r="D62" s="293" t="s">
        <v>134</v>
      </c>
      <c r="E62" s="293" t="s">
        <v>249</v>
      </c>
      <c r="F62" s="293"/>
      <c r="G62" s="293"/>
      <c r="H62" s="293"/>
      <c r="I62" s="293"/>
    </row>
    <row r="63" spans="2:9">
      <c r="B63" s="492" t="s">
        <v>744</v>
      </c>
      <c r="C63" s="293" t="s">
        <v>150</v>
      </c>
      <c r="D63" s="293" t="s">
        <v>195</v>
      </c>
      <c r="E63" s="293" t="s">
        <v>249</v>
      </c>
      <c r="F63" s="293"/>
      <c r="G63" s="293"/>
      <c r="H63" s="293"/>
      <c r="I63" s="293"/>
    </row>
    <row r="64" spans="2:9">
      <c r="B64" s="492" t="s">
        <v>744</v>
      </c>
      <c r="C64" s="293" t="s">
        <v>137</v>
      </c>
      <c r="D64" s="293" t="s">
        <v>136</v>
      </c>
      <c r="E64" s="293" t="s">
        <v>249</v>
      </c>
      <c r="F64" s="293"/>
      <c r="G64" s="293"/>
      <c r="H64" s="293"/>
      <c r="I64" s="293"/>
    </row>
    <row r="65" spans="2:9">
      <c r="B65" s="492" t="s">
        <v>744</v>
      </c>
      <c r="C65" s="293" t="s">
        <v>583</v>
      </c>
      <c r="D65" s="293" t="s">
        <v>186</v>
      </c>
      <c r="E65" s="293" t="s">
        <v>249</v>
      </c>
      <c r="F65" s="293"/>
      <c r="G65" s="293"/>
      <c r="H65" s="293"/>
      <c r="I65" s="293"/>
    </row>
    <row r="66" spans="2:9">
      <c r="B66" s="492" t="s">
        <v>744</v>
      </c>
      <c r="C66" s="293" t="s">
        <v>584</v>
      </c>
      <c r="D66" s="293" t="s">
        <v>188</v>
      </c>
      <c r="E66" s="293" t="s">
        <v>249</v>
      </c>
      <c r="F66" s="293"/>
      <c r="G66" s="293"/>
      <c r="H66" s="293"/>
      <c r="I66" s="293"/>
    </row>
    <row r="67" spans="2:9">
      <c r="B67" s="492" t="s">
        <v>744</v>
      </c>
      <c r="C67" s="293" t="s">
        <v>430</v>
      </c>
      <c r="D67" s="293" t="s">
        <v>191</v>
      </c>
      <c r="E67" s="293" t="s">
        <v>249</v>
      </c>
      <c r="F67" s="293"/>
      <c r="G67" s="293"/>
      <c r="H67" s="293"/>
      <c r="I67" s="293"/>
    </row>
    <row r="68" spans="2:9">
      <c r="B68" s="492" t="s">
        <v>744</v>
      </c>
      <c r="C68" s="293" t="s">
        <v>427</v>
      </c>
      <c r="D68" s="293" t="s">
        <v>126</v>
      </c>
      <c r="E68" s="293" t="s">
        <v>249</v>
      </c>
      <c r="F68" s="293"/>
      <c r="G68" s="293"/>
      <c r="H68" s="293"/>
      <c r="I68" s="293"/>
    </row>
    <row r="69" spans="2:9">
      <c r="B69" s="492" t="s">
        <v>744</v>
      </c>
      <c r="C69" s="293" t="s">
        <v>151</v>
      </c>
      <c r="D69" s="293" t="s">
        <v>197</v>
      </c>
      <c r="E69" s="293" t="s">
        <v>249</v>
      </c>
      <c r="F69" s="293"/>
      <c r="G69" s="293"/>
      <c r="H69" s="293"/>
      <c r="I69" s="293"/>
    </row>
    <row r="70" spans="2:9">
      <c r="B70" s="492" t="s">
        <v>744</v>
      </c>
      <c r="C70" s="293" t="s">
        <v>1250</v>
      </c>
      <c r="D70" s="293" t="s">
        <v>1251</v>
      </c>
      <c r="E70" s="293" t="s">
        <v>249</v>
      </c>
      <c r="F70" s="293"/>
      <c r="G70" s="293"/>
      <c r="H70" s="293"/>
      <c r="I70" s="293"/>
    </row>
    <row r="71" spans="2:9">
      <c r="B71" s="492" t="s">
        <v>744</v>
      </c>
      <c r="C71" s="293" t="s">
        <v>444</v>
      </c>
      <c r="D71" s="293" t="s">
        <v>169</v>
      </c>
      <c r="E71" s="293" t="s">
        <v>249</v>
      </c>
      <c r="F71" s="293"/>
      <c r="G71" s="293"/>
      <c r="H71" s="293"/>
      <c r="I71" s="293"/>
    </row>
    <row r="72" spans="2:9">
      <c r="B72" s="492" t="s">
        <v>744</v>
      </c>
      <c r="C72" s="293" t="s">
        <v>1243</v>
      </c>
      <c r="D72" s="293" t="s">
        <v>1247</v>
      </c>
      <c r="E72" s="293" t="s">
        <v>249</v>
      </c>
      <c r="F72" s="293"/>
      <c r="G72" s="293"/>
      <c r="H72" s="293"/>
      <c r="I72" s="293"/>
    </row>
    <row r="73" spans="2:9">
      <c r="B73" s="492" t="s">
        <v>744</v>
      </c>
      <c r="C73" s="293" t="s">
        <v>932</v>
      </c>
      <c r="D73" s="293" t="s">
        <v>933</v>
      </c>
      <c r="E73" s="293" t="s">
        <v>249</v>
      </c>
      <c r="F73" s="293"/>
      <c r="G73" s="293"/>
      <c r="H73" s="293"/>
      <c r="I73" s="293"/>
    </row>
    <row r="74" spans="2:9">
      <c r="B74" s="492" t="s">
        <v>744</v>
      </c>
      <c r="C74" s="293" t="s">
        <v>1017</v>
      </c>
      <c r="D74" s="293" t="s">
        <v>165</v>
      </c>
      <c r="E74" s="293" t="s">
        <v>249</v>
      </c>
      <c r="F74" s="293"/>
      <c r="G74" s="293"/>
      <c r="H74" s="293"/>
      <c r="I74" s="293"/>
    </row>
    <row r="75" spans="2:9">
      <c r="B75" s="492" t="s">
        <v>744</v>
      </c>
      <c r="C75" s="293" t="s">
        <v>423</v>
      </c>
      <c r="D75" s="293" t="s">
        <v>160</v>
      </c>
      <c r="E75" s="293" t="s">
        <v>249</v>
      </c>
      <c r="F75" s="293"/>
      <c r="G75" s="293"/>
      <c r="H75" s="293"/>
      <c r="I75" s="293"/>
    </row>
    <row r="76" spans="2:9">
      <c r="B76" s="492" t="s">
        <v>744</v>
      </c>
      <c r="C76" s="293" t="s">
        <v>148</v>
      </c>
      <c r="D76" s="293" t="s">
        <v>171</v>
      </c>
      <c r="E76" s="293" t="s">
        <v>249</v>
      </c>
      <c r="F76" s="293"/>
      <c r="G76" s="293"/>
      <c r="H76" s="293"/>
      <c r="I76" s="293"/>
    </row>
    <row r="77" spans="2:9">
      <c r="B77" s="492" t="s">
        <v>744</v>
      </c>
      <c r="C77" s="293" t="s">
        <v>596</v>
      </c>
      <c r="D77" s="293" t="s">
        <v>162</v>
      </c>
      <c r="E77" s="293" t="s">
        <v>249</v>
      </c>
      <c r="F77" s="293"/>
      <c r="G77" s="293"/>
      <c r="H77" s="293"/>
      <c r="I77" s="293"/>
    </row>
    <row r="78" spans="2:9">
      <c r="B78" s="492" t="s">
        <v>744</v>
      </c>
      <c r="C78" s="293" t="s">
        <v>597</v>
      </c>
      <c r="D78" s="293" t="s">
        <v>164</v>
      </c>
      <c r="E78" s="293" t="s">
        <v>249</v>
      </c>
      <c r="F78" s="293"/>
      <c r="G78" s="293"/>
      <c r="H78" s="293"/>
      <c r="I78" s="293"/>
    </row>
    <row r="79" spans="2:9">
      <c r="B79" s="492" t="s">
        <v>744</v>
      </c>
      <c r="C79" s="293" t="s">
        <v>443</v>
      </c>
      <c r="D79" s="293" t="s">
        <v>167</v>
      </c>
      <c r="E79" s="293" t="s">
        <v>249</v>
      </c>
      <c r="F79" s="293"/>
      <c r="G79" s="293"/>
      <c r="H79" s="293"/>
      <c r="I79" s="293"/>
    </row>
    <row r="80" spans="2:9">
      <c r="B80" s="492" t="s">
        <v>744</v>
      </c>
      <c r="C80" s="293" t="s">
        <v>422</v>
      </c>
      <c r="D80" s="293" t="s">
        <v>158</v>
      </c>
      <c r="E80" s="293" t="s">
        <v>249</v>
      </c>
      <c r="F80" s="293"/>
      <c r="G80" s="293"/>
      <c r="H80" s="293"/>
      <c r="I80" s="293"/>
    </row>
    <row r="81" spans="2:9">
      <c r="B81" s="492" t="s">
        <v>744</v>
      </c>
      <c r="C81" s="293" t="s">
        <v>149</v>
      </c>
      <c r="D81" s="293" t="s">
        <v>173</v>
      </c>
      <c r="E81" s="293" t="s">
        <v>249</v>
      </c>
      <c r="F81" s="293"/>
      <c r="G81" s="293"/>
      <c r="H81" s="293"/>
      <c r="I81" s="293"/>
    </row>
    <row r="82" spans="2:9">
      <c r="B82" s="492" t="s">
        <v>744</v>
      </c>
      <c r="C82" s="293" t="s">
        <v>1228</v>
      </c>
      <c r="D82" s="293" t="s">
        <v>1229</v>
      </c>
      <c r="E82" s="293" t="s">
        <v>249</v>
      </c>
      <c r="F82" s="293"/>
      <c r="G82" s="293"/>
      <c r="H82" s="293"/>
      <c r="I82" s="293"/>
    </row>
    <row r="83" spans="2:9">
      <c r="B83" s="492" t="s">
        <v>744</v>
      </c>
      <c r="C83" s="293" t="s">
        <v>1239</v>
      </c>
      <c r="D83" s="293" t="s">
        <v>1246</v>
      </c>
      <c r="E83" s="293" t="s">
        <v>249</v>
      </c>
      <c r="F83" s="293"/>
      <c r="G83" s="293"/>
      <c r="H83" s="293"/>
      <c r="I83" s="293"/>
    </row>
    <row r="84" spans="2:9">
      <c r="B84" s="492" t="s">
        <v>744</v>
      </c>
      <c r="C84" s="293" t="s">
        <v>419</v>
      </c>
      <c r="D84" s="293" t="s">
        <v>449</v>
      </c>
      <c r="E84" s="293" t="s">
        <v>249</v>
      </c>
      <c r="F84" s="293"/>
      <c r="G84" s="293"/>
      <c r="H84" s="293"/>
      <c r="I84" s="293"/>
    </row>
    <row r="85" spans="2:9">
      <c r="B85" s="492" t="s">
        <v>744</v>
      </c>
      <c r="C85" s="293" t="s">
        <v>931</v>
      </c>
      <c r="D85" s="293" t="s">
        <v>934</v>
      </c>
      <c r="E85" s="293" t="s">
        <v>249</v>
      </c>
      <c r="F85" s="293"/>
      <c r="G85" s="293"/>
      <c r="H85" s="293"/>
      <c r="I85" s="293"/>
    </row>
    <row r="86" spans="2:9">
      <c r="B86" s="492" t="s">
        <v>744</v>
      </c>
      <c r="C86" s="293" t="s">
        <v>1016</v>
      </c>
      <c r="D86" s="293" t="s">
        <v>209</v>
      </c>
      <c r="E86" s="293" t="s">
        <v>249</v>
      </c>
      <c r="F86" s="293"/>
      <c r="G86" s="293"/>
      <c r="H86" s="293"/>
      <c r="I86" s="293"/>
    </row>
    <row r="87" spans="2:9">
      <c r="B87" s="492" t="s">
        <v>744</v>
      </c>
      <c r="C87" s="293" t="s">
        <v>416</v>
      </c>
      <c r="D87" s="293" t="s">
        <v>204</v>
      </c>
      <c r="E87" s="293" t="s">
        <v>249</v>
      </c>
      <c r="F87" s="293"/>
      <c r="G87" s="293"/>
      <c r="H87" s="293"/>
      <c r="I87" s="293"/>
    </row>
    <row r="88" spans="2:9">
      <c r="B88" s="492" t="s">
        <v>744</v>
      </c>
      <c r="C88" s="293" t="s">
        <v>581</v>
      </c>
      <c r="D88" s="293" t="s">
        <v>451</v>
      </c>
      <c r="E88" s="293" t="s">
        <v>249</v>
      </c>
      <c r="F88" s="293"/>
      <c r="G88" s="293"/>
      <c r="H88" s="293"/>
      <c r="I88" s="293"/>
    </row>
    <row r="89" spans="2:9">
      <c r="B89" s="492" t="s">
        <v>744</v>
      </c>
      <c r="C89" s="293" t="s">
        <v>575</v>
      </c>
      <c r="D89" s="293" t="s">
        <v>206</v>
      </c>
      <c r="E89" s="293" t="s">
        <v>249</v>
      </c>
      <c r="F89" s="293"/>
      <c r="G89" s="293"/>
      <c r="H89" s="293"/>
      <c r="I89" s="293"/>
    </row>
    <row r="90" spans="2:9">
      <c r="B90" s="492" t="s">
        <v>744</v>
      </c>
      <c r="C90" s="293" t="s">
        <v>577</v>
      </c>
      <c r="D90" s="293" t="s">
        <v>208</v>
      </c>
      <c r="E90" s="293" t="s">
        <v>249</v>
      </c>
      <c r="F90" s="293"/>
      <c r="G90" s="293"/>
      <c r="H90" s="293"/>
      <c r="I90" s="293"/>
    </row>
    <row r="91" spans="2:9">
      <c r="B91" s="492" t="s">
        <v>744</v>
      </c>
      <c r="C91" s="293" t="s">
        <v>418</v>
      </c>
      <c r="D91" s="293" t="s">
        <v>211</v>
      </c>
      <c r="E91" s="293" t="s">
        <v>249</v>
      </c>
      <c r="F91" s="293"/>
      <c r="G91" s="293"/>
      <c r="H91" s="293"/>
      <c r="I91" s="293"/>
    </row>
    <row r="92" spans="2:9">
      <c r="B92" s="492" t="s">
        <v>744</v>
      </c>
      <c r="C92" s="293" t="s">
        <v>415</v>
      </c>
      <c r="D92" s="293" t="s">
        <v>202</v>
      </c>
      <c r="E92" s="293" t="s">
        <v>249</v>
      </c>
      <c r="F92" s="293"/>
      <c r="G92" s="293"/>
      <c r="H92" s="293"/>
      <c r="I92" s="293"/>
    </row>
    <row r="93" spans="2:9">
      <c r="B93" s="492" t="s">
        <v>744</v>
      </c>
      <c r="C93" s="293" t="s">
        <v>582</v>
      </c>
      <c r="D93" s="293" t="s">
        <v>453</v>
      </c>
      <c r="E93" s="293" t="s">
        <v>249</v>
      </c>
      <c r="F93" s="293"/>
      <c r="G93" s="293"/>
      <c r="H93" s="293"/>
      <c r="I93" s="293"/>
    </row>
    <row r="94" spans="2:9">
      <c r="B94" s="495" t="s">
        <v>744</v>
      </c>
      <c r="C94" s="12" t="s">
        <v>433</v>
      </c>
      <c r="D94" s="12" t="s">
        <v>201</v>
      </c>
      <c r="E94" s="12" t="s">
        <v>249</v>
      </c>
      <c r="F94" s="12"/>
      <c r="G94" s="36" t="s">
        <v>812</v>
      </c>
      <c r="H94" s="36"/>
      <c r="I94" s="36" t="s">
        <v>278</v>
      </c>
    </row>
    <row r="95" spans="2:9">
      <c r="B95" s="495" t="s">
        <v>744</v>
      </c>
      <c r="C95" s="12" t="s">
        <v>446</v>
      </c>
      <c r="D95" s="12" t="s">
        <v>177</v>
      </c>
      <c r="E95" s="12" t="s">
        <v>249</v>
      </c>
      <c r="F95" s="12"/>
      <c r="G95" s="36" t="s">
        <v>812</v>
      </c>
      <c r="H95" s="36"/>
      <c r="I95" s="36" t="s">
        <v>278</v>
      </c>
    </row>
    <row r="96" spans="2:9">
      <c r="B96" s="495" t="s">
        <v>744</v>
      </c>
      <c r="C96" s="12" t="s">
        <v>867</v>
      </c>
      <c r="D96" s="12" t="s">
        <v>862</v>
      </c>
      <c r="E96" s="12" t="s">
        <v>249</v>
      </c>
      <c r="F96" s="43" t="s">
        <v>924</v>
      </c>
      <c r="G96" s="36" t="s">
        <v>812</v>
      </c>
      <c r="H96" s="36"/>
      <c r="I96" s="36" t="s">
        <v>278</v>
      </c>
    </row>
    <row r="97" spans="2:9">
      <c r="B97" s="495" t="s">
        <v>744</v>
      </c>
      <c r="C97" s="12" t="s">
        <v>421</v>
      </c>
      <c r="D97" s="12" t="s">
        <v>157</v>
      </c>
      <c r="E97" s="12" t="s">
        <v>249</v>
      </c>
      <c r="F97" s="12"/>
      <c r="G97" s="36" t="s">
        <v>812</v>
      </c>
      <c r="H97" s="36"/>
      <c r="I97" s="36" t="s">
        <v>278</v>
      </c>
    </row>
    <row r="98" spans="2:9">
      <c r="B98" s="495" t="s">
        <v>744</v>
      </c>
      <c r="C98" s="12" t="s">
        <v>808</v>
      </c>
      <c r="D98" s="12" t="s">
        <v>811</v>
      </c>
      <c r="E98" s="12" t="s">
        <v>249</v>
      </c>
      <c r="F98" s="12"/>
      <c r="G98" s="36" t="s">
        <v>812</v>
      </c>
      <c r="H98" s="36"/>
      <c r="I98" s="36" t="s">
        <v>278</v>
      </c>
    </row>
    <row r="99" spans="2:9">
      <c r="B99" s="495" t="s">
        <v>744</v>
      </c>
      <c r="C99" s="12" t="s">
        <v>1062</v>
      </c>
      <c r="D99" s="12" t="s">
        <v>1099</v>
      </c>
      <c r="E99" s="12" t="s">
        <v>249</v>
      </c>
      <c r="F99" s="12"/>
      <c r="G99" s="36"/>
      <c r="H99" s="36"/>
      <c r="I99" s="36"/>
    </row>
    <row r="100" spans="2:9">
      <c r="B100" s="495" t="s">
        <v>744</v>
      </c>
      <c r="C100" s="12" t="s">
        <v>1076</v>
      </c>
      <c r="D100" s="12" t="s">
        <v>1099</v>
      </c>
      <c r="E100" s="12" t="s">
        <v>249</v>
      </c>
      <c r="F100" s="12"/>
      <c r="G100" s="36"/>
      <c r="H100" s="36"/>
      <c r="I100" s="36"/>
    </row>
    <row r="101" spans="2:9">
      <c r="B101" s="495" t="s">
        <v>744</v>
      </c>
      <c r="C101" s="12" t="s">
        <v>1159</v>
      </c>
      <c r="D101" s="12" t="s">
        <v>1100</v>
      </c>
      <c r="E101" s="12" t="s">
        <v>249</v>
      </c>
      <c r="F101" s="12"/>
      <c r="G101" s="36"/>
      <c r="H101" s="36"/>
      <c r="I101" s="36"/>
    </row>
    <row r="102" spans="2:9">
      <c r="B102" s="495" t="s">
        <v>744</v>
      </c>
      <c r="C102" s="12" t="s">
        <v>1115</v>
      </c>
      <c r="D102" s="12" t="s">
        <v>1118</v>
      </c>
      <c r="E102" s="12" t="s">
        <v>249</v>
      </c>
      <c r="F102" s="12"/>
      <c r="G102" s="36"/>
      <c r="H102" s="36"/>
      <c r="I102" s="36"/>
    </row>
    <row r="103" spans="2:9">
      <c r="B103" s="495" t="s">
        <v>744</v>
      </c>
      <c r="C103" s="12" t="s">
        <v>1116</v>
      </c>
      <c r="D103" s="12" t="s">
        <v>1118</v>
      </c>
      <c r="E103" s="12" t="s">
        <v>249</v>
      </c>
      <c r="F103" s="12"/>
      <c r="G103" s="36"/>
      <c r="H103" s="36"/>
      <c r="I103" s="36"/>
    </row>
    <row r="104" spans="2:9">
      <c r="B104" s="495" t="s">
        <v>744</v>
      </c>
      <c r="C104" s="12" t="s">
        <v>1117</v>
      </c>
      <c r="D104" s="12" t="s">
        <v>1119</v>
      </c>
      <c r="E104" s="12" t="s">
        <v>249</v>
      </c>
      <c r="F104" s="12"/>
      <c r="G104" s="36"/>
      <c r="H104" s="36"/>
      <c r="I104" s="36"/>
    </row>
    <row r="105" spans="2:9">
      <c r="B105" s="492" t="s">
        <v>391</v>
      </c>
      <c r="C105" s="293" t="s">
        <v>1066</v>
      </c>
      <c r="D105" s="293" t="s">
        <v>1101</v>
      </c>
      <c r="E105" s="293" t="s">
        <v>249</v>
      </c>
      <c r="F105" s="293"/>
      <c r="G105" s="528"/>
      <c r="H105" s="528"/>
      <c r="I105" s="528"/>
    </row>
    <row r="106" spans="2:9">
      <c r="B106" s="492" t="s">
        <v>391</v>
      </c>
      <c r="C106" s="293" t="s">
        <v>1075</v>
      </c>
      <c r="D106" s="293" t="s">
        <v>1101</v>
      </c>
      <c r="E106" s="293" t="s">
        <v>249</v>
      </c>
      <c r="F106" s="293"/>
      <c r="G106" s="528"/>
      <c r="H106" s="528"/>
      <c r="I106" s="528"/>
    </row>
    <row r="107" spans="2:9">
      <c r="B107" s="492" t="s">
        <v>391</v>
      </c>
      <c r="C107" s="293" t="s">
        <v>1160</v>
      </c>
      <c r="D107" s="293" t="s">
        <v>1102</v>
      </c>
      <c r="E107" s="293" t="s">
        <v>249</v>
      </c>
      <c r="F107" s="293"/>
      <c r="G107" s="528"/>
      <c r="H107" s="528"/>
      <c r="I107" s="528"/>
    </row>
    <row r="108" spans="2:9">
      <c r="B108" s="492" t="s">
        <v>391</v>
      </c>
      <c r="C108" s="293" t="s">
        <v>20</v>
      </c>
      <c r="D108" s="293" t="s">
        <v>669</v>
      </c>
      <c r="E108" s="293" t="s">
        <v>50</v>
      </c>
      <c r="F108" s="293"/>
      <c r="G108" s="293"/>
      <c r="H108" s="293"/>
      <c r="I108" s="293"/>
    </row>
    <row r="109" spans="2:9">
      <c r="B109" s="492" t="s">
        <v>391</v>
      </c>
      <c r="C109" s="293" t="s">
        <v>18</v>
      </c>
      <c r="D109" s="293" t="s">
        <v>360</v>
      </c>
      <c r="E109" s="293" t="s">
        <v>49</v>
      </c>
      <c r="F109" s="293"/>
      <c r="G109" s="293"/>
      <c r="H109" s="293"/>
      <c r="I109" s="293"/>
    </row>
    <row r="110" spans="2:9">
      <c r="B110" s="492" t="s">
        <v>391</v>
      </c>
      <c r="C110" s="293" t="s">
        <v>19</v>
      </c>
      <c r="D110" s="293" t="s">
        <v>670</v>
      </c>
      <c r="E110" s="293" t="s">
        <v>50</v>
      </c>
      <c r="F110" s="293"/>
      <c r="G110" s="293"/>
      <c r="H110" s="293"/>
      <c r="I110" s="293"/>
    </row>
    <row r="111" spans="2:9">
      <c r="B111" s="492" t="s">
        <v>391</v>
      </c>
      <c r="C111" s="293" t="s">
        <v>22</v>
      </c>
      <c r="D111" s="293" t="s">
        <v>52</v>
      </c>
      <c r="E111" s="293" t="s">
        <v>50</v>
      </c>
      <c r="F111" s="293"/>
      <c r="G111" s="293"/>
      <c r="H111" s="293"/>
      <c r="I111" s="293"/>
    </row>
    <row r="112" spans="2:9">
      <c r="B112" s="492" t="s">
        <v>391</v>
      </c>
      <c r="C112" s="293" t="s">
        <v>21</v>
      </c>
      <c r="D112" s="293" t="s">
        <v>51</v>
      </c>
      <c r="E112" s="293" t="s">
        <v>49</v>
      </c>
      <c r="F112" s="293"/>
      <c r="G112" s="293"/>
      <c r="H112" s="293"/>
      <c r="I112" s="293"/>
    </row>
    <row r="113" spans="2:9">
      <c r="B113" s="492" t="s">
        <v>391</v>
      </c>
      <c r="C113" s="293" t="s">
        <v>23</v>
      </c>
      <c r="D113" s="293" t="s">
        <v>359</v>
      </c>
      <c r="E113" s="293" t="s">
        <v>50</v>
      </c>
      <c r="F113" s="293"/>
      <c r="G113" s="293"/>
      <c r="H113" s="293"/>
      <c r="I113" s="293"/>
    </row>
    <row r="114" spans="2:9">
      <c r="B114" s="492" t="s">
        <v>391</v>
      </c>
      <c r="C114" s="293" t="s">
        <v>16</v>
      </c>
      <c r="D114" s="293" t="s">
        <v>672</v>
      </c>
      <c r="E114" s="293" t="s">
        <v>50</v>
      </c>
      <c r="F114" s="293"/>
      <c r="G114" s="293"/>
      <c r="H114" s="293"/>
      <c r="I114" s="293"/>
    </row>
    <row r="115" spans="2:9">
      <c r="B115" s="492" t="s">
        <v>391</v>
      </c>
      <c r="C115" s="293" t="s">
        <v>15</v>
      </c>
      <c r="D115" s="293" t="s">
        <v>671</v>
      </c>
      <c r="E115" s="293" t="s">
        <v>49</v>
      </c>
      <c r="F115" s="293"/>
      <c r="G115" s="293"/>
      <c r="H115" s="293"/>
      <c r="I115" s="293"/>
    </row>
    <row r="116" spans="2:9">
      <c r="B116" s="492" t="s">
        <v>391</v>
      </c>
      <c r="C116" s="293" t="s">
        <v>17</v>
      </c>
      <c r="D116" s="293" t="s">
        <v>673</v>
      </c>
      <c r="E116" s="293" t="s">
        <v>50</v>
      </c>
      <c r="F116" s="293"/>
      <c r="G116" s="293"/>
      <c r="H116" s="293"/>
      <c r="I116" s="293"/>
    </row>
    <row r="117" spans="2:9">
      <c r="B117" s="492" t="s">
        <v>391</v>
      </c>
      <c r="C117" s="293" t="s">
        <v>501</v>
      </c>
      <c r="D117" s="293" t="s">
        <v>671</v>
      </c>
      <c r="E117" s="293" t="s">
        <v>49</v>
      </c>
      <c r="F117" s="293"/>
      <c r="G117" s="293"/>
      <c r="H117" s="293"/>
      <c r="I117" s="293"/>
    </row>
    <row r="118" spans="2:9">
      <c r="B118" s="492" t="s">
        <v>391</v>
      </c>
      <c r="C118" s="293" t="s">
        <v>502</v>
      </c>
      <c r="D118" s="293" t="s">
        <v>360</v>
      </c>
      <c r="E118" s="293" t="s">
        <v>49</v>
      </c>
      <c r="F118" s="293"/>
      <c r="G118" s="293"/>
      <c r="H118" s="293"/>
      <c r="I118" s="293"/>
    </row>
    <row r="119" spans="2:9">
      <c r="B119" s="492" t="s">
        <v>391</v>
      </c>
      <c r="C119" s="293" t="s">
        <v>946</v>
      </c>
      <c r="D119" s="293" t="s">
        <v>947</v>
      </c>
      <c r="E119" s="293" t="s">
        <v>249</v>
      </c>
      <c r="F119" s="293" t="s">
        <v>924</v>
      </c>
      <c r="G119" s="293"/>
      <c r="H119" s="293"/>
      <c r="I119" s="293"/>
    </row>
    <row r="120" spans="2:9">
      <c r="B120" s="492" t="s">
        <v>391</v>
      </c>
      <c r="C120" s="293" t="s">
        <v>961</v>
      </c>
      <c r="D120" s="293" t="s">
        <v>962</v>
      </c>
      <c r="E120" s="293" t="s">
        <v>249</v>
      </c>
      <c r="F120" s="293"/>
      <c r="G120" s="293"/>
      <c r="H120" s="293"/>
      <c r="I120" s="293"/>
    </row>
    <row r="121" spans="2:9">
      <c r="B121" s="492" t="s">
        <v>391</v>
      </c>
      <c r="C121" s="293" t="s">
        <v>1261</v>
      </c>
      <c r="D121" s="293" t="s">
        <v>1262</v>
      </c>
      <c r="E121" s="293" t="s">
        <v>249</v>
      </c>
      <c r="F121" s="293"/>
      <c r="G121" s="293"/>
      <c r="H121" s="293"/>
      <c r="I121" s="293"/>
    </row>
    <row r="122" spans="2:9">
      <c r="B122" s="511" t="s">
        <v>744</v>
      </c>
      <c r="C122" s="12" t="s">
        <v>944</v>
      </c>
      <c r="D122" s="12" t="s">
        <v>945</v>
      </c>
      <c r="E122" s="12" t="s">
        <v>249</v>
      </c>
      <c r="F122" s="12"/>
      <c r="G122" s="12"/>
      <c r="H122" s="12"/>
      <c r="I122" s="12"/>
    </row>
    <row r="123" spans="2:9">
      <c r="B123" s="511" t="s">
        <v>744</v>
      </c>
      <c r="C123" s="12" t="s">
        <v>742</v>
      </c>
      <c r="D123" s="12" t="s">
        <v>743</v>
      </c>
      <c r="E123" s="12" t="s">
        <v>249</v>
      </c>
      <c r="F123" s="12"/>
      <c r="G123" s="12"/>
      <c r="H123" s="12"/>
      <c r="I123" s="12"/>
    </row>
    <row r="124" spans="2:9">
      <c r="B124" s="511" t="s">
        <v>744</v>
      </c>
      <c r="C124" s="12" t="s">
        <v>1248</v>
      </c>
      <c r="D124" s="12" t="s">
        <v>1249</v>
      </c>
      <c r="E124" s="12" t="s">
        <v>249</v>
      </c>
      <c r="F124" s="12"/>
      <c r="G124" s="12"/>
      <c r="H124" s="12"/>
      <c r="I124" s="12"/>
    </row>
    <row r="125" spans="2:9">
      <c r="B125" s="511" t="s">
        <v>744</v>
      </c>
      <c r="C125" s="12" t="s">
        <v>929</v>
      </c>
      <c r="D125" s="12" t="s">
        <v>930</v>
      </c>
      <c r="E125" s="12" t="s">
        <v>249</v>
      </c>
      <c r="F125" s="12"/>
      <c r="G125" s="12"/>
      <c r="H125" s="12"/>
      <c r="I125" s="12"/>
    </row>
    <row r="126" spans="2:9">
      <c r="B126" s="511" t="s">
        <v>744</v>
      </c>
      <c r="C126" s="12" t="s">
        <v>1045</v>
      </c>
      <c r="D126" s="12" t="s">
        <v>1056</v>
      </c>
      <c r="E126" s="12" t="s">
        <v>249</v>
      </c>
      <c r="F126" s="12"/>
      <c r="G126" s="12"/>
      <c r="H126" s="12"/>
      <c r="I126" s="12"/>
    </row>
    <row r="127" spans="2:9">
      <c r="B127" s="511" t="s">
        <v>744</v>
      </c>
      <c r="C127" s="12" t="s">
        <v>1218</v>
      </c>
      <c r="D127" s="12" t="s">
        <v>1219</v>
      </c>
      <c r="E127" s="12" t="s">
        <v>249</v>
      </c>
      <c r="F127" s="12"/>
      <c r="G127" s="12"/>
      <c r="H127" s="12"/>
      <c r="I127" s="12"/>
    </row>
    <row r="128" spans="2:9">
      <c r="B128" s="493" t="s">
        <v>795</v>
      </c>
      <c r="C128" s="436" t="s">
        <v>919</v>
      </c>
      <c r="D128" s="436" t="s">
        <v>796</v>
      </c>
      <c r="E128" s="436" t="s">
        <v>249</v>
      </c>
      <c r="F128" s="436" t="s">
        <v>800</v>
      </c>
      <c r="G128" s="436"/>
      <c r="H128" s="436"/>
      <c r="I128" s="436"/>
    </row>
    <row r="129" spans="2:9">
      <c r="B129" s="493" t="s">
        <v>795</v>
      </c>
      <c r="C129" s="436" t="s">
        <v>884</v>
      </c>
      <c r="D129" s="436" t="s">
        <v>920</v>
      </c>
      <c r="E129" s="436" t="s">
        <v>249</v>
      </c>
      <c r="F129" s="436" t="s">
        <v>800</v>
      </c>
      <c r="G129" s="436"/>
      <c r="H129" s="436"/>
      <c r="I129" s="436"/>
    </row>
    <row r="130" spans="2:9">
      <c r="B130" s="493" t="s">
        <v>795</v>
      </c>
      <c r="C130" s="436" t="s">
        <v>885</v>
      </c>
      <c r="D130" s="436" t="s">
        <v>921</v>
      </c>
      <c r="E130" s="436" t="s">
        <v>249</v>
      </c>
      <c r="F130" s="436" t="s">
        <v>800</v>
      </c>
      <c r="G130" s="436"/>
      <c r="H130" s="436"/>
      <c r="I130" s="436"/>
    </row>
    <row r="131" spans="2:9">
      <c r="B131" s="493" t="s">
        <v>795</v>
      </c>
      <c r="C131" s="436" t="s">
        <v>787</v>
      </c>
      <c r="D131" s="436" t="s">
        <v>797</v>
      </c>
      <c r="E131" s="436" t="s">
        <v>249</v>
      </c>
      <c r="F131" s="436" t="s">
        <v>800</v>
      </c>
      <c r="G131" s="436"/>
      <c r="H131" s="436"/>
      <c r="I131" s="436"/>
    </row>
    <row r="132" spans="2:9">
      <c r="B132" s="493" t="s">
        <v>795</v>
      </c>
      <c r="C132" s="436" t="s">
        <v>788</v>
      </c>
      <c r="D132" s="436" t="s">
        <v>799</v>
      </c>
      <c r="E132" s="436" t="s">
        <v>249</v>
      </c>
      <c r="F132" s="436" t="s">
        <v>800</v>
      </c>
      <c r="G132" s="436"/>
      <c r="H132" s="436"/>
      <c r="I132" s="436"/>
    </row>
    <row r="133" spans="2:9">
      <c r="B133" s="493" t="s">
        <v>795</v>
      </c>
      <c r="C133" s="436" t="s">
        <v>792</v>
      </c>
      <c r="D133" s="436" t="s">
        <v>798</v>
      </c>
      <c r="E133" s="436" t="s">
        <v>249</v>
      </c>
      <c r="F133" s="436" t="s">
        <v>800</v>
      </c>
      <c r="G133" s="436"/>
      <c r="H133" s="436"/>
      <c r="I133" s="436"/>
    </row>
    <row r="138" spans="2:9">
      <c r="D138" s="329" t="s">
        <v>807</v>
      </c>
    </row>
    <row r="139" spans="2:9" ht="18.75" customHeight="1">
      <c r="D139" s="572" t="s">
        <v>384</v>
      </c>
      <c r="E139" s="566" t="s">
        <v>434</v>
      </c>
      <c r="F139" s="573" t="s">
        <v>427</v>
      </c>
    </row>
    <row r="140" spans="2:9">
      <c r="D140" s="570" t="s">
        <v>808</v>
      </c>
      <c r="E140" s="567">
        <v>1</v>
      </c>
      <c r="F140" s="568"/>
    </row>
    <row r="141" spans="2:9">
      <c r="D141" s="571" t="s">
        <v>1231</v>
      </c>
      <c r="E141" s="569"/>
      <c r="F141" s="567">
        <v>1</v>
      </c>
    </row>
  </sheetData>
  <phoneticPr fontId="7"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AA56"/>
  <sheetViews>
    <sheetView zoomScale="75" workbookViewId="0">
      <selection activeCell="B73" sqref="B73"/>
    </sheetView>
  </sheetViews>
  <sheetFormatPr defaultColWidth="11.42578125" defaultRowHeight="12.75"/>
  <cols>
    <col min="1" max="1" width="15.85546875" customWidth="1"/>
    <col min="2" max="2" width="13.5703125" customWidth="1"/>
    <col min="3" max="3" width="34.140625" customWidth="1"/>
    <col min="4" max="5" width="10.85546875" customWidth="1"/>
    <col min="6" max="6" width="24.42578125" customWidth="1"/>
    <col min="7" max="9" width="9.140625" customWidth="1"/>
    <col min="10" max="10" width="9.5703125" customWidth="1"/>
  </cols>
  <sheetData>
    <row r="1" spans="1:18" ht="18">
      <c r="A1" s="10" t="s">
        <v>595</v>
      </c>
      <c r="M1" s="245"/>
      <c r="O1" s="245"/>
      <c r="P1" s="245"/>
      <c r="Q1" s="246"/>
    </row>
    <row r="2" spans="1:18">
      <c r="A2" s="9"/>
      <c r="F2" s="245"/>
    </row>
    <row r="3" spans="1:18">
      <c r="A3" s="9"/>
      <c r="F3" s="245"/>
      <c r="P3" s="18">
        <v>1.02</v>
      </c>
    </row>
    <row r="4" spans="1:18">
      <c r="A4" s="9"/>
      <c r="F4" s="245"/>
      <c r="H4" s="19"/>
      <c r="I4" s="19"/>
      <c r="J4" s="137"/>
    </row>
    <row r="5" spans="1:18" ht="18">
      <c r="A5" s="9"/>
      <c r="B5" s="131" t="s">
        <v>591</v>
      </c>
      <c r="C5" s="131"/>
      <c r="D5" s="131"/>
      <c r="E5" s="131"/>
      <c r="F5" s="252" t="str">
        <f>"~FI_T: "&amp;Region&amp;"~EUR10"</f>
        <v>~FI_T: FIN~EUR10</v>
      </c>
    </row>
    <row r="6" spans="1:18" ht="26.25" thickBot="1">
      <c r="A6" s="9"/>
      <c r="B6" s="138" t="s">
        <v>57</v>
      </c>
      <c r="C6" s="52" t="s">
        <v>58</v>
      </c>
      <c r="D6" s="52" t="s">
        <v>56</v>
      </c>
      <c r="E6" s="52" t="s">
        <v>59</v>
      </c>
      <c r="F6" s="52" t="s">
        <v>385</v>
      </c>
      <c r="G6" s="52" t="s">
        <v>805</v>
      </c>
      <c r="H6" s="52" t="s">
        <v>805</v>
      </c>
      <c r="I6" s="52" t="s">
        <v>534</v>
      </c>
      <c r="J6" s="52" t="s">
        <v>535</v>
      </c>
      <c r="K6" s="52" t="s">
        <v>536</v>
      </c>
      <c r="L6" s="52" t="s">
        <v>537</v>
      </c>
      <c r="M6" s="52" t="s">
        <v>734</v>
      </c>
      <c r="N6" s="52" t="str">
        <f ca="1">"Share~UP~"&amp;AuxYear</f>
        <v>Share~UP~2017</v>
      </c>
      <c r="O6" s="52" t="s">
        <v>736</v>
      </c>
      <c r="P6" s="52" t="s">
        <v>737</v>
      </c>
      <c r="Q6" s="335" t="str">
        <f ca="1">"ACT_BND~UP~"&amp;AuxYear</f>
        <v>ACT_BND~UP~2017</v>
      </c>
      <c r="R6" s="52" t="str">
        <f>"ACT_BND~UP~"&amp;2030</f>
        <v>ACT_BND~UP~2030</v>
      </c>
    </row>
    <row r="7" spans="1:18">
      <c r="A7" s="9"/>
      <c r="B7" s="310" t="str">
        <f>CONCATENATE("FT-",E11,"0")</f>
        <v>FT-AGRNGA0</v>
      </c>
      <c r="C7" s="279" t="s">
        <v>517</v>
      </c>
      <c r="D7" s="139" t="str">
        <f ca="1">IEAData!D190</f>
        <v>GASNGA</v>
      </c>
      <c r="E7" s="12"/>
      <c r="F7" s="12"/>
      <c r="G7" s="97">
        <f ca="1">IF(IEAData!$G$190&lt;0.02,1,IEAData!$B190/IEAData!$G$190)</f>
        <v>1</v>
      </c>
      <c r="H7" s="97">
        <f ca="1">IF(AuxData!$G$190&lt;0.02,1,AuxData!$C190/AuxData!$G$190)</f>
        <v>1</v>
      </c>
      <c r="I7" s="140">
        <v>1</v>
      </c>
      <c r="J7" s="140">
        <v>1</v>
      </c>
      <c r="K7" s="18"/>
      <c r="L7" s="18"/>
      <c r="M7" s="97">
        <f t="shared" ref="M7:N9" si="0">G7</f>
        <v>1</v>
      </c>
      <c r="N7" s="97">
        <f t="shared" si="0"/>
        <v>1</v>
      </c>
      <c r="O7" s="140"/>
      <c r="P7" s="140"/>
      <c r="Q7" s="393"/>
      <c r="R7" s="140"/>
    </row>
    <row r="8" spans="1:18">
      <c r="A8" s="9"/>
      <c r="B8" s="310"/>
      <c r="C8" s="378"/>
      <c r="D8" s="139" t="str">
        <f ca="1">IEAData!D191</f>
        <v>GASGWG</v>
      </c>
      <c r="E8" s="12"/>
      <c r="F8" s="12"/>
      <c r="G8" s="97">
        <f ca="1">IF(IEAData!$G$190&lt;=0.01,0,IEAData!$B191/IEAData!$G$190)</f>
        <v>0</v>
      </c>
      <c r="H8" s="97">
        <f ca="1">IF(AuxData!$G$190&lt;=0.01,0,AuxData!$C191/AuxData!$G$190)</f>
        <v>0</v>
      </c>
      <c r="I8" s="140"/>
      <c r="J8" s="140"/>
      <c r="K8" s="18"/>
      <c r="L8" s="18"/>
      <c r="M8" s="97">
        <f t="shared" si="0"/>
        <v>0</v>
      </c>
      <c r="N8" s="97">
        <f t="shared" si="0"/>
        <v>0</v>
      </c>
      <c r="O8" s="140"/>
      <c r="P8" s="140"/>
      <c r="Q8" s="393"/>
      <c r="R8" s="140"/>
    </row>
    <row r="9" spans="1:18">
      <c r="A9" s="9"/>
      <c r="B9" s="310"/>
      <c r="C9" s="378"/>
      <c r="D9" s="139" t="str">
        <f ca="1">IEAData!D192</f>
        <v>GASCOG</v>
      </c>
      <c r="E9" s="12"/>
      <c r="F9" s="12"/>
      <c r="G9" s="97"/>
      <c r="H9" s="97"/>
      <c r="I9" s="140"/>
      <c r="J9" s="140"/>
      <c r="K9" s="18"/>
      <c r="L9" s="18"/>
      <c r="M9" s="97">
        <f t="shared" si="0"/>
        <v>0</v>
      </c>
      <c r="N9" s="97">
        <f t="shared" si="0"/>
        <v>0</v>
      </c>
      <c r="O9" s="140"/>
      <c r="P9" s="140"/>
      <c r="Q9" s="393"/>
      <c r="R9" s="140"/>
    </row>
    <row r="10" spans="1:18">
      <c r="A10" s="9"/>
      <c r="B10" s="310"/>
      <c r="C10" s="378"/>
      <c r="D10" s="139" t="s">
        <v>1009</v>
      </c>
      <c r="E10" s="12"/>
      <c r="F10" s="12"/>
      <c r="G10" s="97"/>
      <c r="H10" s="97"/>
      <c r="I10" s="140"/>
      <c r="J10" s="140"/>
      <c r="K10" s="18"/>
      <c r="L10" s="18"/>
      <c r="M10" s="140">
        <v>1</v>
      </c>
      <c r="N10" s="140"/>
      <c r="O10" s="140"/>
      <c r="P10" s="140"/>
      <c r="Q10" s="393"/>
      <c r="R10" s="140"/>
    </row>
    <row r="11" spans="1:18">
      <c r="A11" s="9"/>
      <c r="B11" s="518"/>
      <c r="C11" s="460"/>
      <c r="D11" s="142"/>
      <c r="E11" s="142" t="str">
        <f ca="1">IEAData!H190</f>
        <v>AGRNGA</v>
      </c>
      <c r="F11" s="142" t="s">
        <v>126</v>
      </c>
      <c r="G11" s="144"/>
      <c r="H11" s="144"/>
      <c r="I11" s="145"/>
      <c r="J11" s="145"/>
      <c r="K11" s="146"/>
      <c r="L11" s="146"/>
      <c r="M11" s="145"/>
      <c r="N11" s="145"/>
      <c r="O11" s="145"/>
      <c r="P11" s="145"/>
      <c r="Q11" s="394"/>
      <c r="R11" s="145"/>
    </row>
    <row r="12" spans="1:18">
      <c r="A12" s="9"/>
      <c r="B12" s="310" t="str">
        <f>CONCATENATE("FT-",E13,"1")</f>
        <v>FT-AGRNGA1</v>
      </c>
      <c r="C12" s="378" t="s">
        <v>125</v>
      </c>
      <c r="D12" s="139" t="str">
        <f ca="1">IEAData!D190</f>
        <v>GASNGA</v>
      </c>
      <c r="E12" s="12"/>
      <c r="F12" s="12"/>
      <c r="G12" s="97"/>
      <c r="H12" s="97"/>
      <c r="I12" s="140">
        <v>1</v>
      </c>
      <c r="J12" s="140">
        <v>1</v>
      </c>
      <c r="K12" s="18"/>
      <c r="L12" s="18"/>
      <c r="M12" s="140"/>
      <c r="N12" s="140"/>
      <c r="O12" s="140"/>
      <c r="P12" s="140"/>
      <c r="Q12" s="393"/>
      <c r="R12" s="140"/>
    </row>
    <row r="13" spans="1:18">
      <c r="A13" s="9"/>
      <c r="B13" s="519"/>
      <c r="C13" s="460"/>
      <c r="D13" s="142"/>
      <c r="E13" s="142" t="str">
        <f ca="1">IEAData!H190</f>
        <v>AGRNGA</v>
      </c>
      <c r="F13" s="142" t="s">
        <v>126</v>
      </c>
      <c r="G13" s="144"/>
      <c r="H13" s="144"/>
      <c r="I13" s="145"/>
      <c r="J13" s="145"/>
      <c r="K13" s="146"/>
      <c r="L13" s="146"/>
      <c r="M13" s="145"/>
      <c r="N13" s="145"/>
      <c r="O13" s="145"/>
      <c r="P13" s="145"/>
      <c r="Q13" s="394"/>
      <c r="R13" s="145"/>
    </row>
    <row r="14" spans="1:18">
      <c r="A14" s="9"/>
      <c r="B14" s="310" t="str">
        <f>CONCATENATE("FT-",E17,"0")</f>
        <v>FT-AGRDST0</v>
      </c>
      <c r="C14" s="378" t="s">
        <v>133</v>
      </c>
      <c r="D14" s="139" t="str">
        <f ca="1">IEAData!D193</f>
        <v>OILDST</v>
      </c>
      <c r="E14" s="12"/>
      <c r="F14" s="12"/>
      <c r="G14" s="140">
        <f ca="1">IF(IEAData!$G$191=0,1,IEAData!B193/IEAData!$G$191)</f>
        <v>0.89261976317983383</v>
      </c>
      <c r="H14" s="379">
        <f ca="1">IF(AuxData!$G$191=0,1,AuxData!C193/AuxData!$G$191)</f>
        <v>0.90993287398711131</v>
      </c>
      <c r="I14" s="140">
        <v>1</v>
      </c>
      <c r="J14" s="140"/>
      <c r="K14" s="18"/>
      <c r="L14" s="18"/>
      <c r="M14" s="140">
        <f>G14</f>
        <v>0.89261976317983383</v>
      </c>
      <c r="N14" s="140">
        <v>1</v>
      </c>
      <c r="O14" s="140">
        <v>1</v>
      </c>
      <c r="P14" s="140">
        <v>1</v>
      </c>
      <c r="Q14" s="393"/>
      <c r="R14" s="140"/>
    </row>
    <row r="15" spans="1:18">
      <c r="A15" s="9"/>
      <c r="B15" s="310"/>
      <c r="C15" s="378"/>
      <c r="D15" s="139" t="str">
        <f ca="1">IEAData!D197</f>
        <v>OILNSP</v>
      </c>
      <c r="E15" s="12"/>
      <c r="F15" s="12"/>
      <c r="G15" s="140">
        <f ca="1">1-G14</f>
        <v>0.10738023682016617</v>
      </c>
      <c r="H15" s="379">
        <f ca="1">1-H14</f>
        <v>9.0067126012888687E-2</v>
      </c>
      <c r="I15" s="140"/>
      <c r="J15" s="140"/>
      <c r="K15" s="18"/>
      <c r="L15" s="18"/>
      <c r="M15" s="379">
        <f>G15</f>
        <v>0.10738023682016617</v>
      </c>
      <c r="N15" s="379">
        <f>H15</f>
        <v>9.0067126012888687E-2</v>
      </c>
      <c r="O15" s="379">
        <f>N15</f>
        <v>9.0067126012888687E-2</v>
      </c>
      <c r="P15" s="379">
        <f>O15</f>
        <v>9.0067126012888687E-2</v>
      </c>
      <c r="Q15" s="393"/>
      <c r="R15" s="140"/>
    </row>
    <row r="16" spans="1:18">
      <c r="A16" s="9"/>
      <c r="B16" s="310"/>
      <c r="C16" s="378"/>
      <c r="D16" s="139" t="s">
        <v>742</v>
      </c>
      <c r="E16" s="12"/>
      <c r="F16" s="12"/>
      <c r="G16" s="140">
        <v>0</v>
      </c>
      <c r="H16" s="379">
        <f ca="1">IF(AuxData!$G$191=0,1,AuxData!C204/AuxData!$G$191)</f>
        <v>1.991233825872608E-3</v>
      </c>
      <c r="I16" s="140"/>
      <c r="J16" s="140"/>
      <c r="K16" s="18"/>
      <c r="L16" s="18"/>
      <c r="M16" s="140">
        <f>G16+0.01</f>
        <v>0.01</v>
      </c>
      <c r="N16" s="379">
        <f>H16+0.01</f>
        <v>1.1991233825872609E-2</v>
      </c>
      <c r="O16" s="140">
        <v>0.7</v>
      </c>
      <c r="P16" s="140">
        <v>0.85</v>
      </c>
      <c r="Q16" s="393"/>
      <c r="R16" s="140"/>
    </row>
    <row r="17" spans="1:18">
      <c r="A17" s="9"/>
      <c r="B17" s="518"/>
      <c r="C17" s="460"/>
      <c r="D17" s="142"/>
      <c r="E17" s="142" t="str">
        <f ca="1">IEAData!H191</f>
        <v>AGRDST</v>
      </c>
      <c r="F17" s="142" t="s">
        <v>134</v>
      </c>
      <c r="G17" s="144"/>
      <c r="H17" s="144"/>
      <c r="I17" s="145"/>
      <c r="J17" s="145"/>
      <c r="K17" s="146"/>
      <c r="L17" s="146"/>
      <c r="M17" s="145"/>
      <c r="N17" s="145"/>
      <c r="O17" s="145"/>
      <c r="P17" s="145"/>
      <c r="Q17" s="394"/>
      <c r="R17" s="145"/>
    </row>
    <row r="18" spans="1:18">
      <c r="A18" s="9"/>
      <c r="B18" s="310" t="str">
        <f>CONCATENATE("FT-",E19,"0")</f>
        <v>FT-AGRGSL0</v>
      </c>
      <c r="C18" s="378" t="s">
        <v>135</v>
      </c>
      <c r="D18" s="12" t="str">
        <f ca="1">IEAData!D196</f>
        <v>OILGSL</v>
      </c>
      <c r="E18" s="12"/>
      <c r="F18" s="12"/>
      <c r="G18" s="97"/>
      <c r="H18" s="97"/>
      <c r="I18" s="140">
        <v>1</v>
      </c>
      <c r="J18" s="140"/>
      <c r="K18" s="18"/>
      <c r="L18" s="18"/>
      <c r="M18" s="140"/>
      <c r="N18" s="140"/>
      <c r="O18" s="140"/>
      <c r="P18" s="140"/>
      <c r="Q18" s="393"/>
      <c r="R18" s="140"/>
    </row>
    <row r="19" spans="1:18">
      <c r="A19" s="9"/>
      <c r="B19" s="520"/>
      <c r="C19" s="460"/>
      <c r="D19" s="142"/>
      <c r="E19" s="142" t="str">
        <f ca="1">IEAData!H192</f>
        <v>AGRGSL</v>
      </c>
      <c r="F19" s="142" t="s">
        <v>136</v>
      </c>
      <c r="G19" s="144"/>
      <c r="H19" s="144"/>
      <c r="I19" s="145"/>
      <c r="J19" s="145"/>
      <c r="K19" s="146"/>
      <c r="L19" s="146"/>
      <c r="M19" s="145"/>
      <c r="N19" s="145"/>
      <c r="O19" s="145"/>
      <c r="P19" s="145"/>
      <c r="Q19" s="394"/>
      <c r="R19" s="145"/>
    </row>
    <row r="20" spans="1:18">
      <c r="A20" s="9"/>
      <c r="B20" s="310" t="str">
        <f>CONCATENATE("FT-",E21,"0")</f>
        <v>FT-AGRHFO0</v>
      </c>
      <c r="C20" s="378" t="s">
        <v>122</v>
      </c>
      <c r="D20" s="139" t="str">
        <f ca="1">IEAData!D194</f>
        <v>OILHFO</v>
      </c>
      <c r="E20" s="12"/>
      <c r="F20" s="12"/>
      <c r="G20" s="97"/>
      <c r="H20" s="97"/>
      <c r="I20" s="140">
        <v>1</v>
      </c>
      <c r="J20" s="140"/>
      <c r="K20" s="18"/>
      <c r="L20" s="18"/>
      <c r="M20" s="140">
        <f ca="1">IF(IEAData!G193=0,1,IEAData!B194/IEAData!G193)</f>
        <v>1</v>
      </c>
      <c r="N20" s="140">
        <v>1</v>
      </c>
      <c r="O20" s="140">
        <v>1</v>
      </c>
      <c r="P20" s="140">
        <v>1</v>
      </c>
      <c r="Q20" s="393"/>
      <c r="R20" s="140"/>
    </row>
    <row r="21" spans="1:18">
      <c r="A21" s="9"/>
      <c r="B21" s="520"/>
      <c r="C21" s="460"/>
      <c r="D21" s="142"/>
      <c r="E21" s="142" t="str">
        <f ca="1">IEAData!H193</f>
        <v>AGRHFO</v>
      </c>
      <c r="F21" s="142" t="s">
        <v>186</v>
      </c>
      <c r="G21" s="144"/>
      <c r="H21" s="144"/>
      <c r="I21" s="145"/>
      <c r="J21" s="145"/>
      <c r="K21" s="146"/>
      <c r="L21" s="146"/>
      <c r="M21" s="145"/>
      <c r="N21" s="145"/>
      <c r="O21" s="145"/>
      <c r="P21" s="145"/>
      <c r="Q21" s="394"/>
      <c r="R21" s="145"/>
    </row>
    <row r="22" spans="1:18">
      <c r="A22" s="9"/>
      <c r="B22" s="310" t="str">
        <f>CONCATENATE("FT-",E23,"0")</f>
        <v>FT-AGRKER0</v>
      </c>
      <c r="C22" s="378" t="s">
        <v>187</v>
      </c>
      <c r="D22" s="139" t="str">
        <f ca="1">IEAData!D195</f>
        <v>OILKER</v>
      </c>
      <c r="E22" s="12"/>
      <c r="F22" s="12"/>
      <c r="G22" s="97"/>
      <c r="H22" s="97"/>
      <c r="I22" s="140">
        <v>1</v>
      </c>
      <c r="J22" s="140"/>
      <c r="K22" s="18"/>
      <c r="L22" s="18"/>
      <c r="M22" s="140"/>
      <c r="N22" s="140"/>
      <c r="O22" s="140"/>
      <c r="P22" s="140"/>
      <c r="Q22" s="393"/>
      <c r="R22" s="140"/>
    </row>
    <row r="23" spans="1:18">
      <c r="A23" s="9"/>
      <c r="B23" s="520"/>
      <c r="C23" s="460"/>
      <c r="D23" s="142"/>
      <c r="E23" s="142" t="str">
        <f ca="1">IEAData!H194</f>
        <v>AGRKER</v>
      </c>
      <c r="F23" s="142" t="s">
        <v>188</v>
      </c>
      <c r="G23" s="144"/>
      <c r="H23" s="144"/>
      <c r="I23" s="145"/>
      <c r="J23" s="145"/>
      <c r="K23" s="146"/>
      <c r="L23" s="146"/>
      <c r="M23" s="145"/>
      <c r="N23" s="145"/>
      <c r="O23" s="145"/>
      <c r="P23" s="145"/>
      <c r="Q23" s="394"/>
      <c r="R23" s="145"/>
    </row>
    <row r="24" spans="1:18">
      <c r="A24" s="149"/>
      <c r="B24" s="310" t="str">
        <f>CONCATENATE("FT-",E27,"0")</f>
        <v>FT-AGRCOP0</v>
      </c>
      <c r="C24" s="378" t="s">
        <v>1035</v>
      </c>
      <c r="D24" s="139" t="str">
        <f ca="1">IEAData!D198</f>
        <v>COAHCO</v>
      </c>
      <c r="E24" s="12"/>
      <c r="F24" s="12"/>
      <c r="G24" s="97">
        <f ca="1">IF(IEAData!$G$195&lt;0.02,1,IEAData!$B198/IEAData!$G$195)</f>
        <v>0.1976169170630622</v>
      </c>
      <c r="H24" s="97">
        <f ca="1">IF(AuxData!$G$195&lt;0.02,1,AuxData!$C198/AuxData!$G$195)</f>
        <v>3.4658737124049911E-2</v>
      </c>
      <c r="I24" s="140">
        <v>1</v>
      </c>
      <c r="J24" s="140"/>
      <c r="K24" s="18"/>
      <c r="L24" s="18"/>
      <c r="M24" s="97">
        <f t="shared" ref="M24:N26" si="1">G24</f>
        <v>0.1976169170630622</v>
      </c>
      <c r="N24" s="97">
        <f t="shared" si="1"/>
        <v>3.4658737124049911E-2</v>
      </c>
      <c r="O24" s="140"/>
      <c r="P24" s="140"/>
      <c r="Q24" s="393"/>
      <c r="R24" s="140"/>
    </row>
    <row r="25" spans="1:18">
      <c r="A25" s="149"/>
      <c r="B25" s="310"/>
      <c r="C25" s="378"/>
      <c r="D25" s="139" t="str">
        <f ca="1">IEAData!D199</f>
        <v>COABCO</v>
      </c>
      <c r="E25" s="12"/>
      <c r="F25" s="12"/>
      <c r="G25" s="97">
        <f ca="1">IF(IEAData!$G$195&lt;0.02,0,IEAData!$B199/IEAData!$G$195)</f>
        <v>0.80238308293693772</v>
      </c>
      <c r="H25" s="97">
        <f ca="1">IF(AuxData!$G$195&lt;0.02,0,AuxData!$C199/AuxData!$G$195)</f>
        <v>0.96534126287595012</v>
      </c>
      <c r="I25" s="140"/>
      <c r="J25" s="140"/>
      <c r="K25" s="18"/>
      <c r="L25" s="18"/>
      <c r="M25" s="97">
        <f t="shared" si="1"/>
        <v>0.80238308293693772</v>
      </c>
      <c r="N25" s="97">
        <f t="shared" si="1"/>
        <v>0.96534126287595012</v>
      </c>
      <c r="O25" s="140"/>
      <c r="P25" s="140"/>
      <c r="Q25" s="393"/>
      <c r="R25" s="140"/>
    </row>
    <row r="26" spans="1:18">
      <c r="A26" s="149"/>
      <c r="B26" s="310"/>
      <c r="C26" s="378"/>
      <c r="D26" s="139" t="str">
        <f ca="1">IEAData!D200</f>
        <v>COAOVC</v>
      </c>
      <c r="E26" s="12"/>
      <c r="F26" s="12"/>
      <c r="G26" s="97">
        <f ca="1">IF(IEAData!$G$195&lt;=0.01,0,IEAData!$B200/IEAData!$G$195)</f>
        <v>0</v>
      </c>
      <c r="H26" s="97">
        <f ca="1">IF(AuxData!$G$195&lt;0.02,0,AuxData!$C200/AuxData!$G$195)</f>
        <v>0</v>
      </c>
      <c r="I26" s="140"/>
      <c r="J26" s="140"/>
      <c r="K26" s="18"/>
      <c r="L26" s="18"/>
      <c r="M26" s="97">
        <f t="shared" si="1"/>
        <v>0</v>
      </c>
      <c r="N26" s="97">
        <f t="shared" si="1"/>
        <v>0</v>
      </c>
      <c r="O26" s="140"/>
      <c r="P26" s="140"/>
      <c r="Q26" s="393"/>
      <c r="R26" s="140"/>
    </row>
    <row r="27" spans="1:18">
      <c r="A27" s="149"/>
      <c r="B27" s="518"/>
      <c r="C27" s="460"/>
      <c r="D27" s="142"/>
      <c r="E27" s="142" t="str">
        <f ca="1">IEAData!H195</f>
        <v>AGRCOP</v>
      </c>
      <c r="F27" s="142" t="s">
        <v>189</v>
      </c>
      <c r="G27" s="144"/>
      <c r="H27" s="144"/>
      <c r="I27" s="145"/>
      <c r="J27" s="145"/>
      <c r="K27" s="146"/>
      <c r="L27" s="146"/>
      <c r="M27" s="145"/>
      <c r="N27" s="145"/>
      <c r="O27" s="145"/>
      <c r="P27" s="145"/>
      <c r="Q27" s="394"/>
      <c r="R27" s="145"/>
    </row>
    <row r="28" spans="1:18">
      <c r="A28" s="149"/>
      <c r="B28" s="310" t="str">
        <f>CONCATENATE("FT-",E29,"0")</f>
        <v>FT-AGRLPG0</v>
      </c>
      <c r="C28" s="378" t="s">
        <v>190</v>
      </c>
      <c r="D28" s="139" t="str">
        <f ca="1">IEAData!D201</f>
        <v>OILLPG</v>
      </c>
      <c r="E28" s="12"/>
      <c r="F28" s="12"/>
      <c r="G28" s="97"/>
      <c r="H28" s="97"/>
      <c r="I28" s="140">
        <v>1</v>
      </c>
      <c r="J28" s="140"/>
      <c r="K28" s="18"/>
      <c r="L28" s="18"/>
      <c r="M28" s="140"/>
      <c r="N28" s="140"/>
      <c r="O28" s="140"/>
      <c r="P28" s="140"/>
      <c r="Q28" s="393"/>
      <c r="R28" s="140"/>
    </row>
    <row r="29" spans="1:18">
      <c r="A29" s="149"/>
      <c r="B29" s="518"/>
      <c r="C29" s="460"/>
      <c r="D29" s="142"/>
      <c r="E29" s="142" t="str">
        <f ca="1">IEAData!H196</f>
        <v>AGRLPG</v>
      </c>
      <c r="F29" s="142" t="s">
        <v>191</v>
      </c>
      <c r="G29" s="144"/>
      <c r="H29" s="144"/>
      <c r="I29" s="145"/>
      <c r="J29" s="145"/>
      <c r="K29" s="146"/>
      <c r="L29" s="146"/>
      <c r="M29" s="145"/>
      <c r="N29" s="145"/>
      <c r="O29" s="145"/>
      <c r="P29" s="145"/>
      <c r="Q29" s="394"/>
      <c r="R29" s="145"/>
    </row>
    <row r="30" spans="1:18">
      <c r="A30" s="149"/>
      <c r="B30" s="310" t="str">
        <f>CONCATENATE("FT-",E31,"0")</f>
        <v>FT-AGRBGS0</v>
      </c>
      <c r="C30" s="378" t="s">
        <v>1232</v>
      </c>
      <c r="D30" s="139" t="s">
        <v>43</v>
      </c>
      <c r="E30" s="12"/>
      <c r="F30" s="12"/>
      <c r="G30" s="97"/>
      <c r="H30" s="97"/>
      <c r="I30" s="140">
        <v>1</v>
      </c>
      <c r="J30" s="140"/>
      <c r="K30" s="18"/>
      <c r="L30" s="18"/>
      <c r="M30" s="140"/>
      <c r="N30" s="140"/>
      <c r="O30" s="140"/>
      <c r="P30" s="140"/>
      <c r="Q30" s="393"/>
      <c r="R30" s="140"/>
    </row>
    <row r="31" spans="1:18">
      <c r="A31" s="149"/>
      <c r="B31" s="518"/>
      <c r="C31" s="460"/>
      <c r="D31" s="142"/>
      <c r="E31" s="142" t="s">
        <v>1231</v>
      </c>
      <c r="F31" s="142" t="s">
        <v>1234</v>
      </c>
      <c r="G31" s="144"/>
      <c r="H31" s="144"/>
      <c r="I31" s="145"/>
      <c r="J31" s="145"/>
      <c r="K31" s="146"/>
      <c r="L31" s="146"/>
      <c r="M31" s="145"/>
      <c r="N31" s="145"/>
      <c r="O31" s="145"/>
      <c r="P31" s="145"/>
      <c r="Q31" s="394"/>
      <c r="R31" s="145"/>
    </row>
    <row r="32" spans="1:18" ht="22.5" customHeight="1">
      <c r="A32" s="9"/>
      <c r="B32" s="310" t="str">
        <f>CONCATENATE("FT-",E35,"0")</f>
        <v>FT-AGRBIO0</v>
      </c>
      <c r="C32" s="378" t="s">
        <v>192</v>
      </c>
      <c r="D32" s="139" t="s">
        <v>943</v>
      </c>
      <c r="E32" s="12"/>
      <c r="F32" s="12"/>
      <c r="G32" s="97">
        <f ca="1">IF(IEAData!$G$197&lt;0.02,1,IEAData!$B202/IEAData!$G$197)</f>
        <v>1</v>
      </c>
      <c r="H32" s="97">
        <f ca="1">IF(AuxData!$G$197&lt;0.02,1,AuxData!$C202/AuxData!$G$197)</f>
        <v>1</v>
      </c>
      <c r="I32" s="140">
        <v>1</v>
      </c>
      <c r="J32" s="140"/>
      <c r="K32" s="18"/>
      <c r="L32" s="18"/>
      <c r="M32" s="97">
        <v>1</v>
      </c>
      <c r="N32" s="140"/>
      <c r="O32" s="140"/>
      <c r="P32" s="140"/>
      <c r="Q32" s="399">
        <f ca="1">MAX(IEAData!$G$197,AuxData!G$197)*$P$3</f>
        <v>7.147751490000001</v>
      </c>
      <c r="R32" s="372">
        <f>Q32*1.1</f>
        <v>7.8625266390000021</v>
      </c>
    </row>
    <row r="33" spans="1:18">
      <c r="A33" s="9"/>
      <c r="B33" s="310"/>
      <c r="C33" s="378"/>
      <c r="D33" s="139" t="str">
        <f ca="1">COMM!$C$122</f>
        <v>BIOAGR</v>
      </c>
      <c r="E33" s="12"/>
      <c r="F33" s="12"/>
      <c r="G33" s="97">
        <f ca="1">IF(IEAData!$G$197&lt;0.02,0,IEAData!$B203/IEAData!$G$197)</f>
        <v>0</v>
      </c>
      <c r="H33" s="97">
        <f ca="1">IF(AuxData!$G$197&lt;0.02,0,AuxData!$C203/AuxData!$G$197)</f>
        <v>0</v>
      </c>
      <c r="I33" s="140"/>
      <c r="J33" s="140"/>
      <c r="K33" s="18"/>
      <c r="L33" s="18"/>
      <c r="M33" s="97">
        <v>1</v>
      </c>
      <c r="N33" s="140"/>
      <c r="O33" s="140"/>
      <c r="P33" s="140"/>
      <c r="Q33" s="393"/>
      <c r="R33" s="140"/>
    </row>
    <row r="34" spans="1:18">
      <c r="A34" s="9"/>
      <c r="B34" s="310"/>
      <c r="C34" s="378"/>
      <c r="D34" s="139" t="s">
        <v>1045</v>
      </c>
      <c r="E34" s="12"/>
      <c r="F34" s="12"/>
      <c r="G34" s="97">
        <v>0.05</v>
      </c>
      <c r="H34" s="97">
        <v>0.05</v>
      </c>
      <c r="I34" s="140"/>
      <c r="J34" s="140"/>
      <c r="K34" s="18"/>
      <c r="L34" s="18"/>
      <c r="M34" s="97">
        <f>G34</f>
        <v>0.05</v>
      </c>
      <c r="N34" s="97">
        <f>H34</f>
        <v>0.05</v>
      </c>
      <c r="O34" s="346">
        <v>0.2</v>
      </c>
      <c r="P34" s="140"/>
      <c r="Q34" s="393"/>
      <c r="R34" s="140"/>
    </row>
    <row r="35" spans="1:18">
      <c r="A35" s="9"/>
      <c r="B35" s="518"/>
      <c r="C35" s="460"/>
      <c r="D35" s="142" t="s">
        <v>946</v>
      </c>
      <c r="E35" s="142" t="str">
        <f ca="1">IEAData!H197</f>
        <v>AGRBIO</v>
      </c>
      <c r="F35" s="142" t="s">
        <v>193</v>
      </c>
      <c r="G35" s="144"/>
      <c r="H35" s="144"/>
      <c r="I35" s="145"/>
      <c r="J35" s="145"/>
      <c r="K35" s="146"/>
      <c r="L35" s="146"/>
      <c r="M35" s="145"/>
      <c r="N35" s="145"/>
      <c r="O35" s="145"/>
      <c r="P35" s="145"/>
      <c r="Q35" s="394"/>
      <c r="R35" s="145"/>
    </row>
    <row r="36" spans="1:18">
      <c r="A36" s="9"/>
      <c r="B36" s="310" t="str">
        <f>CONCATENATE("FT-",E37,"5")</f>
        <v>FT-AGRBIO5</v>
      </c>
      <c r="C36" s="378" t="s">
        <v>192</v>
      </c>
      <c r="D36" s="139" t="s">
        <v>943</v>
      </c>
      <c r="E36" s="36"/>
      <c r="F36" s="36"/>
      <c r="G36" s="355"/>
      <c r="H36" s="355"/>
      <c r="I36" s="355">
        <v>1</v>
      </c>
      <c r="J36" s="355"/>
      <c r="K36" s="81"/>
      <c r="L36" s="81"/>
      <c r="M36" s="355"/>
      <c r="N36" s="355"/>
      <c r="O36" s="355"/>
      <c r="P36" s="355"/>
      <c r="Q36" s="393"/>
      <c r="R36" s="355"/>
    </row>
    <row r="37" spans="1:18">
      <c r="A37" s="9"/>
      <c r="B37" s="518"/>
      <c r="C37" s="460"/>
      <c r="D37" s="142" t="str">
        <f ca="1">COMM!$C$122</f>
        <v>BIOAGR</v>
      </c>
      <c r="E37" s="142" t="str">
        <f ca="1">IEAData!H197</f>
        <v>AGRBIO</v>
      </c>
      <c r="F37" s="142" t="s">
        <v>193</v>
      </c>
      <c r="G37" s="145"/>
      <c r="H37" s="145"/>
      <c r="I37" s="145"/>
      <c r="J37" s="145"/>
      <c r="K37" s="146"/>
      <c r="L37" s="146"/>
      <c r="M37" s="145"/>
      <c r="N37" s="145"/>
      <c r="O37" s="145"/>
      <c r="P37" s="145"/>
      <c r="Q37" s="394"/>
      <c r="R37" s="145"/>
    </row>
    <row r="38" spans="1:18">
      <c r="A38" s="9"/>
      <c r="B38" s="310" t="str">
        <f>CONCATENATE("FT-",E39,"5")</f>
        <v>FT-AGRBPL5</v>
      </c>
      <c r="C38" s="378" t="s">
        <v>1054</v>
      </c>
      <c r="D38" s="139" t="s">
        <v>929</v>
      </c>
      <c r="E38" s="36"/>
      <c r="F38" s="36"/>
      <c r="G38" s="355"/>
      <c r="H38" s="355"/>
      <c r="I38" s="355">
        <v>1</v>
      </c>
      <c r="J38" s="355"/>
      <c r="K38" s="81"/>
      <c r="L38" s="81"/>
      <c r="M38" s="355"/>
      <c r="N38" s="355"/>
      <c r="O38" s="355"/>
      <c r="P38" s="355"/>
      <c r="Q38" s="393"/>
      <c r="R38" s="355"/>
    </row>
    <row r="39" spans="1:18">
      <c r="A39" s="9"/>
      <c r="B39" s="518"/>
      <c r="C39" s="460"/>
      <c r="D39" s="142"/>
      <c r="E39" s="142" t="str">
        <f ca="1">COMM!$C$60</f>
        <v>AGRBPL</v>
      </c>
      <c r="F39" s="142" t="s">
        <v>1047</v>
      </c>
      <c r="G39" s="145"/>
      <c r="H39" s="145"/>
      <c r="I39" s="145"/>
      <c r="J39" s="145"/>
      <c r="K39" s="146"/>
      <c r="L39" s="146"/>
      <c r="M39" s="145"/>
      <c r="N39" s="145"/>
      <c r="O39" s="145"/>
      <c r="P39" s="145"/>
      <c r="Q39" s="394"/>
      <c r="R39" s="145"/>
    </row>
    <row r="40" spans="1:18">
      <c r="A40" s="9"/>
      <c r="B40" s="310" t="str">
        <f>CONCATENATE("FT-",E41,"0")</f>
        <v>FT-AGRSTR0</v>
      </c>
      <c r="C40" s="378" t="s">
        <v>1253</v>
      </c>
      <c r="D40" s="139" t="str">
        <f ca="1">COMM!$C$126</f>
        <v>BIOSTR</v>
      </c>
      <c r="E40" s="12"/>
      <c r="F40" s="12"/>
      <c r="G40" s="140"/>
      <c r="H40" s="140"/>
      <c r="I40" s="140">
        <v>1</v>
      </c>
      <c r="J40" s="140">
        <v>1</v>
      </c>
      <c r="K40" s="18">
        <v>0.2</v>
      </c>
      <c r="L40" s="18"/>
      <c r="M40" s="140"/>
      <c r="N40" s="140"/>
      <c r="O40" s="140"/>
      <c r="P40" s="140"/>
      <c r="Q40" s="393"/>
      <c r="R40" s="140"/>
    </row>
    <row r="41" spans="1:18">
      <c r="A41" s="9"/>
      <c r="B41" s="518"/>
      <c r="C41" s="460"/>
      <c r="D41" s="142"/>
      <c r="E41" s="142" t="str">
        <f ca="1">COMM!$C$70</f>
        <v>AGRSTR</v>
      </c>
      <c r="F41" s="142" t="s">
        <v>1251</v>
      </c>
      <c r="G41" s="145"/>
      <c r="H41" s="145"/>
      <c r="I41" s="145"/>
      <c r="J41" s="145"/>
      <c r="K41" s="146"/>
      <c r="L41" s="146"/>
      <c r="M41" s="145"/>
      <c r="N41" s="145"/>
      <c r="O41" s="145"/>
      <c r="P41" s="145"/>
      <c r="Q41" s="394"/>
      <c r="R41" s="145"/>
    </row>
    <row r="42" spans="1:18">
      <c r="A42" s="9"/>
      <c r="B42" s="310" t="str">
        <f>CONCATENATE("FT-",E43,"0")</f>
        <v>FT-AGRGEO0</v>
      </c>
      <c r="C42" s="378" t="s">
        <v>194</v>
      </c>
      <c r="D42" s="139" t="str">
        <f ca="1">IEAData!D210</f>
        <v>GEO</v>
      </c>
      <c r="E42" s="12"/>
      <c r="F42" s="12"/>
      <c r="G42" s="140"/>
      <c r="H42" s="140"/>
      <c r="I42" s="140">
        <v>1</v>
      </c>
      <c r="J42" s="140">
        <v>1</v>
      </c>
      <c r="K42" s="18">
        <v>0.2</v>
      </c>
      <c r="L42" s="18"/>
      <c r="M42" s="140"/>
      <c r="N42" s="140"/>
      <c r="O42" s="140"/>
      <c r="P42" s="140"/>
      <c r="Q42" s="393"/>
      <c r="R42" s="140"/>
    </row>
    <row r="43" spans="1:18">
      <c r="A43" s="9"/>
      <c r="B43" s="518"/>
      <c r="C43" s="460"/>
      <c r="D43" s="142"/>
      <c r="E43" s="142" t="str">
        <f ca="1">IEAData!H200</f>
        <v>AGRGEO</v>
      </c>
      <c r="F43" s="142" t="s">
        <v>195</v>
      </c>
      <c r="G43" s="145"/>
      <c r="H43" s="145"/>
      <c r="I43" s="145"/>
      <c r="J43" s="145"/>
      <c r="K43" s="146"/>
      <c r="L43" s="146"/>
      <c r="M43" s="145"/>
      <c r="N43" s="145"/>
      <c r="O43" s="145"/>
      <c r="P43" s="145"/>
      <c r="Q43" s="394"/>
      <c r="R43" s="145"/>
    </row>
    <row r="44" spans="1:18">
      <c r="A44" s="9"/>
      <c r="B44" s="310" t="str">
        <f>CONCATENATE("FT-",E45,"0")</f>
        <v>FT-AGRSOL0</v>
      </c>
      <c r="C44" s="378" t="s">
        <v>196</v>
      </c>
      <c r="D44" s="139" t="str">
        <f ca="1">IEAData!D211</f>
        <v>SOL</v>
      </c>
      <c r="E44" s="12"/>
      <c r="F44" s="12"/>
      <c r="G44" s="140"/>
      <c r="H44" s="140"/>
      <c r="I44" s="140">
        <v>1</v>
      </c>
      <c r="J44" s="140">
        <v>1</v>
      </c>
      <c r="K44" s="18">
        <v>0.1</v>
      </c>
      <c r="L44" s="18"/>
      <c r="M44" s="140"/>
      <c r="N44" s="140"/>
      <c r="O44" s="140"/>
      <c r="P44" s="140"/>
      <c r="Q44" s="393"/>
      <c r="R44" s="140"/>
    </row>
    <row r="45" spans="1:18">
      <c r="A45" s="9"/>
      <c r="B45" s="520"/>
      <c r="C45" s="460"/>
      <c r="D45" s="142"/>
      <c r="E45" s="142" t="str">
        <f ca="1">IEAData!H201</f>
        <v>AGRSOL</v>
      </c>
      <c r="F45" s="142" t="s">
        <v>197</v>
      </c>
      <c r="G45" s="145"/>
      <c r="H45" s="145"/>
      <c r="I45" s="145"/>
      <c r="J45" s="145"/>
      <c r="K45" s="146"/>
      <c r="L45" s="146"/>
      <c r="M45" s="145"/>
      <c r="N45" s="145"/>
      <c r="O45" s="145"/>
      <c r="P45" s="145"/>
      <c r="Q45" s="394"/>
      <c r="R45" s="145"/>
    </row>
    <row r="46" spans="1:18">
      <c r="A46" s="9"/>
      <c r="B46" s="121"/>
      <c r="C46" s="2"/>
      <c r="D46" s="22"/>
      <c r="E46" s="22"/>
      <c r="F46" s="22"/>
      <c r="I46" s="19"/>
      <c r="J46" s="19"/>
      <c r="K46" s="137"/>
    </row>
    <row r="47" spans="1:18">
      <c r="A47" s="9"/>
      <c r="B47" s="121"/>
      <c r="C47" s="2"/>
      <c r="D47" s="22"/>
      <c r="E47" s="22"/>
      <c r="F47" s="22"/>
      <c r="G47" s="19"/>
      <c r="H47" s="19"/>
      <c r="I47" s="137"/>
    </row>
    <row r="48" spans="1:18">
      <c r="C48" s="35"/>
      <c r="F48" s="245"/>
    </row>
    <row r="49" spans="1:27" ht="18">
      <c r="A49" s="9"/>
      <c r="B49" s="253" t="s">
        <v>1006</v>
      </c>
      <c r="C49" s="1"/>
      <c r="D49" s="136"/>
      <c r="E49" s="136"/>
      <c r="F49" s="252" t="str">
        <f>"~FI_T: "&amp;Region&amp;"~EUR10"</f>
        <v>~FI_T: FIN~EUR10</v>
      </c>
    </row>
    <row r="50" spans="1:27" ht="13.5" thickBot="1">
      <c r="A50" s="9"/>
      <c r="B50" s="496" t="s">
        <v>57</v>
      </c>
      <c r="C50" s="496" t="s">
        <v>58</v>
      </c>
      <c r="D50" s="496" t="s">
        <v>56</v>
      </c>
      <c r="E50" s="496" t="s">
        <v>59</v>
      </c>
      <c r="F50" s="52" t="s">
        <v>385</v>
      </c>
      <c r="G50" s="52" t="s">
        <v>661</v>
      </c>
      <c r="H50" s="52" t="s">
        <v>539</v>
      </c>
      <c r="I50" s="52" t="s">
        <v>540</v>
      </c>
      <c r="J50" s="52" t="s">
        <v>534</v>
      </c>
      <c r="K50" s="52" t="s">
        <v>535</v>
      </c>
      <c r="L50" s="52" t="s">
        <v>778</v>
      </c>
      <c r="M50" s="52" t="s">
        <v>536</v>
      </c>
      <c r="N50" s="52" t="s">
        <v>537</v>
      </c>
      <c r="O50" s="52" t="s">
        <v>88</v>
      </c>
      <c r="P50" s="52" t="s">
        <v>538</v>
      </c>
      <c r="Q50" s="52" t="s">
        <v>541</v>
      </c>
      <c r="R50" s="52" t="s">
        <v>1007</v>
      </c>
    </row>
    <row r="51" spans="1:27">
      <c r="A51" s="13"/>
      <c r="B51" s="310" t="str">
        <f>CONCATENATE("FT-",E52,"0")</f>
        <v>FT-AGRELC0</v>
      </c>
      <c r="C51" s="378" t="s">
        <v>198</v>
      </c>
      <c r="D51" s="139" t="s">
        <v>392</v>
      </c>
      <c r="E51" s="12"/>
      <c r="F51" s="12"/>
      <c r="G51" s="139">
        <v>1</v>
      </c>
      <c r="H51" s="97">
        <v>1</v>
      </c>
      <c r="I51" s="40"/>
      <c r="J51" s="97"/>
      <c r="K51" s="346">
        <v>1</v>
      </c>
      <c r="L51" s="18"/>
      <c r="M51" s="18"/>
      <c r="N51" s="18"/>
      <c r="O51" s="18"/>
      <c r="P51" s="18"/>
      <c r="Q51" s="18"/>
      <c r="R51" s="358">
        <v>1</v>
      </c>
    </row>
    <row r="52" spans="1:27">
      <c r="A52" s="9"/>
      <c r="B52" s="247"/>
      <c r="C52" s="460"/>
      <c r="D52" s="142"/>
      <c r="E52" s="142" t="str">
        <f ca="1">IEAData!H198</f>
        <v>AGRELC</v>
      </c>
      <c r="F52" s="142" t="s">
        <v>199</v>
      </c>
      <c r="G52" s="143"/>
      <c r="H52" s="144"/>
      <c r="I52" s="144"/>
      <c r="J52" s="144"/>
      <c r="K52" s="347"/>
      <c r="L52" s="146"/>
      <c r="M52" s="146"/>
      <c r="N52" s="146"/>
      <c r="O52" s="146"/>
      <c r="P52" s="146"/>
      <c r="Q52" s="146"/>
      <c r="R52" s="501"/>
    </row>
    <row r="53" spans="1:27">
      <c r="A53" s="9"/>
      <c r="B53" s="310" t="str">
        <f>CONCATENATE("FT-",E54,"0")</f>
        <v>FT-AGRHET0</v>
      </c>
      <c r="C53" s="378" t="s">
        <v>200</v>
      </c>
      <c r="D53" s="139" t="str">
        <f ca="1">IEAData!$D$209</f>
        <v>HET</v>
      </c>
      <c r="E53" s="12"/>
      <c r="F53" s="12"/>
      <c r="G53" s="139">
        <v>1</v>
      </c>
      <c r="H53" s="97">
        <v>1</v>
      </c>
      <c r="I53" s="40"/>
      <c r="J53" s="140"/>
      <c r="K53" s="346">
        <v>1</v>
      </c>
      <c r="L53" s="18"/>
      <c r="M53" s="18"/>
      <c r="N53" s="18"/>
      <c r="O53" s="18"/>
      <c r="P53" s="18"/>
      <c r="Q53" s="18"/>
      <c r="R53" s="358">
        <v>1</v>
      </c>
    </row>
    <row r="54" spans="1:27">
      <c r="A54" s="9"/>
      <c r="B54" s="247"/>
      <c r="C54" s="460"/>
      <c r="D54" s="142"/>
      <c r="E54" s="142" t="str">
        <f ca="1">IEAData!H$199</f>
        <v>AGRHET</v>
      </c>
      <c r="F54" s="142" t="s">
        <v>201</v>
      </c>
      <c r="G54" s="143"/>
      <c r="H54" s="144"/>
      <c r="I54" s="144"/>
      <c r="J54" s="145"/>
      <c r="K54" s="347"/>
      <c r="L54" s="146"/>
      <c r="M54" s="146"/>
      <c r="N54" s="146"/>
      <c r="O54" s="146"/>
      <c r="P54" s="146"/>
      <c r="Q54" s="146"/>
      <c r="R54" s="501"/>
    </row>
    <row r="55" spans="1:27">
      <c r="B55" s="310" t="s">
        <v>1259</v>
      </c>
      <c r="C55" s="378" t="s">
        <v>1260</v>
      </c>
      <c r="D55" s="139" t="s">
        <v>432</v>
      </c>
      <c r="E55" s="12"/>
      <c r="F55" s="12"/>
      <c r="G55" s="139">
        <v>1</v>
      </c>
      <c r="H55" s="97">
        <v>1</v>
      </c>
      <c r="I55" s="40"/>
      <c r="J55" s="140"/>
      <c r="K55" s="346">
        <v>1</v>
      </c>
      <c r="L55" s="18"/>
      <c r="M55" s="18"/>
      <c r="N55" s="18"/>
      <c r="O55" s="18"/>
      <c r="P55" s="18"/>
      <c r="Q55" s="18"/>
      <c r="R55" s="358">
        <v>1</v>
      </c>
      <c r="S55" s="130"/>
      <c r="T55" s="130"/>
      <c r="U55" s="130"/>
      <c r="V55" s="130"/>
      <c r="W55" s="130"/>
      <c r="X55" s="130"/>
      <c r="Y55" s="130"/>
      <c r="Z55" s="130"/>
      <c r="AA55" s="130"/>
    </row>
    <row r="56" spans="1:27">
      <c r="B56" s="247"/>
      <c r="C56" s="460"/>
      <c r="D56" s="142"/>
      <c r="E56" s="142" t="s">
        <v>1257</v>
      </c>
      <c r="F56" s="142" t="s">
        <v>201</v>
      </c>
      <c r="G56" s="143"/>
      <c r="H56" s="144"/>
      <c r="I56" s="144"/>
      <c r="J56" s="145"/>
      <c r="K56" s="347"/>
      <c r="L56" s="146"/>
      <c r="M56" s="146"/>
      <c r="N56" s="146"/>
      <c r="O56" s="146"/>
      <c r="P56" s="146"/>
      <c r="Q56" s="146"/>
      <c r="R56" s="501"/>
    </row>
  </sheetData>
  <phoneticPr fontId="0" type="noConversion"/>
  <pageMargins left="0.75" right="0.75" top="1" bottom="1" header="0.5" footer="0.5"/>
  <pageSetup orientation="landscape"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dimension ref="A1:N54"/>
  <sheetViews>
    <sheetView zoomScale="75" workbookViewId="0">
      <selection activeCell="B73" sqref="B73"/>
    </sheetView>
  </sheetViews>
  <sheetFormatPr defaultColWidth="11.42578125" defaultRowHeight="12.75"/>
  <cols>
    <col min="1" max="1" width="8.85546875" style="115" customWidth="1"/>
    <col min="2" max="4" width="10.42578125" style="115" customWidth="1"/>
  </cols>
  <sheetData>
    <row r="1" spans="1:14">
      <c r="D1" s="248"/>
      <c r="E1" s="115"/>
      <c r="F1" s="115"/>
      <c r="N1" s="120"/>
    </row>
    <row r="2" spans="1:14">
      <c r="A2" s="119"/>
      <c r="B2" s="119"/>
      <c r="C2" s="119"/>
      <c r="D2" s="119"/>
      <c r="E2" s="119"/>
      <c r="F2" s="119"/>
      <c r="G2" s="119"/>
      <c r="H2" s="119"/>
      <c r="I2" s="119"/>
      <c r="J2" s="119"/>
      <c r="K2" s="119"/>
      <c r="L2" s="119"/>
    </row>
    <row r="4" spans="1:14" ht="18">
      <c r="A4" s="150" t="s">
        <v>290</v>
      </c>
      <c r="B4" s="131"/>
      <c r="C4" s="131"/>
      <c r="D4" s="131"/>
      <c r="H4" s="150" t="s">
        <v>739</v>
      </c>
      <c r="I4" s="131"/>
      <c r="J4" s="245" t="s">
        <v>740</v>
      </c>
    </row>
    <row r="5" spans="1:14" ht="13.5" thickBot="1">
      <c r="A5" s="249" t="s">
        <v>300</v>
      </c>
      <c r="B5" s="250" t="s">
        <v>18</v>
      </c>
      <c r="C5" s="250" t="s">
        <v>20</v>
      </c>
      <c r="D5" s="250" t="s">
        <v>19</v>
      </c>
      <c r="H5" s="309" t="s">
        <v>57</v>
      </c>
      <c r="I5" s="309" t="s">
        <v>58</v>
      </c>
      <c r="J5" s="309" t="s">
        <v>741</v>
      </c>
      <c r="K5" s="250" t="str">
        <f>B5</f>
        <v>AGRCO2N</v>
      </c>
      <c r="L5" s="250" t="str">
        <f>C5</f>
        <v>AGRCH4N</v>
      </c>
      <c r="M5" s="250" t="str">
        <f>D5</f>
        <v>AGRN2ON</v>
      </c>
      <c r="N5" s="250" t="s">
        <v>946</v>
      </c>
    </row>
    <row r="6" spans="1:14">
      <c r="A6" s="151" t="s">
        <v>437</v>
      </c>
      <c r="B6" s="185">
        <v>94</v>
      </c>
      <c r="C6" s="108">
        <v>50</v>
      </c>
      <c r="D6" s="108">
        <v>3</v>
      </c>
      <c r="F6" s="8"/>
      <c r="H6" s="310" t="s">
        <v>1178</v>
      </c>
      <c r="I6" s="12"/>
      <c r="J6" s="311" t="s">
        <v>436</v>
      </c>
      <c r="K6" s="40">
        <f t="shared" ref="K6:M8" si="0">B35</f>
        <v>56.1</v>
      </c>
      <c r="L6" s="40">
        <f t="shared" si="0"/>
        <v>5</v>
      </c>
      <c r="M6" s="40">
        <f t="shared" si="0"/>
        <v>0.6</v>
      </c>
      <c r="N6" s="18"/>
    </row>
    <row r="7" spans="1:14">
      <c r="A7" s="151" t="s">
        <v>438</v>
      </c>
      <c r="B7" s="185">
        <v>102</v>
      </c>
      <c r="C7" s="109">
        <f>C6</f>
        <v>50</v>
      </c>
      <c r="D7" s="109">
        <v>4</v>
      </c>
      <c r="F7" s="8"/>
      <c r="G7" s="39"/>
      <c r="H7" s="310"/>
      <c r="I7" s="12"/>
      <c r="J7" s="311" t="s">
        <v>440</v>
      </c>
      <c r="K7" s="40">
        <f t="shared" si="0"/>
        <v>56.1</v>
      </c>
      <c r="L7" s="40">
        <f t="shared" si="0"/>
        <v>5</v>
      </c>
      <c r="M7" s="40">
        <f t="shared" si="0"/>
        <v>0.6</v>
      </c>
      <c r="N7" s="18"/>
    </row>
    <row r="8" spans="1:14">
      <c r="A8" s="151" t="s">
        <v>439</v>
      </c>
      <c r="B8" s="185">
        <v>104.5</v>
      </c>
      <c r="C8" s="109">
        <f>C6</f>
        <v>50</v>
      </c>
      <c r="D8" s="109">
        <f>$D$6</f>
        <v>3</v>
      </c>
      <c r="F8" s="8"/>
      <c r="G8" s="39"/>
      <c r="H8" s="310"/>
      <c r="I8" s="12"/>
      <c r="J8" s="311" t="s">
        <v>441</v>
      </c>
      <c r="K8" s="40">
        <f t="shared" si="0"/>
        <v>56.1</v>
      </c>
      <c r="L8" s="40">
        <f t="shared" si="0"/>
        <v>5</v>
      </c>
      <c r="M8" s="40">
        <f t="shared" si="0"/>
        <v>0.6</v>
      </c>
      <c r="N8" s="18"/>
    </row>
    <row r="9" spans="1:14">
      <c r="A9" s="105" t="s">
        <v>35</v>
      </c>
      <c r="B9" s="185">
        <v>108.166666666667</v>
      </c>
      <c r="C9" s="109">
        <f>C6</f>
        <v>50</v>
      </c>
      <c r="D9" s="109">
        <f>$D$6</f>
        <v>3</v>
      </c>
      <c r="F9" s="8"/>
      <c r="G9" s="39"/>
      <c r="H9" s="310"/>
      <c r="I9" s="12"/>
      <c r="J9" s="311" t="s">
        <v>1009</v>
      </c>
      <c r="K9" s="40">
        <f>B43</f>
        <v>1E-4</v>
      </c>
      <c r="L9" s="40">
        <f>C43</f>
        <v>10</v>
      </c>
      <c r="M9" s="40">
        <f>D43</f>
        <v>0.6</v>
      </c>
      <c r="N9" s="18"/>
    </row>
    <row r="10" spans="1:14">
      <c r="A10" s="105" t="s">
        <v>36</v>
      </c>
      <c r="B10" s="185">
        <v>108.166666666667</v>
      </c>
      <c r="C10" s="109">
        <f>C6</f>
        <v>50</v>
      </c>
      <c r="D10" s="109">
        <f>$D$6</f>
        <v>3</v>
      </c>
      <c r="F10" s="8"/>
      <c r="G10" s="39"/>
      <c r="H10" s="310" t="s">
        <v>1179</v>
      </c>
      <c r="I10" s="12"/>
      <c r="J10" s="311" t="s">
        <v>436</v>
      </c>
      <c r="K10" s="40">
        <f>B35</f>
        <v>56.1</v>
      </c>
      <c r="L10" s="40">
        <f>C35</f>
        <v>5</v>
      </c>
      <c r="M10" s="40">
        <f>D35</f>
        <v>0.6</v>
      </c>
      <c r="N10" s="18"/>
    </row>
    <row r="11" spans="1:14">
      <c r="A11" s="105" t="s">
        <v>37</v>
      </c>
      <c r="B11" s="185">
        <v>108.166666666667</v>
      </c>
      <c r="C11" s="109">
        <f>C6</f>
        <v>50</v>
      </c>
      <c r="D11" s="109">
        <f>$D$6</f>
        <v>3</v>
      </c>
      <c r="F11" s="8"/>
      <c r="H11" s="310" t="s">
        <v>1172</v>
      </c>
      <c r="I11" s="12"/>
      <c r="J11" s="311" t="s">
        <v>221</v>
      </c>
      <c r="K11" s="40">
        <f>B25</f>
        <v>74.066666666666706</v>
      </c>
      <c r="L11" s="40">
        <f>C25</f>
        <v>10</v>
      </c>
      <c r="M11" s="40">
        <f>D25</f>
        <v>1.6</v>
      </c>
      <c r="N11" s="18"/>
    </row>
    <row r="12" spans="1:14">
      <c r="A12" s="106" t="s">
        <v>38</v>
      </c>
      <c r="B12" s="186">
        <v>100.833333333333</v>
      </c>
      <c r="C12" s="112">
        <f>C6</f>
        <v>50</v>
      </c>
      <c r="D12" s="112">
        <f>D6</f>
        <v>3</v>
      </c>
      <c r="F12" s="8"/>
      <c r="H12" s="310"/>
      <c r="I12" s="12"/>
      <c r="J12" s="311" t="s">
        <v>647</v>
      </c>
      <c r="K12" s="40">
        <f>B32</f>
        <v>73.3333333333333</v>
      </c>
      <c r="L12" s="40">
        <f>C32</f>
        <v>5</v>
      </c>
      <c r="M12" s="40">
        <f>D32</f>
        <v>2</v>
      </c>
      <c r="N12" s="18"/>
    </row>
    <row r="13" spans="1:14">
      <c r="A13" s="107" t="s">
        <v>39</v>
      </c>
      <c r="B13" s="185">
        <v>73.3333333333333</v>
      </c>
      <c r="C13" s="281">
        <v>10</v>
      </c>
      <c r="D13" s="108">
        <v>0.6</v>
      </c>
      <c r="F13" s="8"/>
      <c r="H13" s="310"/>
      <c r="I13" s="12"/>
      <c r="J13" s="311" t="s">
        <v>742</v>
      </c>
      <c r="K13" s="40">
        <f>B43</f>
        <v>1E-4</v>
      </c>
      <c r="L13" s="40">
        <f>C43</f>
        <v>10</v>
      </c>
      <c r="M13" s="40">
        <f>D43</f>
        <v>0.6</v>
      </c>
      <c r="N13" s="18"/>
    </row>
    <row r="14" spans="1:14">
      <c r="A14" s="105" t="s">
        <v>40</v>
      </c>
      <c r="B14" s="185">
        <v>73.3333333333333</v>
      </c>
      <c r="C14" s="283">
        <v>10</v>
      </c>
      <c r="D14" s="109">
        <f t="shared" ref="D14:D19" si="1">D13</f>
        <v>0.6</v>
      </c>
      <c r="F14" s="8"/>
      <c r="H14" s="310" t="s">
        <v>1174</v>
      </c>
      <c r="I14" s="12"/>
      <c r="J14" s="311" t="s">
        <v>220</v>
      </c>
      <c r="K14" s="40">
        <f>B20</f>
        <v>71.3</v>
      </c>
      <c r="L14" s="40">
        <f>C20</f>
        <v>50</v>
      </c>
      <c r="M14" s="40">
        <f>D20</f>
        <v>0.5</v>
      </c>
      <c r="N14" s="18"/>
    </row>
    <row r="15" spans="1:14">
      <c r="A15" s="152" t="s">
        <v>218</v>
      </c>
      <c r="B15" s="185">
        <v>73.3333333333333</v>
      </c>
      <c r="C15" s="283">
        <v>10</v>
      </c>
      <c r="D15" s="109">
        <f t="shared" si="1"/>
        <v>0.6</v>
      </c>
      <c r="F15" s="8"/>
      <c r="H15" s="310" t="s">
        <v>1175</v>
      </c>
      <c r="I15" s="12"/>
      <c r="J15" s="311" t="s">
        <v>217</v>
      </c>
      <c r="K15" s="40">
        <f>B26</f>
        <v>77.366666666666703</v>
      </c>
      <c r="L15" s="40">
        <f>C26</f>
        <v>10</v>
      </c>
      <c r="M15" s="40">
        <f>D26</f>
        <v>2</v>
      </c>
      <c r="N15" s="18"/>
    </row>
    <row r="16" spans="1:14">
      <c r="A16" s="105" t="s">
        <v>313</v>
      </c>
      <c r="B16" s="185">
        <v>63.066666666666698</v>
      </c>
      <c r="C16" s="283">
        <v>10</v>
      </c>
      <c r="D16" s="109">
        <f t="shared" si="1"/>
        <v>0.6</v>
      </c>
      <c r="F16" s="8"/>
      <c r="H16" s="310"/>
      <c r="I16" s="12"/>
      <c r="J16" s="311" t="s">
        <v>218</v>
      </c>
      <c r="K16" s="40">
        <f>B15</f>
        <v>73.3333333333333</v>
      </c>
      <c r="L16" s="40">
        <f>C15</f>
        <v>10</v>
      </c>
      <c r="M16" s="40">
        <f>D15</f>
        <v>0.6</v>
      </c>
      <c r="N16" s="18"/>
    </row>
    <row r="17" spans="1:14">
      <c r="A17" s="105" t="s">
        <v>314</v>
      </c>
      <c r="B17" s="185">
        <v>73.3333333333333</v>
      </c>
      <c r="C17" s="283">
        <v>10</v>
      </c>
      <c r="D17" s="109">
        <f t="shared" si="1"/>
        <v>0.6</v>
      </c>
      <c r="F17" s="8"/>
      <c r="H17" s="310" t="s">
        <v>1176</v>
      </c>
      <c r="I17" s="12"/>
      <c r="J17" s="311" t="s">
        <v>219</v>
      </c>
      <c r="K17" s="40">
        <f>B24</f>
        <v>71.866666666666703</v>
      </c>
      <c r="L17" s="40">
        <f>C24</f>
        <v>1</v>
      </c>
      <c r="M17" s="40">
        <f>D24</f>
        <v>2</v>
      </c>
      <c r="N17" s="18"/>
    </row>
    <row r="18" spans="1:14">
      <c r="A18" s="105" t="s">
        <v>315</v>
      </c>
      <c r="B18" s="185">
        <v>73.3333333333333</v>
      </c>
      <c r="C18" s="283">
        <v>10</v>
      </c>
      <c r="D18" s="109">
        <f t="shared" si="1"/>
        <v>0.6</v>
      </c>
      <c r="F18" s="8"/>
      <c r="H18" s="310" t="s">
        <v>1171</v>
      </c>
      <c r="I18" s="12"/>
      <c r="J18" s="311" t="s">
        <v>437</v>
      </c>
      <c r="K18" s="40">
        <f t="shared" ref="K18:M20" si="2">B6</f>
        <v>94</v>
      </c>
      <c r="L18" s="40">
        <f t="shared" si="2"/>
        <v>50</v>
      </c>
      <c r="M18" s="40">
        <f t="shared" si="2"/>
        <v>3</v>
      </c>
      <c r="N18" s="18"/>
    </row>
    <row r="19" spans="1:14">
      <c r="A19" s="105" t="s">
        <v>316</v>
      </c>
      <c r="B19" s="186">
        <v>73.3333333333333</v>
      </c>
      <c r="C19" s="283">
        <v>10</v>
      </c>
      <c r="D19" s="112">
        <f t="shared" si="1"/>
        <v>0.6</v>
      </c>
      <c r="F19" s="8"/>
      <c r="H19" s="310"/>
      <c r="I19" s="12"/>
      <c r="J19" s="311" t="s">
        <v>438</v>
      </c>
      <c r="K19" s="40">
        <f t="shared" si="2"/>
        <v>102</v>
      </c>
      <c r="L19" s="40">
        <f t="shared" si="2"/>
        <v>50</v>
      </c>
      <c r="M19" s="40">
        <f t="shared" si="2"/>
        <v>4</v>
      </c>
      <c r="N19" s="18"/>
    </row>
    <row r="20" spans="1:14">
      <c r="A20" s="107" t="s">
        <v>220</v>
      </c>
      <c r="B20" s="185">
        <v>71.3</v>
      </c>
      <c r="C20" s="281">
        <v>50</v>
      </c>
      <c r="D20" s="109">
        <v>0.5</v>
      </c>
      <c r="F20" s="8"/>
      <c r="H20" s="310"/>
      <c r="I20" s="12"/>
      <c r="J20" s="311" t="s">
        <v>439</v>
      </c>
      <c r="K20" s="40">
        <f t="shared" si="2"/>
        <v>104.5</v>
      </c>
      <c r="L20" s="40">
        <f t="shared" si="2"/>
        <v>50</v>
      </c>
      <c r="M20" s="40">
        <f t="shared" si="2"/>
        <v>3</v>
      </c>
      <c r="N20" s="18"/>
    </row>
    <row r="21" spans="1:14">
      <c r="A21" s="105" t="s">
        <v>317</v>
      </c>
      <c r="B21" s="185">
        <v>71.3</v>
      </c>
      <c r="C21" s="283">
        <v>1</v>
      </c>
      <c r="D21" s="109">
        <v>2</v>
      </c>
      <c r="F21" s="8"/>
      <c r="H21" s="310" t="s">
        <v>1177</v>
      </c>
      <c r="I21" s="12"/>
      <c r="J21" s="311" t="s">
        <v>110</v>
      </c>
      <c r="K21" s="40">
        <f>B38</f>
        <v>63.066666666666698</v>
      </c>
      <c r="L21" s="40">
        <f>C38</f>
        <v>5</v>
      </c>
      <c r="M21" s="40">
        <f>D38</f>
        <v>1</v>
      </c>
      <c r="N21" s="18"/>
    </row>
    <row r="22" spans="1:14">
      <c r="A22" s="105" t="s">
        <v>318</v>
      </c>
      <c r="B22" s="185">
        <v>69.3</v>
      </c>
      <c r="C22" s="283">
        <v>1</v>
      </c>
      <c r="D22" s="109">
        <f>D21</f>
        <v>2</v>
      </c>
      <c r="F22" s="8"/>
      <c r="H22" s="310" t="s">
        <v>1233</v>
      </c>
      <c r="I22" s="378"/>
      <c r="J22" s="574" t="s">
        <v>43</v>
      </c>
      <c r="K22" s="40">
        <f>K$9</f>
        <v>1E-4</v>
      </c>
      <c r="L22" s="40">
        <f>L$9</f>
        <v>10</v>
      </c>
      <c r="M22" s="40">
        <f>M$9</f>
        <v>0.6</v>
      </c>
      <c r="N22" s="18"/>
    </row>
    <row r="23" spans="1:14">
      <c r="A23" s="105" t="s">
        <v>319</v>
      </c>
      <c r="B23" s="185">
        <v>71.5</v>
      </c>
      <c r="C23" s="283">
        <v>1</v>
      </c>
      <c r="D23" s="109">
        <f>D22</f>
        <v>2</v>
      </c>
      <c r="F23" s="8"/>
      <c r="H23" s="310" t="s">
        <v>1168</v>
      </c>
      <c r="I23" s="12"/>
      <c r="J23" s="311" t="s">
        <v>943</v>
      </c>
      <c r="K23" s="40">
        <f>B40</f>
        <v>1E-4</v>
      </c>
      <c r="L23" s="40">
        <f>C40</f>
        <v>50</v>
      </c>
      <c r="M23" s="40">
        <f>D40</f>
        <v>2</v>
      </c>
      <c r="N23" s="358">
        <v>1</v>
      </c>
    </row>
    <row r="24" spans="1:14">
      <c r="A24" s="152" t="s">
        <v>219</v>
      </c>
      <c r="B24" s="185">
        <v>71.866666666666703</v>
      </c>
      <c r="C24" s="283">
        <v>1</v>
      </c>
      <c r="D24" s="109">
        <f>D23</f>
        <v>2</v>
      </c>
      <c r="F24" s="8"/>
      <c r="H24" s="310"/>
      <c r="I24" s="12"/>
      <c r="J24" s="311" t="s">
        <v>944</v>
      </c>
      <c r="K24" s="40">
        <f>B39</f>
        <v>1E-4</v>
      </c>
      <c r="L24" s="40">
        <f>L23</f>
        <v>50</v>
      </c>
      <c r="M24" s="40">
        <f>M23</f>
        <v>2</v>
      </c>
      <c r="N24" s="18"/>
    </row>
    <row r="25" spans="1:14">
      <c r="A25" s="152" t="s">
        <v>221</v>
      </c>
      <c r="B25" s="185">
        <v>74.066666666666706</v>
      </c>
      <c r="C25" s="283">
        <v>10</v>
      </c>
      <c r="D25" s="109">
        <v>1.6</v>
      </c>
      <c r="F25" s="8"/>
      <c r="H25" s="310"/>
      <c r="I25" s="12"/>
      <c r="J25" s="311" t="s">
        <v>1045</v>
      </c>
      <c r="K25" s="40">
        <f>K24</f>
        <v>1E-4</v>
      </c>
      <c r="L25" s="40">
        <f>L24</f>
        <v>50</v>
      </c>
      <c r="M25" s="40">
        <f>M24</f>
        <v>2</v>
      </c>
      <c r="N25" s="18"/>
    </row>
    <row r="26" spans="1:14">
      <c r="A26" s="152" t="s">
        <v>217</v>
      </c>
      <c r="B26" s="185">
        <v>77.366666666666703</v>
      </c>
      <c r="C26" s="283">
        <v>10</v>
      </c>
      <c r="D26" s="109">
        <v>2</v>
      </c>
      <c r="F26" s="8"/>
      <c r="H26" s="310" t="s">
        <v>1169</v>
      </c>
      <c r="I26" s="12"/>
      <c r="J26" s="311" t="s">
        <v>943</v>
      </c>
      <c r="K26" s="40">
        <f t="shared" ref="K26:M27" si="3">K23</f>
        <v>1E-4</v>
      </c>
      <c r="L26" s="40">
        <f t="shared" si="3"/>
        <v>50</v>
      </c>
      <c r="M26" s="40">
        <f t="shared" si="3"/>
        <v>2</v>
      </c>
      <c r="N26" s="18"/>
    </row>
    <row r="27" spans="1:14">
      <c r="A27" s="105" t="s">
        <v>320</v>
      </c>
      <c r="B27" s="185">
        <v>73.3333333333333</v>
      </c>
      <c r="C27" s="283">
        <v>5</v>
      </c>
      <c r="D27" s="109">
        <f t="shared" ref="D27:D32" si="4">D26</f>
        <v>2</v>
      </c>
      <c r="F27" s="8"/>
      <c r="H27" s="310"/>
      <c r="I27" s="12"/>
      <c r="J27" s="311" t="s">
        <v>944</v>
      </c>
      <c r="K27" s="40">
        <f t="shared" si="3"/>
        <v>1E-4</v>
      </c>
      <c r="L27" s="40">
        <f t="shared" si="3"/>
        <v>50</v>
      </c>
      <c r="M27" s="40">
        <f t="shared" si="3"/>
        <v>2</v>
      </c>
      <c r="N27" s="18"/>
    </row>
    <row r="28" spans="1:14">
      <c r="A28" s="105" t="s">
        <v>321</v>
      </c>
      <c r="B28" s="185">
        <v>73.3333333333333</v>
      </c>
      <c r="C28" s="283">
        <v>5</v>
      </c>
      <c r="D28" s="109">
        <f t="shared" si="4"/>
        <v>2</v>
      </c>
      <c r="F28" s="8"/>
      <c r="H28" s="310" t="s">
        <v>1170</v>
      </c>
      <c r="I28" s="12"/>
      <c r="J28" s="311" t="s">
        <v>929</v>
      </c>
      <c r="K28" s="40">
        <f t="shared" ref="K28:M29" si="5">K23</f>
        <v>1E-4</v>
      </c>
      <c r="L28" s="40">
        <f t="shared" si="5"/>
        <v>50</v>
      </c>
      <c r="M28" s="40">
        <f t="shared" si="5"/>
        <v>2</v>
      </c>
      <c r="N28" s="18"/>
    </row>
    <row r="29" spans="1:14">
      <c r="A29" s="105" t="s">
        <v>322</v>
      </c>
      <c r="B29" s="185">
        <v>73.3333333333333</v>
      </c>
      <c r="C29" s="283">
        <v>5</v>
      </c>
      <c r="D29" s="109">
        <f t="shared" si="4"/>
        <v>2</v>
      </c>
      <c r="F29" s="8"/>
      <c r="H29" s="310" t="s">
        <v>1252</v>
      </c>
      <c r="I29" s="12"/>
      <c r="J29" s="311" t="s">
        <v>1045</v>
      </c>
      <c r="K29" s="40">
        <f t="shared" si="5"/>
        <v>1E-4</v>
      </c>
      <c r="L29" s="40">
        <f t="shared" si="5"/>
        <v>50</v>
      </c>
      <c r="M29" s="40">
        <f t="shared" si="5"/>
        <v>2</v>
      </c>
      <c r="N29" s="18"/>
    </row>
    <row r="30" spans="1:14">
      <c r="A30" s="105" t="s">
        <v>323</v>
      </c>
      <c r="B30" s="185">
        <v>80.6666666666667</v>
      </c>
      <c r="C30" s="283">
        <v>5</v>
      </c>
      <c r="D30" s="109">
        <f t="shared" si="4"/>
        <v>2</v>
      </c>
      <c r="F30" s="8"/>
    </row>
    <row r="31" spans="1:14">
      <c r="A31" s="105" t="s">
        <v>324</v>
      </c>
      <c r="B31" s="185">
        <v>80.6666666666667</v>
      </c>
      <c r="C31" s="283">
        <v>5</v>
      </c>
      <c r="D31" s="109">
        <f t="shared" si="4"/>
        <v>2</v>
      </c>
      <c r="F31" s="8"/>
    </row>
    <row r="32" spans="1:14">
      <c r="A32" s="153" t="s">
        <v>647</v>
      </c>
      <c r="B32" s="186">
        <v>73.3333333333333</v>
      </c>
      <c r="C32" s="284">
        <v>5</v>
      </c>
      <c r="D32" s="109">
        <f t="shared" si="4"/>
        <v>2</v>
      </c>
      <c r="F32" s="8"/>
    </row>
    <row r="33" spans="1:6">
      <c r="A33" s="107" t="s">
        <v>325</v>
      </c>
      <c r="B33" s="185">
        <v>56.1</v>
      </c>
      <c r="C33" s="281">
        <v>5</v>
      </c>
      <c r="D33" s="113">
        <v>0.6</v>
      </c>
      <c r="F33" s="8"/>
    </row>
    <row r="34" spans="1:6">
      <c r="A34" s="105" t="s">
        <v>326</v>
      </c>
      <c r="B34" s="185">
        <v>61.6</v>
      </c>
      <c r="C34" s="283">
        <v>5</v>
      </c>
      <c r="D34" s="110">
        <f>D33</f>
        <v>0.6</v>
      </c>
      <c r="F34" s="8"/>
    </row>
    <row r="35" spans="1:6">
      <c r="A35" s="152" t="s">
        <v>436</v>
      </c>
      <c r="B35" s="185">
        <v>56.1</v>
      </c>
      <c r="C35" s="283">
        <v>5</v>
      </c>
      <c r="D35" s="110">
        <f>D34</f>
        <v>0.6</v>
      </c>
      <c r="F35" s="8"/>
    </row>
    <row r="36" spans="1:6">
      <c r="A36" s="152" t="s">
        <v>440</v>
      </c>
      <c r="B36" s="185">
        <v>56.1</v>
      </c>
      <c r="C36" s="283">
        <v>5</v>
      </c>
      <c r="D36" s="110">
        <f>D35</f>
        <v>0.6</v>
      </c>
      <c r="F36" s="8"/>
    </row>
    <row r="37" spans="1:6">
      <c r="A37" s="152" t="s">
        <v>441</v>
      </c>
      <c r="B37" s="185">
        <v>56.1</v>
      </c>
      <c r="C37" s="283">
        <v>5</v>
      </c>
      <c r="D37" s="110">
        <f>D36</f>
        <v>0.6</v>
      </c>
      <c r="F37" s="8"/>
    </row>
    <row r="38" spans="1:6">
      <c r="A38" s="153" t="s">
        <v>110</v>
      </c>
      <c r="B38" s="185">
        <v>63.066666666666698</v>
      </c>
      <c r="C38" s="284">
        <v>5</v>
      </c>
      <c r="D38" s="111">
        <v>1</v>
      </c>
      <c r="F38" s="8"/>
    </row>
    <row r="39" spans="1:6">
      <c r="A39" s="154" t="s">
        <v>589</v>
      </c>
      <c r="B39" s="113">
        <v>1E-4</v>
      </c>
      <c r="C39" s="113">
        <v>200</v>
      </c>
      <c r="D39" s="113">
        <v>2.5</v>
      </c>
      <c r="F39" s="8"/>
    </row>
    <row r="40" spans="1:6">
      <c r="A40" s="152" t="s">
        <v>454</v>
      </c>
      <c r="B40" s="110">
        <v>1E-4</v>
      </c>
      <c r="C40" s="110">
        <v>50</v>
      </c>
      <c r="D40" s="110">
        <v>2</v>
      </c>
      <c r="F40" s="8"/>
    </row>
    <row r="41" spans="1:6">
      <c r="A41" s="152" t="s">
        <v>457</v>
      </c>
      <c r="B41" s="110">
        <v>85.85</v>
      </c>
      <c r="C41" s="110">
        <f>$C$40</f>
        <v>50</v>
      </c>
      <c r="D41" s="110">
        <v>4</v>
      </c>
      <c r="F41" s="8"/>
    </row>
    <row r="42" spans="1:6">
      <c r="A42" s="152" t="s">
        <v>456</v>
      </c>
      <c r="B42" s="110">
        <v>85.85</v>
      </c>
      <c r="C42" s="110">
        <f>$C$40</f>
        <v>50</v>
      </c>
      <c r="D42" s="110">
        <v>4</v>
      </c>
      <c r="F42" s="8"/>
    </row>
    <row r="43" spans="1:6">
      <c r="A43" s="152" t="s">
        <v>455</v>
      </c>
      <c r="B43" s="110">
        <f>B40</f>
        <v>1E-4</v>
      </c>
      <c r="C43" s="110">
        <v>10</v>
      </c>
      <c r="D43" s="110">
        <v>0.6</v>
      </c>
      <c r="F43" s="8"/>
    </row>
    <row r="44" spans="1:6">
      <c r="A44" s="105" t="s">
        <v>327</v>
      </c>
      <c r="B44" s="110">
        <f>B40</f>
        <v>1E-4</v>
      </c>
      <c r="C44" s="110">
        <f>$C$40</f>
        <v>50</v>
      </c>
      <c r="D44" s="110">
        <v>2</v>
      </c>
      <c r="F44" s="8"/>
    </row>
    <row r="45" spans="1:6">
      <c r="A45" s="106" t="s">
        <v>328</v>
      </c>
      <c r="B45" s="111">
        <f>B40</f>
        <v>1E-4</v>
      </c>
      <c r="C45" s="111">
        <f>$C$40</f>
        <v>50</v>
      </c>
      <c r="D45" s="111">
        <v>2</v>
      </c>
      <c r="F45" s="8"/>
    </row>
    <row r="46" spans="1:6">
      <c r="A46" s="114" t="s">
        <v>14</v>
      </c>
    </row>
    <row r="47" spans="1:6">
      <c r="A47" s="115" t="s">
        <v>329</v>
      </c>
    </row>
    <row r="48" spans="1:6">
      <c r="A48" s="115" t="s">
        <v>13</v>
      </c>
    </row>
    <row r="50" spans="1:1">
      <c r="A50" s="8" t="s">
        <v>45</v>
      </c>
    </row>
    <row r="51" spans="1:1">
      <c r="A51" s="8" t="s">
        <v>46</v>
      </c>
    </row>
    <row r="52" spans="1:1">
      <c r="A52" s="8" t="s">
        <v>47</v>
      </c>
    </row>
    <row r="54" spans="1:1">
      <c r="A54" s="115" t="s">
        <v>75</v>
      </c>
    </row>
  </sheetData>
  <phoneticPr fontId="0"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dimension ref="A1:AN72"/>
  <sheetViews>
    <sheetView zoomScale="75" workbookViewId="0">
      <selection activeCell="B73" sqref="B73"/>
    </sheetView>
  </sheetViews>
  <sheetFormatPr defaultColWidth="11.42578125" defaultRowHeight="12.75"/>
  <cols>
    <col min="1" max="1" width="9.140625" customWidth="1"/>
    <col min="2" max="2" width="17.28515625" customWidth="1"/>
    <col min="3" max="3" width="26.42578125" customWidth="1"/>
    <col min="4" max="4" width="11.28515625" customWidth="1"/>
    <col min="5" max="5" width="9" bestFit="1" customWidth="1"/>
    <col min="6" max="6" width="8.28515625" customWidth="1"/>
    <col min="7" max="7" width="8.7109375" customWidth="1"/>
    <col min="8" max="8" width="9.5703125" customWidth="1"/>
    <col min="9" max="10" width="9" bestFit="1" customWidth="1"/>
    <col min="11" max="11" width="9" customWidth="1"/>
    <col min="12" max="12" width="11.140625" customWidth="1"/>
    <col min="13" max="13" width="10.7109375" customWidth="1"/>
    <col min="14" max="14" width="9.140625" customWidth="1"/>
    <col min="15" max="18" width="9.5703125" customWidth="1"/>
    <col min="19" max="19" width="8.42578125" customWidth="1"/>
    <col min="20" max="20" width="8" customWidth="1"/>
    <col min="21" max="22" width="8.42578125" customWidth="1"/>
    <col min="23" max="23" width="7.42578125" customWidth="1"/>
    <col min="24" max="29" width="11.42578125" customWidth="1"/>
    <col min="30" max="30" width="8.5703125" customWidth="1"/>
  </cols>
  <sheetData>
    <row r="1" spans="1:32" ht="18">
      <c r="A1" s="10" t="s">
        <v>435</v>
      </c>
      <c r="P1">
        <f ca="1">RIGHT(P5,4)-AuxYear</f>
        <v>-7</v>
      </c>
      <c r="Q1">
        <f ca="1">RIGHT(Q5,4)-AuxYear-SUM(O1:$P1)</f>
        <v>7</v>
      </c>
      <c r="R1">
        <f ca="1">RIGHT(R5,4)-AuxYear-SUM($P1:Q1)</f>
        <v>13</v>
      </c>
      <c r="S1">
        <f ca="1">RIGHT(S5,4)-AuxYear-SUM($P1:R1)</f>
        <v>20</v>
      </c>
      <c r="T1">
        <f ca="1">RIGHT(T5,4)-AuxYear-SUM($P1:S1)</f>
        <v>50</v>
      </c>
      <c r="Y1">
        <v>1.0009999999999999</v>
      </c>
    </row>
    <row r="2" spans="1:32" ht="18">
      <c r="A2" s="10"/>
      <c r="D2" s="252"/>
    </row>
    <row r="3" spans="1:32" ht="18">
      <c r="A3" s="10"/>
      <c r="B3" s="16"/>
      <c r="C3" s="17"/>
      <c r="D3" s="252"/>
      <c r="H3" t="s">
        <v>250</v>
      </c>
    </row>
    <row r="4" spans="1:32" ht="18">
      <c r="B4" s="131" t="s">
        <v>593</v>
      </c>
      <c r="C4" s="98"/>
      <c r="E4" s="252" t="str">
        <f>"~FI_T: "&amp;Region</f>
        <v>~FI_T: FIN</v>
      </c>
      <c r="F4" s="93"/>
    </row>
    <row r="5" spans="1:32" ht="36.75" customHeight="1" thickBot="1">
      <c r="B5" s="52" t="s">
        <v>57</v>
      </c>
      <c r="C5" s="52" t="s">
        <v>58</v>
      </c>
      <c r="D5" s="52" t="s">
        <v>56</v>
      </c>
      <c r="E5" s="52" t="s">
        <v>59</v>
      </c>
      <c r="F5" s="52" t="str">
        <f ca="1">CONCATENATE("\I:",IEAData!$F$2," final energy")</f>
        <v>\I:2010 final energy</v>
      </c>
      <c r="G5" s="52" t="str">
        <f ca="1">CONCATENATE("\I:",AuxData!$F$2," final energy")</f>
        <v>\I:2017 final energy</v>
      </c>
      <c r="H5" s="330" t="str">
        <f ca="1">CONCATENATE("\I:",IEAData!$D$2," Service Demand")</f>
        <v>\I: Service Demand</v>
      </c>
      <c r="I5" s="52" t="str">
        <f ca="1">"CF~"&amp;AuxYear</f>
        <v>CF~2017</v>
      </c>
      <c r="J5" s="52" t="s">
        <v>731</v>
      </c>
      <c r="K5" s="52" t="str">
        <f ca="1">J5&amp;"~"&amp;AuxYear</f>
        <v>CEFF~2017</v>
      </c>
      <c r="L5" s="52" t="str">
        <f ca="1">"CEFF~"&amp;CEILING(AuxYear+2,5)</f>
        <v>CEFF~2020</v>
      </c>
      <c r="M5" s="52" t="s">
        <v>732</v>
      </c>
      <c r="N5" s="52" t="s">
        <v>733</v>
      </c>
      <c r="O5" s="52" t="s">
        <v>734</v>
      </c>
      <c r="P5" s="52" t="s">
        <v>378</v>
      </c>
      <c r="Q5" s="52" t="str">
        <f ca="1">O5&amp;"~"&amp;AuxYear</f>
        <v>Share~UP~2017</v>
      </c>
      <c r="R5" s="52" t="s">
        <v>735</v>
      </c>
      <c r="S5" s="52" t="s">
        <v>736</v>
      </c>
      <c r="T5" s="52" t="s">
        <v>737</v>
      </c>
      <c r="U5" s="52" t="s">
        <v>541</v>
      </c>
      <c r="V5" s="52" t="str">
        <f ca="1">U5&amp;"~"&amp;AuxYear</f>
        <v>RESID~2017</v>
      </c>
      <c r="W5" s="52" t="str">
        <f ca="1">"RESID~"&amp;CEILING(AuxYear+22,5)</f>
        <v>RESID~2040</v>
      </c>
      <c r="X5" s="52" t="s">
        <v>1255</v>
      </c>
      <c r="Y5" s="52" t="s">
        <v>809</v>
      </c>
      <c r="Z5" s="52" t="str">
        <f ca="1">"FLO_MARK~FX~"&amp;AuxYear</f>
        <v>FLO_MARK~FX~2017</v>
      </c>
      <c r="AA5" s="52" t="s">
        <v>810</v>
      </c>
      <c r="AB5" s="52" t="s">
        <v>815</v>
      </c>
      <c r="AC5" s="52" t="str">
        <f ca="1">"CF~"&amp;CEILING(AuxYear+2,5)</f>
        <v>CF~2020</v>
      </c>
      <c r="AD5" s="52" t="s">
        <v>1063</v>
      </c>
      <c r="AF5" s="447" t="s">
        <v>1057</v>
      </c>
    </row>
    <row r="6" spans="1:32" ht="15" customHeight="1">
      <c r="B6" s="76" t="s">
        <v>726</v>
      </c>
      <c r="C6" s="378" t="s">
        <v>728</v>
      </c>
      <c r="D6" s="12" t="str">
        <f ca="1">IEAData!H191</f>
        <v>AGRDST</v>
      </c>
      <c r="E6" s="12"/>
      <c r="F6" s="308">
        <f ca="1">SUMIF(IEAData!$K$190:$K$201,D6,INDEX(IEAData!$O$190:$Q$201,0,AF6))-F14</f>
        <v>12.907530986400005</v>
      </c>
      <c r="G6" s="308">
        <f ca="1">SUMIF(AuxData!$K$190:$K$201,D6,INDEX(AuxData!$O$190:$Q$201,0,AF6))-G14</f>
        <v>9.9858245000000014</v>
      </c>
      <c r="H6" s="383">
        <f>G6*K6</f>
        <v>3.295322085</v>
      </c>
      <c r="I6" s="12">
        <v>1</v>
      </c>
      <c r="J6" s="97">
        <v>0.3</v>
      </c>
      <c r="K6" s="97">
        <f>J6*0.4+L6*0.6</f>
        <v>0.32999999999999996</v>
      </c>
      <c r="L6" s="97">
        <v>0.35</v>
      </c>
      <c r="M6" s="97">
        <v>0.43</v>
      </c>
      <c r="N6" s="97">
        <v>0.5</v>
      </c>
      <c r="O6" s="97">
        <f ca="1">F6/IEAData!$L$202</f>
        <v>0.72217568506983043</v>
      </c>
      <c r="P6" s="40">
        <f>F6/F$8</f>
        <v>0.78995707266396309</v>
      </c>
      <c r="Q6" s="40">
        <f>G6/G$8</f>
        <v>0.9659501894281346</v>
      </c>
      <c r="R6" s="40">
        <f t="shared" ref="R6:T7" si="0">1-(1-Q6)*0.99^R$1</f>
        <v>0.97012057539405561</v>
      </c>
      <c r="S6" s="40">
        <f t="shared" si="0"/>
        <v>0.9755614113233847</v>
      </c>
      <c r="T6" s="40">
        <f t="shared" si="0"/>
        <v>0.98521450557836909</v>
      </c>
      <c r="U6" s="12"/>
      <c r="V6" s="12"/>
      <c r="W6" s="12"/>
      <c r="X6" s="12"/>
      <c r="Y6" s="12"/>
      <c r="Z6" s="12"/>
      <c r="AA6" s="12"/>
      <c r="AB6" s="12"/>
      <c r="AC6" s="12"/>
      <c r="AD6" s="12"/>
      <c r="AF6" s="523">
        <v>1</v>
      </c>
    </row>
    <row r="7" spans="1:32" ht="15" customHeight="1">
      <c r="B7" s="12"/>
      <c r="C7" s="25"/>
      <c r="D7" s="12" t="str">
        <f ca="1">IEAData!H192</f>
        <v>AGRGSL</v>
      </c>
      <c r="E7" s="12"/>
      <c r="F7" s="308">
        <f ca="1">SUMIF(IEAData!$K$190:$K$201,D7,INDEX(IEAData!$O$190:$Q$201,0,AF7))</f>
        <v>3.4320036959999998</v>
      </c>
      <c r="G7" s="308">
        <f ca="1">SUMIF(AuxData!$K$190:$K$201,D7,INDEX(AuxData!$O$190:$Q$201,0,AF7))</f>
        <v>0.35200100000000001</v>
      </c>
      <c r="H7" s="383">
        <f>G7*K7</f>
        <v>9.8560280000000014E-2</v>
      </c>
      <c r="I7" s="12"/>
      <c r="J7" s="97">
        <v>0.25</v>
      </c>
      <c r="K7" s="97">
        <f>J7*0.4+L7*0.6</f>
        <v>0.28000000000000003</v>
      </c>
      <c r="L7" s="97">
        <v>0.3</v>
      </c>
      <c r="M7" s="97">
        <v>0.38</v>
      </c>
      <c r="N7" s="97">
        <v>0.44</v>
      </c>
      <c r="O7" s="97">
        <f ca="1">1-O6+0.01</f>
        <v>0.28782431493016958</v>
      </c>
      <c r="P7" s="40">
        <f>1-P6+0.01</f>
        <v>0.22004292733603692</v>
      </c>
      <c r="Q7" s="40">
        <f>1-Q6+0.01</f>
        <v>4.4049810571865404E-2</v>
      </c>
      <c r="R7" s="40">
        <f t="shared" si="0"/>
        <v>0.1611336118369664</v>
      </c>
      <c r="S7" s="40">
        <f t="shared" si="0"/>
        <v>0.31388536140432344</v>
      </c>
      <c r="T7" s="40">
        <f t="shared" si="0"/>
        <v>0.58489648089773771</v>
      </c>
      <c r="U7" s="12"/>
      <c r="V7" s="12"/>
      <c r="W7" s="12"/>
      <c r="X7" s="12"/>
      <c r="Y7" s="12"/>
      <c r="Z7" s="12"/>
      <c r="AA7" s="12"/>
      <c r="AB7" s="12"/>
      <c r="AC7" s="12"/>
      <c r="AD7" s="12"/>
      <c r="AF7" s="523">
        <v>1</v>
      </c>
    </row>
    <row r="8" spans="1:32" ht="15" customHeight="1">
      <c r="B8" s="12"/>
      <c r="C8" s="25"/>
      <c r="D8" s="12"/>
      <c r="E8" s="12" t="s">
        <v>434</v>
      </c>
      <c r="F8" s="308">
        <f ca="1">SUM(F6:F7)</f>
        <v>16.339534682400004</v>
      </c>
      <c r="G8" s="308">
        <f ca="1">SUM(G6:G7)</f>
        <v>10.337825500000001</v>
      </c>
      <c r="H8" s="383"/>
      <c r="I8" s="12"/>
      <c r="J8" s="97"/>
      <c r="K8" s="97"/>
      <c r="L8" s="97"/>
      <c r="M8" s="97"/>
      <c r="N8" s="97"/>
      <c r="O8" s="97"/>
      <c r="P8" s="40"/>
      <c r="Q8" s="40"/>
      <c r="R8" s="40"/>
      <c r="S8" s="40"/>
      <c r="T8" s="40"/>
      <c r="U8" s="12"/>
      <c r="V8" s="12"/>
      <c r="W8" s="12"/>
      <c r="X8" s="12"/>
      <c r="Y8" s="148">
        <f ca="1">SUMPRODUCT(F6:F7,J6:J7)/J$27</f>
        <v>0.23989670120943621</v>
      </c>
      <c r="Z8" s="148">
        <f ca="1">SUMPRODUCT(G6:G7,K6:K7)/K$27</f>
        <v>0.19532931495792696</v>
      </c>
      <c r="AA8" s="148">
        <f ca="1">Z8*0.9985^40</f>
        <v>0.18394593515608956</v>
      </c>
      <c r="AB8" s="148">
        <f ca="1">AA8*0.998^50</f>
        <v>0.16642449951724878</v>
      </c>
      <c r="AC8" s="12"/>
      <c r="AD8" s="12"/>
      <c r="AF8" s="523"/>
    </row>
    <row r="9" spans="1:32" ht="15" customHeight="1">
      <c r="B9" s="76" t="s">
        <v>727</v>
      </c>
      <c r="C9" s="378" t="s">
        <v>730</v>
      </c>
      <c r="D9" s="12" t="str">
        <f ca="1">COMM!$C$40</f>
        <v>AGRELA</v>
      </c>
      <c r="E9" s="12"/>
      <c r="F9" s="308">
        <f ca="1">SUMIF(IEAData!$K$190:$K$201,D9,INDEX(IEAData!$O$190:$Q$201,0,AF9))</f>
        <v>2.1310128000000002</v>
      </c>
      <c r="G9" s="308">
        <f ca="1">SUMIF(AuxData!$K$190:$K$201,D9,INDEX(AuxData!$O$190:$Q$201,0,AF9))</f>
        <v>2.2128844879999998</v>
      </c>
      <c r="H9" s="383">
        <f t="shared" ref="H9:H14" si="1">G9*K9</f>
        <v>1.9915960391999998</v>
      </c>
      <c r="I9" s="12">
        <v>1</v>
      </c>
      <c r="J9" s="97">
        <v>0.9</v>
      </c>
      <c r="K9" s="97">
        <f>J9</f>
        <v>0.9</v>
      </c>
      <c r="L9" s="97"/>
      <c r="M9" s="97"/>
      <c r="N9" s="97"/>
      <c r="O9" s="97">
        <f ca="1">F9/IEAData!$M$202</f>
        <v>0.96547283922534122</v>
      </c>
      <c r="P9" s="40">
        <f>F9/F$13+0.001</f>
        <v>0.96647283922534111</v>
      </c>
      <c r="Q9" s="40">
        <f>G9/G$13+0.001</f>
        <v>0.98783555970478409</v>
      </c>
      <c r="R9" s="40">
        <f>1-(1-Q9)*0.98^R$1</f>
        <v>0.99064527306016115</v>
      </c>
      <c r="S9" s="40">
        <f>1-(1-R9)*0.98^S$1</f>
        <v>0.99375470972137148</v>
      </c>
      <c r="T9" s="40">
        <f>1-(1-S9)*0.98^T$1</f>
        <v>0.99772565463718066</v>
      </c>
      <c r="U9" s="12"/>
      <c r="V9" s="12"/>
      <c r="W9" s="12"/>
      <c r="X9" s="12"/>
      <c r="Y9" s="12"/>
      <c r="Z9" s="12"/>
      <c r="AA9" s="12"/>
      <c r="AB9" s="12"/>
      <c r="AC9" s="12"/>
      <c r="AD9" s="12"/>
      <c r="AF9" s="523">
        <v>2</v>
      </c>
    </row>
    <row r="10" spans="1:32" ht="15" customHeight="1">
      <c r="B10" s="12"/>
      <c r="C10" s="25"/>
      <c r="D10" s="12" t="str">
        <f ca="1">IEAData!H190</f>
        <v>AGRNGA</v>
      </c>
      <c r="E10" s="12"/>
      <c r="F10" s="308">
        <f ca="1">SUMIF(IEAData!$K$190:$K$201,D10,INDEX(IEAData!$O$190:$Q$201,0,AF10))</f>
        <v>3.9407133600000005E-2</v>
      </c>
      <c r="G10" s="308">
        <f ca="1">SUMIF(AuxData!$K$190:$K$201,D10,INDEX(AuxData!$O$190:$Q$201,0,AF10))</f>
        <v>1.9197799999999994E-3</v>
      </c>
      <c r="H10" s="383">
        <f t="shared" si="1"/>
        <v>6.7192299999999973E-4</v>
      </c>
      <c r="I10" s="12"/>
      <c r="J10" s="97">
        <v>0.35</v>
      </c>
      <c r="K10" s="97">
        <f>J10</f>
        <v>0.35</v>
      </c>
      <c r="L10" s="97"/>
      <c r="M10" s="97"/>
      <c r="N10" s="97"/>
      <c r="O10" s="97">
        <f ca="1">F10/IEAData!$M$202</f>
        <v>1.7853725309638847E-2</v>
      </c>
      <c r="P10" s="40">
        <f>F10/F$13+0.001</f>
        <v>1.8853725309638844E-2</v>
      </c>
      <c r="Q10" s="40">
        <f>G10/G$13+0.001</f>
        <v>1.8561256500660372E-3</v>
      </c>
      <c r="R10" s="40">
        <f t="shared" ref="R10:T12" si="2">1-(1-Q10)*0.995^R$1</f>
        <v>6.4824338513573831E-2</v>
      </c>
      <c r="S10" s="40">
        <f t="shared" si="2"/>
        <v>0.15403029572163063</v>
      </c>
      <c r="T10" s="40">
        <f t="shared" si="2"/>
        <v>0.34157115626049916</v>
      </c>
      <c r="U10" s="12"/>
      <c r="V10" s="12"/>
      <c r="W10" s="12"/>
      <c r="X10" s="12"/>
      <c r="Y10" s="12"/>
      <c r="Z10" s="12"/>
      <c r="AA10" s="12"/>
      <c r="AB10" s="12"/>
      <c r="AC10" s="12"/>
      <c r="AD10" s="12"/>
      <c r="AF10" s="523">
        <v>2</v>
      </c>
    </row>
    <row r="11" spans="1:32" ht="15" customHeight="1">
      <c r="B11" s="12"/>
      <c r="C11" s="25"/>
      <c r="D11" s="12" t="str">
        <f ca="1">IEAData!H194</f>
        <v>AGRKER</v>
      </c>
      <c r="E11" s="12"/>
      <c r="F11" s="308">
        <f ca="1">SUMIF(IEAData!$K$190:$K$201,D11,INDEX(IEAData!$O$190:$Q$201,0,AF11))</f>
        <v>0</v>
      </c>
      <c r="G11" s="308">
        <f ca="1">SUMIF(AuxData!$K$190:$K$201,D11,INDEX(AuxData!$O$190:$Q$201,0,AF11))</f>
        <v>0</v>
      </c>
      <c r="H11" s="383">
        <f t="shared" si="1"/>
        <v>0</v>
      </c>
      <c r="I11" s="12"/>
      <c r="J11" s="97">
        <v>0.3</v>
      </c>
      <c r="K11" s="97">
        <f>J11</f>
        <v>0.3</v>
      </c>
      <c r="L11" s="97"/>
      <c r="M11" s="97"/>
      <c r="N11" s="97"/>
      <c r="O11" s="97">
        <f ca="1">F11/IEAData!$M$202+0.01</f>
        <v>0.01</v>
      </c>
      <c r="P11" s="40">
        <f>F11/F$13+0.005</f>
        <v>5.0000000000000001E-3</v>
      </c>
      <c r="Q11" s="40">
        <f>G11/G$13+0.005</f>
        <v>5.0000000000000001E-3</v>
      </c>
      <c r="R11" s="40">
        <f t="shared" si="2"/>
        <v>6.7769880584594877E-2</v>
      </c>
      <c r="S11" s="40">
        <f t="shared" si="2"/>
        <v>0.1566948639491661</v>
      </c>
      <c r="T11" s="40">
        <f t="shared" si="2"/>
        <v>0.34364502317115619</v>
      </c>
      <c r="U11" s="12"/>
      <c r="V11" s="12"/>
      <c r="W11" s="12"/>
      <c r="X11" s="12"/>
      <c r="Y11" s="12"/>
      <c r="Z11" s="12"/>
      <c r="AA11" s="148"/>
      <c r="AB11" s="148"/>
      <c r="AC11" s="12"/>
      <c r="AD11" s="12"/>
      <c r="AF11" s="523">
        <v>2</v>
      </c>
    </row>
    <row r="12" spans="1:32" ht="15" customHeight="1">
      <c r="B12" s="12"/>
      <c r="C12" s="25"/>
      <c r="D12" s="12" t="str">
        <f ca="1">IEAData!H196</f>
        <v>AGRLPG</v>
      </c>
      <c r="E12" s="12"/>
      <c r="F12" s="308">
        <f ca="1">SUMIF(IEAData!$K$190:$K$201,D12,INDEX(IEAData!$O$190:$Q$201,0,AF12))</f>
        <v>3.6801972000000002E-2</v>
      </c>
      <c r="G12" s="308">
        <f ca="1">SUMIF(AuxData!$K$190:$K$201,D12,INDEX(AuxData!$O$190:$Q$201,0,AF12))</f>
        <v>2.7600220000000005E-2</v>
      </c>
      <c r="H12" s="383">
        <f t="shared" si="1"/>
        <v>9.6600770000000013E-3</v>
      </c>
      <c r="I12" s="12"/>
      <c r="J12" s="97">
        <v>0.35</v>
      </c>
      <c r="K12" s="97">
        <f>J12</f>
        <v>0.35</v>
      </c>
      <c r="L12" s="97"/>
      <c r="M12" s="97"/>
      <c r="N12" s="97"/>
      <c r="O12" s="97">
        <f ca="1">F12/IEAData!$M$202+0.01</f>
        <v>2.6673435465019969E-2</v>
      </c>
      <c r="P12" s="40">
        <f>F12/F$13+0.005</f>
        <v>2.1673435465019968E-2</v>
      </c>
      <c r="Q12" s="40">
        <f>G12/G$13+0.005</f>
        <v>1.7308314645149786E-2</v>
      </c>
      <c r="R12" s="40">
        <f t="shared" si="2"/>
        <v>7.9301721420223403E-2</v>
      </c>
      <c r="S12" s="40">
        <f t="shared" si="2"/>
        <v>0.16712668802593444</v>
      </c>
      <c r="T12" s="40">
        <f t="shared" si="2"/>
        <v>0.35176424284323593</v>
      </c>
      <c r="U12" s="12"/>
      <c r="V12" s="12"/>
      <c r="W12" s="12"/>
      <c r="X12" s="12"/>
      <c r="Y12" s="12"/>
      <c r="Z12" s="12"/>
      <c r="AA12" s="12"/>
      <c r="AB12" s="12"/>
      <c r="AC12" s="12"/>
      <c r="AD12" s="12"/>
      <c r="AF12" s="523">
        <v>2</v>
      </c>
    </row>
    <row r="13" spans="1:32" ht="15" customHeight="1">
      <c r="B13" s="12"/>
      <c r="C13" s="25"/>
      <c r="D13" s="12"/>
      <c r="E13" s="12" t="s">
        <v>434</v>
      </c>
      <c r="F13" s="308">
        <f ca="1">SUM(F9:F12)</f>
        <v>2.2072219056000004</v>
      </c>
      <c r="G13" s="308">
        <f ca="1">SUM(G9:G12)</f>
        <v>2.242404488</v>
      </c>
      <c r="H13" s="383">
        <f t="shared" si="1"/>
        <v>0</v>
      </c>
      <c r="I13" s="12"/>
      <c r="J13" s="97"/>
      <c r="K13" s="97"/>
      <c r="L13" s="97"/>
      <c r="M13" s="97"/>
      <c r="N13" s="97"/>
      <c r="O13" s="97"/>
      <c r="P13" s="40"/>
      <c r="Q13" s="40"/>
      <c r="R13" s="40"/>
      <c r="S13" s="40"/>
      <c r="T13" s="40"/>
      <c r="U13" s="12"/>
      <c r="V13" s="12"/>
      <c r="W13" s="12"/>
      <c r="X13" s="12"/>
      <c r="Y13" s="148">
        <f ca="1">SUMPRODUCT(F9:F12,J9:J12)/J$27</f>
        <v>9.8620252318785073E-2</v>
      </c>
      <c r="Z13" s="148">
        <f ca="1">SUMPRODUCT(G9:G12,K9:K12)/K$27</f>
        <v>0.11521767416708975</v>
      </c>
      <c r="AA13" s="148">
        <f ca="1">1-AA8-AA14-(1-Z13-Z8-Z14)*0.9985^40</f>
        <v>0.16724577235179217</v>
      </c>
      <c r="AB13" s="148">
        <f ca="1">1-AB8-(1-AA13-AA8)*0.998^50</f>
        <v>0.24656826235587537</v>
      </c>
      <c r="AC13" s="12"/>
      <c r="AD13" s="12"/>
      <c r="AF13" s="523"/>
    </row>
    <row r="14" spans="1:32" ht="15" customHeight="1">
      <c r="B14" s="76" t="s">
        <v>957</v>
      </c>
      <c r="C14" s="25" t="s">
        <v>958</v>
      </c>
      <c r="D14" s="12" t="str">
        <f ca="1">D$6</f>
        <v>AGRDST</v>
      </c>
      <c r="E14" s="12" t="s">
        <v>434</v>
      </c>
      <c r="F14" s="308">
        <f ca="1">IEAData!$B$197</f>
        <v>1.533582972</v>
      </c>
      <c r="G14" s="308">
        <f ca="1">AuxData!$C$197</f>
        <v>1.2353991</v>
      </c>
      <c r="H14" s="383">
        <f t="shared" si="1"/>
        <v>0.43238968499999997</v>
      </c>
      <c r="I14" s="12"/>
      <c r="J14" s="97">
        <v>0.33</v>
      </c>
      <c r="K14" s="97">
        <v>0.35</v>
      </c>
      <c r="L14" s="97"/>
      <c r="M14" s="97">
        <v>0.45</v>
      </c>
      <c r="N14" s="97">
        <v>0.5</v>
      </c>
      <c r="O14" s="97"/>
      <c r="P14" s="40"/>
      <c r="Q14" s="40"/>
      <c r="R14" s="40"/>
      <c r="S14" s="40"/>
      <c r="T14" s="40"/>
      <c r="U14" s="12"/>
      <c r="V14" s="12"/>
      <c r="W14" s="12"/>
      <c r="X14" s="12"/>
      <c r="Y14" s="148">
        <f ca="1">SUMPRODUCT(F14,J14)/J$27</f>
        <v>2.5666134216733454E-2</v>
      </c>
      <c r="Z14" s="148">
        <f ca="1">SUMPRODUCT(G14,K14)/K$27</f>
        <v>2.4885476832348555E-2</v>
      </c>
      <c r="AA14" s="148">
        <f ca="1">Z14*0.998^40</f>
        <v>2.2970350295987822E-2</v>
      </c>
      <c r="AB14" s="148">
        <f ca="1">AA14*0.998^50</f>
        <v>2.078235133873305E-2</v>
      </c>
      <c r="AC14" s="12"/>
      <c r="AD14" s="12"/>
      <c r="AF14" s="523"/>
    </row>
    <row r="15" spans="1:32" ht="15" customHeight="1">
      <c r="B15" s="434" t="s">
        <v>999</v>
      </c>
      <c r="C15" s="189"/>
      <c r="D15" s="190"/>
      <c r="E15" s="190"/>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190"/>
      <c r="AF15" s="190"/>
    </row>
    <row r="16" spans="1:32" ht="15" customHeight="1">
      <c r="B16" s="76" t="str">
        <f t="shared" ref="B16:B22" si="3">"AGH"&amp;RIGHT(D16,3)&amp;"00"</f>
        <v>AGHNGA00</v>
      </c>
      <c r="C16" s="25" t="str">
        <f t="shared" ref="C16:C26" si="4">"Agriculture Heat "&amp;RIGHT(D16,3)</f>
        <v>Agriculture Heat NGA</v>
      </c>
      <c r="D16" s="12" t="str">
        <f ca="1">IEAData!H190</f>
        <v>AGRNGA</v>
      </c>
      <c r="E16" s="12" t="s">
        <v>808</v>
      </c>
      <c r="F16" s="308">
        <f ca="1">SUMIF(IEAData!$K$190:$K$201,D16,INDEX(IEAData!$O$190:$Q$201,0,AF16))</f>
        <v>0.35466420240000007</v>
      </c>
      <c r="G16" s="308">
        <f ca="1">SUMIF(AuxData!$K$190:$K$201,D16,INDEX(AuxData!$O$190:$Q$201,0,AF16))</f>
        <v>1.7278019999999995E-2</v>
      </c>
      <c r="H16" s="383">
        <f t="shared" ref="H16:H26" si="5">G16*K16</f>
        <v>1.4070458524978983E-2</v>
      </c>
      <c r="I16" s="12">
        <v>0.28000000000000003</v>
      </c>
      <c r="J16" s="97">
        <v>0.8</v>
      </c>
      <c r="K16" s="97">
        <f t="shared" ref="K16:K26" si="6">J16*0.8+M16*0.2</f>
        <v>0.81435595774162706</v>
      </c>
      <c r="L16" s="97"/>
      <c r="M16" s="97">
        <f t="shared" ref="M16:M22" si="7">SQRT(J16*N16)</f>
        <v>0.87177978870813466</v>
      </c>
      <c r="N16" s="97">
        <v>0.95</v>
      </c>
      <c r="O16" s="97"/>
      <c r="P16" s="40"/>
      <c r="Q16" s="40"/>
      <c r="R16" s="40"/>
      <c r="S16" s="40"/>
      <c r="T16" s="40"/>
      <c r="U16" s="383">
        <f>F16*J16/$I16</f>
        <v>1.0133262925714288</v>
      </c>
      <c r="V16" s="383">
        <f>G16*K16/$I16</f>
        <v>5.0251637589210647E-2</v>
      </c>
      <c r="W16" s="12">
        <v>0</v>
      </c>
      <c r="X16" s="12"/>
      <c r="Y16" s="383"/>
      <c r="Z16" s="12"/>
      <c r="AA16" s="12"/>
      <c r="AB16" s="12"/>
      <c r="AC16" s="97">
        <f t="shared" ref="AC16:AC26" ca="1" si="8">I16/OFFSET(HT_DD,0,1)</f>
        <v>0.29787234042553196</v>
      </c>
      <c r="AD16" s="97"/>
      <c r="AF16" s="523">
        <v>3</v>
      </c>
    </row>
    <row r="17" spans="1:40" ht="15" customHeight="1">
      <c r="B17" s="76" t="str">
        <f t="shared" si="3"/>
        <v>AGHDST00</v>
      </c>
      <c r="C17" s="25" t="str">
        <f t="shared" si="4"/>
        <v>Agriculture Heat DST</v>
      </c>
      <c r="D17" s="12" t="str">
        <f ca="1">IEAData!H191</f>
        <v>AGRDST</v>
      </c>
      <c r="E17" s="12" t="s">
        <v>808</v>
      </c>
      <c r="F17" s="308">
        <f ca="1">SUMIF(IEAData!$K$190:$K$201,D17,INDEX(IEAData!$O$190:$Q$201,0,AF17))</f>
        <v>3.6102784896000002</v>
      </c>
      <c r="G17" s="308">
        <f ca="1">SUMIF(AuxData!$K$190:$K$201,D17,INDEX(AuxData!$O$190:$Q$201,0,AF17))</f>
        <v>2.8053058999999996</v>
      </c>
      <c r="H17" s="383">
        <f t="shared" si="5"/>
        <v>2.1363945781778035</v>
      </c>
      <c r="I17" s="12">
        <v>0.28000000000000003</v>
      </c>
      <c r="J17" s="97">
        <v>0.75</v>
      </c>
      <c r="K17" s="97">
        <f t="shared" si="6"/>
        <v>0.76155494421403525</v>
      </c>
      <c r="L17" s="97"/>
      <c r="M17" s="97">
        <f t="shared" si="7"/>
        <v>0.80777472107017556</v>
      </c>
      <c r="N17" s="97">
        <v>0.87</v>
      </c>
      <c r="O17" s="97"/>
      <c r="P17" s="40"/>
      <c r="Q17" s="40"/>
      <c r="R17" s="40"/>
      <c r="S17" s="40"/>
      <c r="T17" s="40"/>
      <c r="U17" s="383">
        <f t="shared" ref="U17:U26" si="9">F17*J17/I17</f>
        <v>9.6703888114285714</v>
      </c>
      <c r="V17" s="383">
        <f t="shared" ref="V17:V26" si="10">G17*K17/$I17</f>
        <v>7.6299806363492975</v>
      </c>
      <c r="W17" s="12">
        <v>0</v>
      </c>
      <c r="X17" s="12"/>
      <c r="Y17" s="383"/>
      <c r="Z17" s="12"/>
      <c r="AA17" s="12"/>
      <c r="AB17" s="12"/>
      <c r="AC17" s="97">
        <f t="shared" ca="1" si="8"/>
        <v>0.29787234042553196</v>
      </c>
      <c r="AD17" s="97"/>
      <c r="AF17" s="523">
        <v>3</v>
      </c>
    </row>
    <row r="18" spans="1:40" ht="15" customHeight="1">
      <c r="B18" s="76" t="str">
        <f t="shared" si="3"/>
        <v>AGHHFO00</v>
      </c>
      <c r="C18" s="25" t="str">
        <f t="shared" si="4"/>
        <v>Agriculture Heat HFO</v>
      </c>
      <c r="D18" s="12" t="str">
        <f ca="1">IEAData!H193</f>
        <v>AGRHFO</v>
      </c>
      <c r="E18" s="12" t="s">
        <v>808</v>
      </c>
      <c r="F18" s="308">
        <f ca="1">SUMIF(IEAData!$K$190:$K$201,D18,INDEX(IEAData!$O$190:$Q$201,0,AF18))</f>
        <v>2.8399901759999997</v>
      </c>
      <c r="G18" s="308">
        <f ca="1">SUMIF(AuxData!$K$190:$K$201,D18,INDEX(AuxData!$O$190:$Q$201,0,AF18))</f>
        <v>0.36000199999999999</v>
      </c>
      <c r="H18" s="383">
        <f t="shared" si="5"/>
        <v>0.26368737370266632</v>
      </c>
      <c r="I18" s="12">
        <v>0.28000000000000003</v>
      </c>
      <c r="J18" s="97">
        <v>0.72</v>
      </c>
      <c r="K18" s="97">
        <f t="shared" si="6"/>
        <v>0.73246085772486358</v>
      </c>
      <c r="L18" s="97"/>
      <c r="M18" s="97">
        <f t="shared" si="7"/>
        <v>0.78230428862431789</v>
      </c>
      <c r="N18" s="97">
        <v>0.85</v>
      </c>
      <c r="O18" s="97"/>
      <c r="P18" s="40"/>
      <c r="Q18" s="40"/>
      <c r="R18" s="40"/>
      <c r="S18" s="40"/>
      <c r="T18" s="40"/>
      <c r="U18" s="383">
        <f t="shared" si="9"/>
        <v>7.302831881142855</v>
      </c>
      <c r="V18" s="383">
        <f t="shared" si="10"/>
        <v>0.94174062036666528</v>
      </c>
      <c r="W18" s="12">
        <v>0</v>
      </c>
      <c r="X18" s="12"/>
      <c r="Y18" s="383"/>
      <c r="Z18" s="12"/>
      <c r="AA18" s="12"/>
      <c r="AB18" s="12"/>
      <c r="AC18" s="97">
        <f t="shared" ca="1" si="8"/>
        <v>0.29787234042553196</v>
      </c>
      <c r="AD18" s="97"/>
      <c r="AF18" s="523">
        <v>3</v>
      </c>
    </row>
    <row r="19" spans="1:40" ht="15" customHeight="1">
      <c r="B19" s="76" t="str">
        <f t="shared" si="3"/>
        <v>AGHKER00</v>
      </c>
      <c r="C19" s="25" t="str">
        <f t="shared" si="4"/>
        <v>Agriculture Heat KER</v>
      </c>
      <c r="D19" s="12" t="str">
        <f ca="1">IEAData!H194</f>
        <v>AGRKER</v>
      </c>
      <c r="E19" s="12" t="s">
        <v>808</v>
      </c>
      <c r="F19" s="308">
        <f ca="1">SUMIF(IEAData!$K$190:$K$201,D19,INDEX(IEAData!$O$190:$Q$201,0,AF19))</f>
        <v>0</v>
      </c>
      <c r="G19" s="308">
        <f ca="1">SUMIF(AuxData!$K$190:$K$201,D19,INDEX(AuxData!$O$190:$Q$201,0,AF19))</f>
        <v>0</v>
      </c>
      <c r="H19" s="383">
        <f t="shared" si="5"/>
        <v>0</v>
      </c>
      <c r="I19" s="12">
        <v>0.28000000000000003</v>
      </c>
      <c r="J19" s="97">
        <v>0.72</v>
      </c>
      <c r="K19" s="97">
        <f t="shared" si="6"/>
        <v>0.73246085772486358</v>
      </c>
      <c r="L19" s="97"/>
      <c r="M19" s="97">
        <f t="shared" si="7"/>
        <v>0.78230428862431789</v>
      </c>
      <c r="N19" s="97">
        <v>0.85</v>
      </c>
      <c r="O19" s="97"/>
      <c r="P19" s="40"/>
      <c r="Q19" s="40"/>
      <c r="R19" s="40"/>
      <c r="S19" s="40"/>
      <c r="T19" s="40"/>
      <c r="U19" s="383">
        <f t="shared" si="9"/>
        <v>0</v>
      </c>
      <c r="V19" s="383">
        <f t="shared" si="10"/>
        <v>0</v>
      </c>
      <c r="W19" s="12">
        <v>0</v>
      </c>
      <c r="X19" s="12"/>
      <c r="Y19" s="383"/>
      <c r="Z19" s="12"/>
      <c r="AA19" s="12"/>
      <c r="AB19" s="12"/>
      <c r="AC19" s="97">
        <f t="shared" ca="1" si="8"/>
        <v>0.29787234042553196</v>
      </c>
      <c r="AD19" s="97"/>
      <c r="AF19" s="523">
        <v>3</v>
      </c>
    </row>
    <row r="20" spans="1:40" ht="15" customHeight="1">
      <c r="B20" s="76" t="str">
        <f t="shared" si="3"/>
        <v>AGHCOP00</v>
      </c>
      <c r="C20" s="25" t="str">
        <f t="shared" si="4"/>
        <v>Agriculture Heat COP</v>
      </c>
      <c r="D20" s="12" t="str">
        <f ca="1">IEAData!H195</f>
        <v>AGRCOP</v>
      </c>
      <c r="E20" s="12" t="s">
        <v>808</v>
      </c>
      <c r="F20" s="308">
        <f ca="1">SUMIF(IEAData!$K$190:$K$201,D20,INDEX(IEAData!$O$190:$Q$201,0,AF20))</f>
        <v>0.88898324400000006</v>
      </c>
      <c r="G20" s="308">
        <f ca="1">SUMIF(AuxData!$K$190:$K$201,D20,INDEX(AuxData!$O$190:$Q$201,0,AF20))</f>
        <v>2.1477153000000002</v>
      </c>
      <c r="H20" s="383">
        <f t="shared" si="5"/>
        <v>1.4265598615699411</v>
      </c>
      <c r="I20" s="12">
        <v>0.28000000000000003</v>
      </c>
      <c r="J20" s="97">
        <v>0.65</v>
      </c>
      <c r="K20" s="97">
        <f t="shared" si="6"/>
        <v>0.66422205101855958</v>
      </c>
      <c r="L20" s="97"/>
      <c r="M20" s="97">
        <f t="shared" si="7"/>
        <v>0.72111025509279791</v>
      </c>
      <c r="N20" s="97">
        <v>0.8</v>
      </c>
      <c r="O20" s="97"/>
      <c r="P20" s="40"/>
      <c r="Q20" s="40"/>
      <c r="R20" s="40"/>
      <c r="S20" s="40"/>
      <c r="T20" s="40"/>
      <c r="U20" s="383">
        <f t="shared" si="9"/>
        <v>2.0637111021428574</v>
      </c>
      <c r="V20" s="383">
        <f t="shared" si="10"/>
        <v>5.0948566484640745</v>
      </c>
      <c r="W20" s="12">
        <v>0</v>
      </c>
      <c r="X20" s="12"/>
      <c r="Y20" s="383"/>
      <c r="Z20" s="12"/>
      <c r="AA20" s="12"/>
      <c r="AB20" s="12"/>
      <c r="AC20" s="97">
        <f t="shared" ca="1" si="8"/>
        <v>0.29787234042553196</v>
      </c>
      <c r="AD20" s="97"/>
      <c r="AF20" s="523">
        <v>3</v>
      </c>
    </row>
    <row r="21" spans="1:40" ht="15" customHeight="1">
      <c r="B21" s="76" t="str">
        <f t="shared" si="3"/>
        <v>AGHLPG00</v>
      </c>
      <c r="C21" s="25" t="str">
        <f t="shared" si="4"/>
        <v>Agriculture Heat LPG</v>
      </c>
      <c r="D21" s="12" t="str">
        <f ca="1">IEAData!H196</f>
        <v>AGRLPG</v>
      </c>
      <c r="E21" s="12" t="s">
        <v>808</v>
      </c>
      <c r="F21" s="308">
        <f ca="1">SUMIF(IEAData!$K$190:$K$201,D21,INDEX(IEAData!$O$190:$Q$201,0,AF21))</f>
        <v>0.14720788800000001</v>
      </c>
      <c r="G21" s="308">
        <f ca="1">SUMIF(AuxData!$K$190:$K$201,D21,INDEX(AuxData!$O$190:$Q$201,0,AF21))</f>
        <v>0.11040088000000002</v>
      </c>
      <c r="H21" s="383">
        <f t="shared" si="5"/>
        <v>8.9701914971760138E-2</v>
      </c>
      <c r="I21" s="12">
        <v>0.28000000000000003</v>
      </c>
      <c r="J21" s="97">
        <v>0.8</v>
      </c>
      <c r="K21" s="97">
        <f t="shared" si="6"/>
        <v>0.81251086922278271</v>
      </c>
      <c r="L21" s="354"/>
      <c r="M21" s="97">
        <f t="shared" si="7"/>
        <v>0.86255434611391302</v>
      </c>
      <c r="N21" s="354">
        <v>0.93</v>
      </c>
      <c r="O21" s="97"/>
      <c r="P21" s="40"/>
      <c r="Q21" s="40"/>
      <c r="R21" s="40"/>
      <c r="S21" s="40"/>
      <c r="T21" s="40"/>
      <c r="U21" s="383">
        <f t="shared" si="9"/>
        <v>0.42059396571428576</v>
      </c>
      <c r="V21" s="383">
        <f t="shared" si="10"/>
        <v>0.32036398204200045</v>
      </c>
      <c r="W21" s="12">
        <v>0</v>
      </c>
      <c r="X21" s="12"/>
      <c r="Y21" s="383"/>
      <c r="Z21" s="12"/>
      <c r="AA21" s="12"/>
      <c r="AB21" s="12"/>
      <c r="AC21" s="97">
        <f t="shared" ca="1" si="8"/>
        <v>0.29787234042553196</v>
      </c>
      <c r="AD21" s="97"/>
      <c r="AF21" s="523">
        <v>3</v>
      </c>
    </row>
    <row r="22" spans="1:40" ht="15" customHeight="1">
      <c r="B22" s="76" t="str">
        <f t="shared" si="3"/>
        <v>AGHBIO00</v>
      </c>
      <c r="C22" s="25" t="str">
        <f t="shared" si="4"/>
        <v>Agriculture Heat BIO</v>
      </c>
      <c r="D22" s="12" t="str">
        <f ca="1">IEAData!H197</f>
        <v>AGRBIO</v>
      </c>
      <c r="E22" s="12" t="s">
        <v>808</v>
      </c>
      <c r="F22" s="308">
        <f ca="1">SUMIF(IEAData!$K$190:$K$201,D22,INDEX(IEAData!$O$190:$Q$201,0,AF22))</f>
        <v>5.9664470400000003</v>
      </c>
      <c r="G22" s="308">
        <f ca="1">SUMIF(AuxData!$K$190:$K$201,D22,INDEX(AuxData!$O$190:$Q$201,0,AF22))</f>
        <v>7.0075995000000004</v>
      </c>
      <c r="H22" s="383">
        <f t="shared" ca="1" si="5"/>
        <v>3.9273716640339811</v>
      </c>
      <c r="I22" s="12">
        <v>0.28000000000000003</v>
      </c>
      <c r="J22" s="97">
        <f ca="1">0.6*CalibData!$N$131</f>
        <v>0.54600000000000004</v>
      </c>
      <c r="K22" s="97">
        <f t="shared" ca="1" si="6"/>
        <v>0.56044465212858996</v>
      </c>
      <c r="L22" s="97"/>
      <c r="M22" s="97">
        <f t="shared" ca="1" si="7"/>
        <v>0.6182232606429493</v>
      </c>
      <c r="N22" s="97">
        <v>0.7</v>
      </c>
      <c r="O22" s="97"/>
      <c r="P22" s="40"/>
      <c r="Q22" s="40"/>
      <c r="R22" s="40"/>
      <c r="S22" s="40"/>
      <c r="T22" s="40"/>
      <c r="U22" s="383">
        <f t="shared" ca="1" si="9"/>
        <v>11.634571728000001</v>
      </c>
      <c r="V22" s="383">
        <f t="shared" ca="1" si="10"/>
        <v>14.026327371549931</v>
      </c>
      <c r="W22" s="12">
        <v>0</v>
      </c>
      <c r="X22" s="12"/>
      <c r="Y22" s="383"/>
      <c r="Z22" s="12"/>
      <c r="AA22" s="12"/>
      <c r="AB22" s="12"/>
      <c r="AC22" s="97">
        <f t="shared" ca="1" si="8"/>
        <v>0.29787234042553196</v>
      </c>
      <c r="AD22" s="97"/>
      <c r="AF22" s="523">
        <v>3</v>
      </c>
    </row>
    <row r="23" spans="1:40" ht="15" customHeight="1">
      <c r="B23" s="76" t="s">
        <v>816</v>
      </c>
      <c r="C23" s="25" t="str">
        <f t="shared" si="4"/>
        <v>Agriculture Heat ELA</v>
      </c>
      <c r="D23" s="12" t="str">
        <f ca="1">D9</f>
        <v>AGRELA</v>
      </c>
      <c r="E23" s="12" t="s">
        <v>808</v>
      </c>
      <c r="F23" s="308">
        <f ca="1">SUMIF(IEAData!$K$190:$K$201,D23,INDEX(IEAData!$O$190:$Q$201,0,AF23))</f>
        <v>3.1965192000000004</v>
      </c>
      <c r="G23" s="308">
        <f ca="1">SUMIF(AuxData!$K$190:$K$201,D23,INDEX(AuxData!$O$190:$Q$201,0,AF23))</f>
        <v>3.3193267319999999</v>
      </c>
      <c r="H23" s="383">
        <f t="shared" si="5"/>
        <v>3.206469623112</v>
      </c>
      <c r="I23" s="12">
        <v>0.28000000000000003</v>
      </c>
      <c r="J23" s="97">
        <v>0.96</v>
      </c>
      <c r="K23" s="97">
        <f t="shared" si="6"/>
        <v>0.96599999999999997</v>
      </c>
      <c r="L23" s="354"/>
      <c r="M23" s="97">
        <v>0.99</v>
      </c>
      <c r="N23" s="354">
        <v>1</v>
      </c>
      <c r="O23" s="354"/>
      <c r="P23" s="40"/>
      <c r="Q23" s="40"/>
      <c r="R23" s="40"/>
      <c r="S23" s="40"/>
      <c r="T23" s="40"/>
      <c r="U23" s="383">
        <f t="shared" si="9"/>
        <v>10.959494400000001</v>
      </c>
      <c r="V23" s="383">
        <f t="shared" si="10"/>
        <v>11.451677225399999</v>
      </c>
      <c r="W23" s="12">
        <v>0</v>
      </c>
      <c r="X23" s="369">
        <v>8</v>
      </c>
      <c r="Y23" s="383"/>
      <c r="Z23" s="12"/>
      <c r="AA23" s="12"/>
      <c r="AB23" s="12"/>
      <c r="AC23" s="97">
        <f t="shared" ca="1" si="8"/>
        <v>0.29787234042553196</v>
      </c>
      <c r="AD23" s="374">
        <f ca="1">U27*0.1</f>
        <v>4.4774918180999999</v>
      </c>
      <c r="AF23" s="523">
        <v>3</v>
      </c>
    </row>
    <row r="24" spans="1:40" ht="15" customHeight="1">
      <c r="B24" s="76" t="str">
        <f>"AGH"&amp;RIGHT(D24,3)&amp;"00"</f>
        <v>AGHHET00</v>
      </c>
      <c r="C24" s="25" t="str">
        <f t="shared" si="4"/>
        <v>Agriculture Heat HET</v>
      </c>
      <c r="D24" s="12" t="str">
        <f ca="1">IEAData!H199</f>
        <v>AGRHET</v>
      </c>
      <c r="E24" s="12" t="s">
        <v>808</v>
      </c>
      <c r="F24" s="308">
        <f ca="1">SUMIF(IEAData!$K$190:$K$201,D24,INDEX(IEAData!$O$190:$Q$201,0,AF24))</f>
        <v>0.504</v>
      </c>
      <c r="G24" s="308">
        <f ca="1">SUMIF(AuxData!$K$190:$K$201,D24,INDEX(AuxData!$O$190:$Q$201,0,AF24))</f>
        <v>0.50759999999999994</v>
      </c>
      <c r="H24" s="383">
        <f t="shared" si="5"/>
        <v>0.48272627119508221</v>
      </c>
      <c r="I24" s="12">
        <v>0.28000000000000003</v>
      </c>
      <c r="J24" s="97">
        <v>0.95</v>
      </c>
      <c r="K24" s="97">
        <f t="shared" si="6"/>
        <v>0.95099738218101315</v>
      </c>
      <c r="L24" s="354"/>
      <c r="M24" s="97">
        <f>SQRT(J24*N24)</f>
        <v>0.95498691090506571</v>
      </c>
      <c r="N24" s="354">
        <v>0.96</v>
      </c>
      <c r="O24" s="354"/>
      <c r="P24" s="53"/>
      <c r="Q24" s="53"/>
      <c r="R24" s="53"/>
      <c r="S24" s="40"/>
      <c r="T24" s="40"/>
      <c r="U24" s="383">
        <f t="shared" si="9"/>
        <v>1.7099999999999997</v>
      </c>
      <c r="V24" s="383">
        <f t="shared" si="10"/>
        <v>1.7240223971252935</v>
      </c>
      <c r="W24" s="12">
        <v>0</v>
      </c>
      <c r="X24" s="12"/>
      <c r="Y24" s="383"/>
      <c r="Z24" s="12"/>
      <c r="AA24" s="12"/>
      <c r="AB24" s="12"/>
      <c r="AC24" s="97">
        <f t="shared" ca="1" si="8"/>
        <v>0.29787234042553196</v>
      </c>
      <c r="AD24" s="97"/>
      <c r="AF24" s="524">
        <v>3</v>
      </c>
    </row>
    <row r="25" spans="1:40" ht="15" customHeight="1">
      <c r="B25" s="76" t="str">
        <f>"AGH"&amp;RIGHT(D25,3)&amp;"00"</f>
        <v>AGHGEO00</v>
      </c>
      <c r="C25" s="25" t="str">
        <f t="shared" si="4"/>
        <v>Agriculture Heat GEO</v>
      </c>
      <c r="D25" s="12" t="str">
        <f ca="1">IEAData!H200</f>
        <v>AGRGEO</v>
      </c>
      <c r="E25" s="12" t="s">
        <v>808</v>
      </c>
      <c r="F25" s="308">
        <f ca="1">SUMIF(IEAData!$K$190:$K$201,D25,INDEX(IEAData!$O$190:$Q$201,0,AF25))</f>
        <v>0</v>
      </c>
      <c r="G25" s="308">
        <f ca="1">SUMIF(AuxData!$K$190:$K$201,D25,INDEX(AuxData!$O$190:$Q$201,0,AF25))</f>
        <v>0</v>
      </c>
      <c r="H25" s="383">
        <f t="shared" si="5"/>
        <v>0</v>
      </c>
      <c r="I25" s="12">
        <v>0.28000000000000003</v>
      </c>
      <c r="J25" s="97">
        <v>0.95</v>
      </c>
      <c r="K25" s="97">
        <f t="shared" si="6"/>
        <v>0.95099738218101315</v>
      </c>
      <c r="L25" s="354"/>
      <c r="M25" s="97">
        <f>SQRT(J25*N25)</f>
        <v>0.95498691090506571</v>
      </c>
      <c r="N25" s="354">
        <v>0.96</v>
      </c>
      <c r="O25" s="354"/>
      <c r="P25" s="53"/>
      <c r="Q25" s="53"/>
      <c r="R25" s="53"/>
      <c r="S25" s="40"/>
      <c r="T25" s="40"/>
      <c r="U25" s="383">
        <f t="shared" si="9"/>
        <v>0</v>
      </c>
      <c r="V25" s="383">
        <f t="shared" si="10"/>
        <v>0</v>
      </c>
      <c r="W25" s="12">
        <v>0</v>
      </c>
      <c r="X25" s="12"/>
      <c r="Y25" s="383"/>
      <c r="Z25" s="12"/>
      <c r="AA25" s="12"/>
      <c r="AB25" s="12"/>
      <c r="AC25" s="97">
        <f t="shared" ca="1" si="8"/>
        <v>0.29787234042553196</v>
      </c>
      <c r="AD25" s="97"/>
      <c r="AF25" s="524">
        <v>3</v>
      </c>
    </row>
    <row r="26" spans="1:40" ht="15" customHeight="1">
      <c r="B26" s="76" t="str">
        <f>"AGH"&amp;RIGHT(D26,3)&amp;"00"</f>
        <v>AGHSOL00</v>
      </c>
      <c r="C26" s="25" t="str">
        <f t="shared" si="4"/>
        <v>Agriculture Heat SOL</v>
      </c>
      <c r="D26" s="12" t="str">
        <f ca="1">IEAData!H201</f>
        <v>AGRSOL</v>
      </c>
      <c r="E26" s="12" t="s">
        <v>808</v>
      </c>
      <c r="F26" s="308">
        <f ca="1">SUMIF(IEAData!$K$190:$K$201,D26,INDEX(IEAData!$O$190:$Q$201,0,AF26))</f>
        <v>0</v>
      </c>
      <c r="G26" s="308">
        <f ca="1">SUMIF(AuxData!$K$190:$K$201,D26,INDEX(AuxData!$O$190:$Q$201,0,AF26))</f>
        <v>0</v>
      </c>
      <c r="H26" s="383">
        <f t="shared" si="5"/>
        <v>0</v>
      </c>
      <c r="I26" s="12">
        <v>0.28000000000000003</v>
      </c>
      <c r="J26" s="97">
        <v>0.95</v>
      </c>
      <c r="K26" s="97">
        <f t="shared" si="6"/>
        <v>0.95099738218101315</v>
      </c>
      <c r="L26" s="354"/>
      <c r="M26" s="97">
        <f>SQRT(J26*N26)</f>
        <v>0.95498691090506571</v>
      </c>
      <c r="N26" s="354">
        <v>0.96</v>
      </c>
      <c r="O26" s="354"/>
      <c r="P26" s="53"/>
      <c r="Q26" s="53"/>
      <c r="R26" s="53"/>
      <c r="S26" s="40"/>
      <c r="T26" s="40"/>
      <c r="U26" s="383">
        <f t="shared" si="9"/>
        <v>0</v>
      </c>
      <c r="V26" s="383">
        <f t="shared" si="10"/>
        <v>0</v>
      </c>
      <c r="W26" s="12">
        <v>0</v>
      </c>
      <c r="X26" s="12"/>
      <c r="Y26" s="383"/>
      <c r="Z26" s="12"/>
      <c r="AA26" s="12"/>
      <c r="AB26" s="12"/>
      <c r="AC26" s="97">
        <f t="shared" ca="1" si="8"/>
        <v>0.29787234042553196</v>
      </c>
      <c r="AD26" s="97"/>
      <c r="AF26" s="524">
        <v>3</v>
      </c>
    </row>
    <row r="27" spans="1:40" ht="14.25">
      <c r="B27" s="434" t="s">
        <v>999</v>
      </c>
      <c r="C27" s="189"/>
      <c r="D27" s="190"/>
      <c r="E27" s="190"/>
      <c r="F27" s="315">
        <f>SUM(F6:F26)-F8-F13</f>
        <v>37.588429799999993</v>
      </c>
      <c r="G27" s="315">
        <f>SUM(G6:G26)-G8-G13</f>
        <v>30.090857420000006</v>
      </c>
      <c r="H27" s="315">
        <f ca="1">SUM(H6:H26)</f>
        <v>17.375181834488217</v>
      </c>
      <c r="I27" s="190"/>
      <c r="J27" s="315">
        <f ca="1">SUMPRODUCT(J6:J26,F6:F26)</f>
        <v>19.717904398319998</v>
      </c>
      <c r="K27" s="315">
        <f ca="1">SUMPRODUCT(K6:K26,G6:G26)</f>
        <v>17.375181834488217</v>
      </c>
      <c r="L27" s="190"/>
      <c r="M27" s="190"/>
      <c r="N27" s="190"/>
      <c r="O27" s="191">
        <f>SUM(O6:O26)/2</f>
        <v>1.0149999999999999</v>
      </c>
      <c r="P27" s="191">
        <f>SUM(P6:P26)/2</f>
        <v>1.0109999999999999</v>
      </c>
      <c r="Q27" s="191"/>
      <c r="R27" s="191">
        <f>SUM(R6:R26)/2</f>
        <v>1.1668977004047876</v>
      </c>
      <c r="S27" s="191">
        <f>SUM(S6:S26)/2</f>
        <v>1.3805266650729058</v>
      </c>
      <c r="T27" s="191">
        <f>SUM(T6:T26)/2</f>
        <v>1.8024085316940894</v>
      </c>
      <c r="U27" s="315">
        <f ca="1">SUM(U6:U26)</f>
        <v>44.774918180999997</v>
      </c>
      <c r="V27" s="315">
        <f ca="1">SUM(V6:V26)</f>
        <v>41.239220518886469</v>
      </c>
      <c r="W27" s="191"/>
      <c r="X27" s="191"/>
      <c r="Y27" s="191">
        <f ca="1">SUM(Y7:Y26)</f>
        <v>0.36418308774495478</v>
      </c>
      <c r="Z27" s="191">
        <f ca="1">SUM(Z7:Z26)</f>
        <v>0.33543246595736526</v>
      </c>
      <c r="AA27" s="191">
        <f ca="1">SUM(AA7:AA26)</f>
        <v>0.37416205780386957</v>
      </c>
      <c r="AB27" s="191">
        <f ca="1">SUM(AB7:AB26)</f>
        <v>0.43377511321185724</v>
      </c>
      <c r="AC27" s="191"/>
      <c r="AD27" s="191"/>
      <c r="AF27" s="190"/>
    </row>
    <row r="29" spans="1:40">
      <c r="D29" s="245"/>
    </row>
    <row r="30" spans="1:40">
      <c r="N30" s="5"/>
    </row>
    <row r="31" spans="1:40">
      <c r="N31" s="5"/>
    </row>
    <row r="32" spans="1:40">
      <c r="A32" s="22"/>
      <c r="B32" s="22"/>
      <c r="C32" s="120"/>
      <c r="D32" s="120"/>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22"/>
      <c r="AF32" s="22"/>
      <c r="AG32" s="22"/>
      <c r="AH32" s="22"/>
      <c r="AI32" s="22"/>
      <c r="AJ32" s="22"/>
      <c r="AK32" s="22"/>
      <c r="AL32" s="22"/>
      <c r="AM32" s="22"/>
      <c r="AN32" s="22"/>
    </row>
    <row r="33" spans="1:40">
      <c r="A33" s="22"/>
      <c r="B33" s="22"/>
      <c r="C33" s="120"/>
      <c r="D33" s="120"/>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22"/>
      <c r="AF33" s="22"/>
      <c r="AG33" s="22"/>
      <c r="AH33" s="22"/>
      <c r="AI33" s="22"/>
      <c r="AJ33" s="22"/>
      <c r="AK33" s="22"/>
      <c r="AL33" s="22"/>
      <c r="AM33" s="22"/>
      <c r="AN33" s="22"/>
    </row>
    <row r="34" spans="1:40">
      <c r="A34" s="22"/>
      <c r="B34" s="22"/>
      <c r="C34" s="120"/>
      <c r="D34" s="120"/>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22"/>
      <c r="AF34" s="22"/>
      <c r="AG34" s="22"/>
      <c r="AH34" s="22"/>
      <c r="AI34" s="22"/>
      <c r="AJ34" s="22"/>
      <c r="AK34" s="22"/>
      <c r="AL34" s="22"/>
      <c r="AM34" s="22"/>
      <c r="AN34" s="22"/>
    </row>
    <row r="35" spans="1:40" ht="18">
      <c r="A35" s="22"/>
      <c r="B35" s="155" t="s">
        <v>592</v>
      </c>
      <c r="C35" s="156"/>
      <c r="D35" s="252" t="str">
        <f>"~FI_T: "&amp;Region</f>
        <v>~FI_T: FIN</v>
      </c>
      <c r="J35" s="123"/>
      <c r="K35" s="123"/>
      <c r="L35" s="123"/>
      <c r="M35" s="123"/>
      <c r="N35" s="123"/>
      <c r="O35" s="123"/>
      <c r="P35" s="123"/>
      <c r="Q35" s="123"/>
      <c r="R35" s="123"/>
      <c r="S35" s="123"/>
      <c r="T35" s="123"/>
      <c r="U35" s="123"/>
      <c r="V35" s="123"/>
      <c r="W35" s="123"/>
      <c r="X35" s="123"/>
      <c r="Y35" s="123"/>
      <c r="Z35" s="123"/>
      <c r="AA35" s="123"/>
      <c r="AB35" s="123"/>
      <c r="AC35" s="123"/>
      <c r="AD35" s="123"/>
      <c r="AE35" s="22"/>
      <c r="AF35" s="22"/>
      <c r="AG35" s="22"/>
      <c r="AH35" s="22"/>
      <c r="AI35" s="22"/>
      <c r="AJ35" s="22"/>
      <c r="AK35" s="22"/>
      <c r="AL35" s="22"/>
      <c r="AM35" s="22"/>
      <c r="AN35" s="22"/>
    </row>
    <row r="36" spans="1:40" ht="13.5" thickBot="1">
      <c r="A36" s="22"/>
      <c r="B36" s="27" t="s">
        <v>384</v>
      </c>
      <c r="C36" s="27" t="s">
        <v>385</v>
      </c>
      <c r="D36" s="27" t="s">
        <v>243</v>
      </c>
      <c r="E36" s="344" t="s">
        <v>379</v>
      </c>
      <c r="F36" s="344" t="str">
        <f ca="1">E36&amp;"~"&amp;AuxYear</f>
        <v>DEMAND~2017</v>
      </c>
      <c r="G36" s="344" t="s">
        <v>940</v>
      </c>
      <c r="H36" s="344" t="str">
        <f ca="1">G36&amp;"~"&amp;AuxYear</f>
        <v>COM_IE~2017</v>
      </c>
      <c r="I36" s="344"/>
      <c r="J36" s="123"/>
      <c r="K36" s="123"/>
      <c r="L36" s="123"/>
      <c r="M36" s="123"/>
      <c r="N36" s="123"/>
      <c r="O36" s="123"/>
      <c r="P36" s="123"/>
      <c r="Q36" s="123"/>
      <c r="R36" s="123"/>
      <c r="S36" s="123"/>
      <c r="T36" s="123"/>
      <c r="U36" s="123"/>
      <c r="V36" s="123"/>
      <c r="W36" s="123"/>
      <c r="X36" s="123"/>
      <c r="Y36" s="123"/>
      <c r="Z36" s="123"/>
      <c r="AA36" s="123"/>
      <c r="AB36" s="123"/>
      <c r="AC36" s="123"/>
      <c r="AD36" s="123"/>
      <c r="AE36" s="22"/>
      <c r="AF36" s="22"/>
      <c r="AG36" s="22"/>
      <c r="AH36" s="22"/>
      <c r="AI36" s="22"/>
      <c r="AJ36" s="22"/>
      <c r="AK36" s="22"/>
      <c r="AL36" s="22"/>
      <c r="AM36" s="22"/>
      <c r="AN36" s="22"/>
    </row>
    <row r="37" spans="1:40">
      <c r="A37" s="22"/>
      <c r="B37" s="58" t="s">
        <v>434</v>
      </c>
      <c r="C37" s="28" t="s">
        <v>301</v>
      </c>
      <c r="D37" s="80" t="s">
        <v>249</v>
      </c>
      <c r="E37" s="312">
        <f ca="1">IF(J27,1,0)</f>
        <v>1</v>
      </c>
      <c r="F37" s="312">
        <f ca="1">IF(K27,1,0)</f>
        <v>1</v>
      </c>
      <c r="G37" s="370">
        <f ca="1">IF(J27,1/J27,1)</f>
        <v>5.0715328556172626E-2</v>
      </c>
      <c r="H37" s="370">
        <f ca="1">IF(K27,1/K27,1)</f>
        <v>5.7553354521740166E-2</v>
      </c>
      <c r="J37" s="123"/>
      <c r="K37" s="123"/>
      <c r="L37" s="123"/>
      <c r="M37" s="123"/>
      <c r="N37" s="123"/>
      <c r="O37" s="123"/>
      <c r="P37" s="123"/>
      <c r="Q37" s="123"/>
      <c r="R37" s="123"/>
      <c r="S37" s="123"/>
      <c r="T37" s="123"/>
      <c r="U37" s="123"/>
      <c r="V37" s="123"/>
      <c r="W37" s="123"/>
      <c r="X37" s="123"/>
      <c r="Y37" s="123"/>
      <c r="Z37" s="123"/>
      <c r="AA37" s="123"/>
      <c r="AB37" s="123"/>
      <c r="AC37" s="123"/>
      <c r="AD37" s="123"/>
      <c r="AE37" s="22"/>
      <c r="AF37" s="22"/>
      <c r="AG37" s="22"/>
      <c r="AH37" s="22"/>
      <c r="AI37" s="22"/>
      <c r="AJ37" s="22"/>
      <c r="AK37" s="22"/>
      <c r="AL37" s="22"/>
      <c r="AM37" s="22"/>
      <c r="AN37" s="22"/>
    </row>
    <row r="38" spans="1:40">
      <c r="A38" s="22"/>
      <c r="B38" s="381"/>
      <c r="C38" s="382"/>
      <c r="D38" s="382"/>
      <c r="E38" s="382"/>
      <c r="F38" s="382"/>
      <c r="G38" s="382"/>
      <c r="H38" s="382"/>
      <c r="I38" s="382"/>
      <c r="J38" s="382"/>
      <c r="K38" s="123"/>
      <c r="L38" s="123"/>
      <c r="M38" s="123"/>
      <c r="N38" s="123"/>
      <c r="O38" s="123"/>
      <c r="P38" s="123"/>
      <c r="Q38" s="123"/>
      <c r="R38" s="123"/>
      <c r="S38" s="123"/>
      <c r="T38" s="123"/>
      <c r="U38" s="123"/>
      <c r="V38" s="123"/>
      <c r="W38" s="123"/>
      <c r="X38" s="123"/>
      <c r="Y38" s="123"/>
      <c r="Z38" s="123"/>
      <c r="AA38" s="123"/>
      <c r="AB38" s="123"/>
      <c r="AC38" s="123"/>
      <c r="AD38" s="123"/>
      <c r="AE38" s="22"/>
      <c r="AF38" s="22"/>
      <c r="AG38" s="22"/>
      <c r="AH38" s="22"/>
      <c r="AI38" s="22"/>
      <c r="AJ38" s="22"/>
      <c r="AK38" s="22"/>
      <c r="AL38" s="22"/>
      <c r="AM38" s="22"/>
      <c r="AN38" s="22"/>
    </row>
    <row r="39" spans="1:40">
      <c r="A39" s="22"/>
      <c r="B39" s="22"/>
      <c r="C39" s="120"/>
      <c r="D39" s="120"/>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22"/>
      <c r="AF39" s="22"/>
      <c r="AG39" s="22"/>
      <c r="AH39" s="22"/>
      <c r="AI39" s="22"/>
      <c r="AJ39" s="22"/>
      <c r="AK39" s="22"/>
      <c r="AL39" s="22"/>
      <c r="AM39" s="22"/>
      <c r="AN39" s="22"/>
    </row>
    <row r="40" spans="1:40">
      <c r="A40" s="22"/>
      <c r="B40" s="22"/>
      <c r="C40" s="120"/>
      <c r="D40" s="120"/>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22"/>
      <c r="AF40" s="22"/>
      <c r="AG40" s="22"/>
      <c r="AH40" s="22"/>
      <c r="AI40" s="22"/>
      <c r="AJ40" s="22"/>
      <c r="AK40" s="22"/>
      <c r="AL40" s="22"/>
      <c r="AM40" s="22"/>
      <c r="AN40" s="22"/>
    </row>
    <row r="41" spans="1:40">
      <c r="A41" s="22"/>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22"/>
      <c r="AF41" s="22"/>
      <c r="AG41" s="22"/>
      <c r="AH41" s="22"/>
      <c r="AI41" s="22"/>
      <c r="AJ41" s="22"/>
      <c r="AK41" s="22"/>
      <c r="AL41" s="22"/>
      <c r="AM41" s="22"/>
      <c r="AN41" s="22"/>
    </row>
    <row r="42" spans="1:40">
      <c r="A42" s="22"/>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22"/>
      <c r="AF42" s="22"/>
      <c r="AG42" s="22"/>
      <c r="AH42" s="22"/>
      <c r="AI42" s="22"/>
      <c r="AJ42" s="22"/>
      <c r="AK42" s="22"/>
      <c r="AL42" s="22"/>
      <c r="AM42" s="22"/>
      <c r="AN42" s="22"/>
    </row>
    <row r="43" spans="1:40">
      <c r="A43" s="22"/>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22"/>
      <c r="AF43" s="22"/>
      <c r="AG43" s="22"/>
      <c r="AH43" s="22"/>
      <c r="AI43" s="22"/>
      <c r="AJ43" s="22"/>
      <c r="AK43" s="22"/>
      <c r="AL43" s="22"/>
      <c r="AM43" s="22"/>
      <c r="AN43" s="22"/>
    </row>
    <row r="44" spans="1:40">
      <c r="A44" s="22"/>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22"/>
      <c r="AF44" s="22"/>
      <c r="AG44" s="22"/>
      <c r="AH44" s="22"/>
      <c r="AI44" s="22"/>
      <c r="AJ44" s="22"/>
      <c r="AK44" s="22"/>
      <c r="AL44" s="22"/>
      <c r="AM44" s="22"/>
      <c r="AN44" s="22"/>
    </row>
    <row r="45" spans="1:40">
      <c r="A45" s="22"/>
      <c r="B45" s="22"/>
      <c r="C45" s="120"/>
      <c r="D45" s="120"/>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22"/>
      <c r="AF45" s="22"/>
      <c r="AG45" s="22"/>
      <c r="AH45" s="22"/>
      <c r="AI45" s="22"/>
      <c r="AJ45" s="22"/>
      <c r="AK45" s="22"/>
      <c r="AL45" s="22"/>
      <c r="AM45" s="22"/>
      <c r="AN45" s="22"/>
    </row>
    <row r="46" spans="1:40">
      <c r="A46" s="22"/>
      <c r="B46" s="22"/>
      <c r="C46" s="120"/>
      <c r="D46" s="120"/>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22"/>
      <c r="AF46" s="22"/>
      <c r="AG46" s="22"/>
      <c r="AH46" s="22"/>
      <c r="AI46" s="22"/>
      <c r="AJ46" s="22"/>
      <c r="AK46" s="22"/>
      <c r="AL46" s="22"/>
      <c r="AM46" s="22"/>
      <c r="AN46" s="22"/>
    </row>
    <row r="47" spans="1:40">
      <c r="A47" s="22"/>
      <c r="B47" s="22"/>
      <c r="C47" s="120"/>
      <c r="D47" s="120"/>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22"/>
      <c r="AF47" s="22"/>
      <c r="AG47" s="22"/>
      <c r="AH47" s="22"/>
      <c r="AI47" s="22"/>
      <c r="AJ47" s="22"/>
      <c r="AK47" s="22"/>
      <c r="AL47" s="22"/>
      <c r="AM47" s="22"/>
      <c r="AN47" s="22"/>
    </row>
    <row r="48" spans="1:40">
      <c r="A48" s="22"/>
      <c r="B48" s="22"/>
      <c r="C48" s="120"/>
      <c r="D48" s="120"/>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22"/>
      <c r="AF48" s="22"/>
      <c r="AG48" s="22"/>
      <c r="AH48" s="22"/>
      <c r="AI48" s="22"/>
      <c r="AJ48" s="22"/>
      <c r="AK48" s="22"/>
      <c r="AL48" s="22"/>
      <c r="AM48" s="22"/>
      <c r="AN48" s="22"/>
    </row>
    <row r="49" spans="1:40">
      <c r="A49" s="22"/>
      <c r="B49" s="22"/>
      <c r="C49" s="120"/>
      <c r="D49" s="120"/>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22"/>
      <c r="AF49" s="22"/>
      <c r="AG49" s="22"/>
      <c r="AH49" s="22"/>
      <c r="AI49" s="22"/>
      <c r="AJ49" s="22"/>
      <c r="AK49" s="22"/>
      <c r="AL49" s="22"/>
      <c r="AM49" s="22"/>
      <c r="AN49" s="22"/>
    </row>
    <row r="50" spans="1:40">
      <c r="A50" s="22"/>
      <c r="B50" s="22"/>
      <c r="C50" s="120"/>
      <c r="D50" s="120"/>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22"/>
      <c r="AF50" s="22"/>
      <c r="AG50" s="22"/>
      <c r="AH50" s="22"/>
      <c r="AI50" s="22"/>
      <c r="AJ50" s="22"/>
      <c r="AK50" s="22"/>
      <c r="AL50" s="22"/>
      <c r="AM50" s="22"/>
      <c r="AN50" s="22"/>
    </row>
    <row r="51" spans="1:40">
      <c r="A51" s="22"/>
      <c r="B51" s="22"/>
      <c r="C51" s="120"/>
      <c r="D51" s="120"/>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22"/>
      <c r="AF51" s="22"/>
      <c r="AG51" s="22"/>
      <c r="AH51" s="22"/>
      <c r="AI51" s="22"/>
      <c r="AJ51" s="22"/>
      <c r="AK51" s="22"/>
      <c r="AL51" s="22"/>
      <c r="AM51" s="22"/>
      <c r="AN51" s="22"/>
    </row>
    <row r="52" spans="1:40">
      <c r="A52" s="22"/>
      <c r="B52" s="22"/>
      <c r="C52" s="120"/>
      <c r="D52" s="120"/>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22"/>
      <c r="AF52" s="22"/>
      <c r="AG52" s="22"/>
      <c r="AH52" s="22"/>
      <c r="AI52" s="22"/>
      <c r="AJ52" s="22"/>
      <c r="AK52" s="22"/>
      <c r="AL52" s="22"/>
      <c r="AM52" s="22"/>
      <c r="AN52" s="22"/>
    </row>
    <row r="53" spans="1:40">
      <c r="A53" s="22"/>
      <c r="B53" s="22"/>
      <c r="C53" s="120"/>
      <c r="D53" s="120"/>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22"/>
      <c r="AF53" s="22"/>
      <c r="AG53" s="22"/>
      <c r="AH53" s="22"/>
      <c r="AI53" s="22"/>
      <c r="AJ53" s="22"/>
      <c r="AK53" s="22"/>
      <c r="AL53" s="22"/>
      <c r="AM53" s="22"/>
      <c r="AN53" s="22"/>
    </row>
    <row r="54" spans="1:40">
      <c r="A54" s="22"/>
      <c r="B54" s="22"/>
      <c r="C54" s="120"/>
      <c r="D54" s="120"/>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22"/>
      <c r="AF54" s="22"/>
      <c r="AG54" s="22"/>
      <c r="AH54" s="22"/>
      <c r="AI54" s="22"/>
      <c r="AJ54" s="22"/>
      <c r="AK54" s="22"/>
      <c r="AL54" s="22"/>
      <c r="AM54" s="22"/>
      <c r="AN54" s="22"/>
    </row>
    <row r="55" spans="1:40">
      <c r="A55" s="22"/>
      <c r="B55" s="22"/>
      <c r="C55" s="120"/>
      <c r="D55" s="120"/>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c r="AC55" s="123"/>
      <c r="AD55" s="123"/>
      <c r="AE55" s="22"/>
      <c r="AF55" s="22"/>
      <c r="AG55" s="22"/>
      <c r="AH55" s="22"/>
      <c r="AI55" s="22"/>
      <c r="AJ55" s="22"/>
      <c r="AK55" s="22"/>
      <c r="AL55" s="22"/>
      <c r="AM55" s="22"/>
      <c r="AN55" s="22"/>
    </row>
    <row r="56" spans="1:40">
      <c r="A56" s="22"/>
      <c r="B56" s="22"/>
      <c r="C56" s="120"/>
      <c r="D56" s="120"/>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22"/>
      <c r="AF56" s="22"/>
      <c r="AG56" s="22"/>
      <c r="AH56" s="22"/>
      <c r="AI56" s="22"/>
      <c r="AJ56" s="22"/>
      <c r="AK56" s="22"/>
      <c r="AL56" s="22"/>
      <c r="AM56" s="22"/>
      <c r="AN56" s="22"/>
    </row>
    <row r="57" spans="1:40">
      <c r="A57" s="22"/>
      <c r="B57" s="22"/>
      <c r="C57" s="120"/>
      <c r="D57" s="120"/>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c r="AC57" s="123"/>
      <c r="AD57" s="123"/>
      <c r="AE57" s="22"/>
      <c r="AF57" s="22"/>
      <c r="AG57" s="22"/>
      <c r="AH57" s="22"/>
      <c r="AI57" s="22"/>
      <c r="AJ57" s="22"/>
      <c r="AK57" s="22"/>
      <c r="AL57" s="22"/>
      <c r="AM57" s="22"/>
      <c r="AN57" s="22"/>
    </row>
    <row r="58" spans="1:40">
      <c r="A58" s="22"/>
      <c r="B58" s="22"/>
      <c r="C58" s="120"/>
      <c r="D58" s="120"/>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22"/>
      <c r="AF58" s="22"/>
      <c r="AG58" s="22"/>
      <c r="AH58" s="22"/>
      <c r="AI58" s="22"/>
      <c r="AJ58" s="22"/>
      <c r="AK58" s="22"/>
      <c r="AL58" s="22"/>
      <c r="AM58" s="22"/>
      <c r="AN58" s="22"/>
    </row>
    <row r="59" spans="1:40">
      <c r="A59" s="22"/>
      <c r="B59" s="22"/>
      <c r="C59" s="120"/>
      <c r="D59" s="120"/>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c r="AC59" s="123"/>
      <c r="AD59" s="123"/>
      <c r="AE59" s="22"/>
      <c r="AF59" s="22"/>
      <c r="AG59" s="22"/>
      <c r="AH59" s="22"/>
      <c r="AI59" s="22"/>
      <c r="AJ59" s="22"/>
      <c r="AK59" s="22"/>
      <c r="AL59" s="22"/>
      <c r="AM59" s="22"/>
      <c r="AN59" s="22"/>
    </row>
    <row r="60" spans="1:40">
      <c r="A60" s="22"/>
      <c r="B60" s="22"/>
      <c r="C60" s="120"/>
      <c r="D60" s="120"/>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22"/>
      <c r="AF60" s="22"/>
      <c r="AG60" s="22"/>
      <c r="AH60" s="22"/>
      <c r="AI60" s="22"/>
      <c r="AJ60" s="22"/>
      <c r="AK60" s="22"/>
      <c r="AL60" s="22"/>
      <c r="AM60" s="22"/>
      <c r="AN60" s="22"/>
    </row>
    <row r="61" spans="1:40">
      <c r="A61" s="22"/>
      <c r="B61" s="22"/>
      <c r="C61" s="120"/>
      <c r="D61" s="120"/>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22"/>
      <c r="AF61" s="22"/>
      <c r="AG61" s="22"/>
      <c r="AH61" s="22"/>
      <c r="AI61" s="22"/>
      <c r="AJ61" s="22"/>
      <c r="AK61" s="22"/>
      <c r="AL61" s="22"/>
      <c r="AM61" s="22"/>
      <c r="AN61" s="22"/>
    </row>
    <row r="62" spans="1:40">
      <c r="A62" s="22"/>
      <c r="B62" s="22"/>
      <c r="C62" s="120"/>
      <c r="D62" s="120"/>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22"/>
      <c r="AF62" s="22"/>
      <c r="AG62" s="22"/>
      <c r="AH62" s="22"/>
      <c r="AI62" s="22"/>
      <c r="AJ62" s="22"/>
      <c r="AK62" s="22"/>
      <c r="AL62" s="22"/>
      <c r="AM62" s="22"/>
      <c r="AN62" s="22"/>
    </row>
    <row r="63" spans="1:40">
      <c r="A63" s="22"/>
      <c r="B63" s="22"/>
      <c r="C63" s="120"/>
      <c r="D63" s="120"/>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c r="AC63" s="123"/>
      <c r="AD63" s="123"/>
      <c r="AE63" s="22"/>
      <c r="AF63" s="22"/>
      <c r="AG63" s="22"/>
      <c r="AH63" s="22"/>
      <c r="AI63" s="22"/>
      <c r="AJ63" s="22"/>
      <c r="AK63" s="22"/>
      <c r="AL63" s="22"/>
      <c r="AM63" s="22"/>
      <c r="AN63" s="22"/>
    </row>
    <row r="64" spans="1:40">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row>
    <row r="65" spans="1:40">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row>
    <row r="66" spans="1:40">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row>
    <row r="67" spans="1:40">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row>
    <row r="68" spans="1:40">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row>
    <row r="69" spans="1:40">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row>
    <row r="70" spans="1:4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row>
    <row r="71" spans="1:40">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row>
    <row r="72" spans="1:40">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row>
  </sheetData>
  <phoneticPr fontId="0" type="noConversion"/>
  <pageMargins left="0.75" right="0.75" top="1" bottom="1" header="0.5" footer="0.5"/>
  <pageSetup orientation="portrait" horizontalDpi="4294967292" verticalDpi="0" r:id="rId1"/>
  <headerFooter alignWithMargins="0"/>
</worksheet>
</file>

<file path=xl/worksheets/sheet8.xml><?xml version="1.0" encoding="utf-8"?>
<worksheet xmlns="http://schemas.openxmlformats.org/spreadsheetml/2006/main" xmlns:r="http://schemas.openxmlformats.org/officeDocument/2006/relationships">
  <dimension ref="A1:Y99"/>
  <sheetViews>
    <sheetView topLeftCell="A27" zoomScale="75" workbookViewId="0">
      <selection activeCell="B73" sqref="B73"/>
    </sheetView>
  </sheetViews>
  <sheetFormatPr defaultColWidth="11.42578125" defaultRowHeight="12.75"/>
  <cols>
    <col min="1" max="1" width="15.85546875" customWidth="1"/>
    <col min="2" max="2" width="13.5703125" customWidth="1"/>
    <col min="3" max="3" width="34.140625" customWidth="1"/>
    <col min="4" max="5" width="10.85546875" customWidth="1"/>
    <col min="6" max="6" width="14.28515625" customWidth="1"/>
    <col min="7" max="9" width="9.140625" customWidth="1"/>
    <col min="10" max="10" width="9.5703125" customWidth="1"/>
    <col min="11" max="23" width="11.42578125" customWidth="1"/>
    <col min="24" max="24" width="10.85546875" customWidth="1"/>
    <col min="25" max="25" width="8.5703125" customWidth="1"/>
  </cols>
  <sheetData>
    <row r="1" spans="1:21" ht="18">
      <c r="A1" s="10" t="s">
        <v>558</v>
      </c>
    </row>
    <row r="2" spans="1:21">
      <c r="A2" s="9"/>
      <c r="F2" s="245"/>
    </row>
    <row r="3" spans="1:21">
      <c r="A3" s="9"/>
      <c r="F3" s="245"/>
    </row>
    <row r="4" spans="1:21">
      <c r="A4" s="9"/>
      <c r="F4" s="245"/>
      <c r="G4" s="23"/>
      <c r="H4" s="19"/>
      <c r="J4" s="19"/>
      <c r="K4" s="137"/>
      <c r="Q4" s="18">
        <v>1.05</v>
      </c>
    </row>
    <row r="5" spans="1:21" ht="18">
      <c r="A5" s="9"/>
      <c r="B5" s="277" t="s">
        <v>678</v>
      </c>
      <c r="C5" s="131"/>
      <c r="D5" s="131"/>
      <c r="E5" s="131"/>
      <c r="F5" s="252" t="str">
        <f>"~FI_T: "&amp;Region</f>
        <v>~FI_T: FIN</v>
      </c>
    </row>
    <row r="6" spans="1:21" ht="26.25" thickBot="1">
      <c r="A6" s="132"/>
      <c r="B6" s="52" t="s">
        <v>57</v>
      </c>
      <c r="C6" s="52" t="s">
        <v>58</v>
      </c>
      <c r="D6" s="52" t="s">
        <v>56</v>
      </c>
      <c r="E6" s="52" t="s">
        <v>59</v>
      </c>
      <c r="F6" s="52" t="s">
        <v>385</v>
      </c>
      <c r="G6" s="52" t="s">
        <v>661</v>
      </c>
      <c r="H6" s="52" t="s">
        <v>734</v>
      </c>
      <c r="I6" s="52" t="s">
        <v>976</v>
      </c>
      <c r="J6" s="52" t="s">
        <v>534</v>
      </c>
      <c r="K6" s="52" t="s">
        <v>535</v>
      </c>
      <c r="L6" s="52" t="s">
        <v>536</v>
      </c>
      <c r="M6" s="278" t="str">
        <f ca="1">"Share~UP~"&amp;AuxYear</f>
        <v>Share~UP~2017</v>
      </c>
      <c r="N6" s="278" t="str">
        <f ca="1">"Share~UP~"&amp;CEILING(AuxYear+2,5)</f>
        <v>Share~UP~2020</v>
      </c>
      <c r="O6" s="52" t="s">
        <v>802</v>
      </c>
      <c r="P6" s="52" t="str">
        <f ca="1">"ACT_BND~UP~"&amp;AuxYear</f>
        <v>ACT_BND~UP~2017</v>
      </c>
      <c r="Q6" s="52" t="s">
        <v>803</v>
      </c>
      <c r="R6" s="52" t="s">
        <v>804</v>
      </c>
      <c r="S6" s="335" t="str">
        <f ca="1">"ACT_BND~LO~"&amp;CEILING(AuxYear+2,5)</f>
        <v>ACT_BND~LO~2020</v>
      </c>
      <c r="T6" s="52" t="s">
        <v>826</v>
      </c>
      <c r="U6" s="52" t="s">
        <v>827</v>
      </c>
    </row>
    <row r="7" spans="1:21">
      <c r="A7" s="149"/>
      <c r="B7" s="12" t="str">
        <f>CONCATENATE("FT-",E10,"0")</f>
        <v>FT-RESNGA0</v>
      </c>
      <c r="C7" s="404" t="s">
        <v>529</v>
      </c>
      <c r="D7" s="139" t="str">
        <f ca="1">IEAData!D9</f>
        <v>GASNGA</v>
      </c>
      <c r="E7" s="12"/>
      <c r="F7" s="12"/>
      <c r="G7" s="139">
        <v>1</v>
      </c>
      <c r="H7" s="97">
        <f ca="1">IF(IEAData!$G$9&lt;=0,1,IEAData!B9/IEAData!$G$9)+0.004</f>
        <v>1.004</v>
      </c>
      <c r="I7" s="97">
        <f ca="1">IF(AuxData!$G$9&lt;=0,1,AuxData!C9/AuxData!$G$9)+0.004</f>
        <v>1.004</v>
      </c>
      <c r="J7" s="140">
        <v>1</v>
      </c>
      <c r="K7" s="140">
        <v>1</v>
      </c>
      <c r="L7" s="18"/>
      <c r="M7" s="40">
        <v>1</v>
      </c>
      <c r="N7" s="40">
        <v>1</v>
      </c>
      <c r="O7" s="374">
        <f ca="1">IEAData!$G$9*RES_Fuels!$Q$4</f>
        <v>1.5312350214000003</v>
      </c>
      <c r="P7" s="374">
        <f ca="1">AuxData!$G$9*RES_Fuels!$Q$4</f>
        <v>0.63504094499999997</v>
      </c>
      <c r="Q7" s="374">
        <f>P7*$Q$4</f>
        <v>0.66679299224999999</v>
      </c>
      <c r="R7" s="374">
        <f>Q7*$Q$4</f>
        <v>0.70013264186250002</v>
      </c>
      <c r="S7" s="515"/>
      <c r="T7" s="374"/>
      <c r="U7" s="374"/>
    </row>
    <row r="8" spans="1:21">
      <c r="A8" s="149"/>
      <c r="B8" s="12"/>
      <c r="C8" s="378"/>
      <c r="D8" s="139" t="str">
        <f ca="1">IEAData!D10</f>
        <v>GASGWG</v>
      </c>
      <c r="E8" s="12"/>
      <c r="F8" s="12"/>
      <c r="G8" s="139"/>
      <c r="H8" s="97">
        <f ca="1">IF(IEAData!$G$9&lt;=0,0,IEAData!B10/IEAData!$G$9)</f>
        <v>0</v>
      </c>
      <c r="I8" s="97">
        <f ca="1">IF(AuxData!$G$9&lt;=0,0,AuxData!C10/AuxData!$G$9)</f>
        <v>0</v>
      </c>
      <c r="J8" s="140"/>
      <c r="K8" s="140"/>
      <c r="L8" s="18"/>
      <c r="M8" s="40">
        <f>I8</f>
        <v>0</v>
      </c>
      <c r="N8" s="40">
        <f>I8</f>
        <v>0</v>
      </c>
      <c r="O8" s="369"/>
      <c r="P8" s="369"/>
      <c r="Q8" s="369"/>
      <c r="R8" s="369"/>
      <c r="S8" s="516"/>
      <c r="T8" s="369"/>
      <c r="U8" s="369"/>
    </row>
    <row r="9" spans="1:21">
      <c r="A9" s="149"/>
      <c r="B9" s="12"/>
      <c r="C9" s="378"/>
      <c r="D9" s="139" t="s">
        <v>1009</v>
      </c>
      <c r="E9" s="12"/>
      <c r="F9" s="12"/>
      <c r="G9" s="139"/>
      <c r="H9" s="97">
        <f ca="1">IF(IEAData!$G$9&lt;=0,0,IEAData!B24/IEAData!$G$9)</f>
        <v>0</v>
      </c>
      <c r="I9" s="97">
        <f ca="1">IF(AuxData!$G$9&lt;=0,0,AuxData!C24/AuxData!$G$9)</f>
        <v>0</v>
      </c>
      <c r="J9" s="140"/>
      <c r="K9" s="140"/>
      <c r="L9" s="18"/>
      <c r="M9" s="40">
        <f>I9</f>
        <v>0</v>
      </c>
      <c r="N9" s="40">
        <f>I9^0.71</f>
        <v>0</v>
      </c>
      <c r="O9" s="369"/>
      <c r="P9" s="369"/>
      <c r="Q9" s="369"/>
      <c r="R9" s="369"/>
      <c r="S9" s="516"/>
      <c r="T9" s="369"/>
      <c r="U9" s="369"/>
    </row>
    <row r="10" spans="1:21">
      <c r="A10" s="149"/>
      <c r="B10" s="247"/>
      <c r="C10" s="460"/>
      <c r="D10" s="142"/>
      <c r="E10" s="142" t="str">
        <f ca="1">IEAData!H9</f>
        <v>RESNGA</v>
      </c>
      <c r="F10" s="142" t="s">
        <v>202</v>
      </c>
      <c r="G10" s="143"/>
      <c r="H10" s="144"/>
      <c r="I10" s="144"/>
      <c r="J10" s="145"/>
      <c r="K10" s="145"/>
      <c r="L10" s="146"/>
      <c r="M10" s="146"/>
      <c r="N10" s="146"/>
      <c r="O10" s="375"/>
      <c r="P10" s="375"/>
      <c r="Q10" s="375"/>
      <c r="R10" s="375"/>
      <c r="S10" s="517"/>
      <c r="T10" s="375"/>
      <c r="U10" s="375"/>
    </row>
    <row r="11" spans="1:21">
      <c r="A11" s="149"/>
      <c r="B11" s="12" t="str">
        <f>CONCATENATE("FT-",E15,"0")</f>
        <v>FT-RESDST0</v>
      </c>
      <c r="C11" s="378" t="s">
        <v>203</v>
      </c>
      <c r="D11" s="139" t="str">
        <f ca="1">IEAData!D12</f>
        <v>OILDST</v>
      </c>
      <c r="E11" s="12"/>
      <c r="F11" s="12"/>
      <c r="G11" s="139">
        <v>1</v>
      </c>
      <c r="H11" s="97">
        <f ca="1">IF(IEAData!$G$10&lt;=0,1,IEAData!B12/IEAData!$G$10)+0.004</f>
        <v>0.98342535404181886</v>
      </c>
      <c r="I11" s="97">
        <f ca="1">IF(AuxData!$G$10&lt;=0,1,AuxData!C12/AuxData!$G$10)+0.004</f>
        <v>0.85398937745985148</v>
      </c>
      <c r="J11" s="140">
        <v>1</v>
      </c>
      <c r="K11" s="140">
        <v>1</v>
      </c>
      <c r="L11" s="18"/>
      <c r="M11" s="40">
        <v>1</v>
      </c>
      <c r="N11" s="40">
        <v>1</v>
      </c>
      <c r="O11" s="374">
        <f ca="1">IEAData!$G$10*RES_Fuels!$Q$4</f>
        <v>22.535546261277645</v>
      </c>
      <c r="P11" s="374">
        <f ca="1">MAX(O11,AuxData!$G$10*$Q$4)</f>
        <v>22.535546261277645</v>
      </c>
      <c r="Q11" s="374">
        <f ca="1">P11*$Q$4</f>
        <v>23.662323574341528</v>
      </c>
      <c r="R11" s="374">
        <f ca="1">Q11*$Q$4</f>
        <v>24.845439753058606</v>
      </c>
      <c r="S11" s="515">
        <f ca="1">AuxData!$G$10*0.93^(2020-AuxYear)</f>
        <v>10.979930441101075</v>
      </c>
      <c r="T11" s="374">
        <f>S11*0.94^30</f>
        <v>1.7156756867420628</v>
      </c>
      <c r="U11" s="374">
        <v>1</v>
      </c>
    </row>
    <row r="12" spans="1:21">
      <c r="A12" s="149"/>
      <c r="B12" s="12"/>
      <c r="C12" s="378"/>
      <c r="D12" s="139" t="str">
        <f ca="1">IEAData!D15</f>
        <v>OILGSL</v>
      </c>
      <c r="E12" s="12"/>
      <c r="F12" s="12"/>
      <c r="G12" s="148"/>
      <c r="H12" s="97">
        <f ca="1">IF(IEAData!$G$10&lt;=0.01,0,IEAData!B15/IEAData!$G$10)</f>
        <v>0</v>
      </c>
      <c r="I12" s="97">
        <f ca="1">IF(AuxData!$G$10&lt;0.01,0,AuxData!C15/AuxData!$G$10)</f>
        <v>0.14182569611466861</v>
      </c>
      <c r="J12" s="140"/>
      <c r="K12" s="140"/>
      <c r="L12" s="18"/>
      <c r="M12" s="40">
        <f>I12</f>
        <v>0.14182569611466861</v>
      </c>
      <c r="N12" s="40">
        <f>I12</f>
        <v>0.14182569611466861</v>
      </c>
      <c r="O12" s="369"/>
      <c r="P12" s="369"/>
      <c r="Q12" s="369"/>
      <c r="R12" s="369"/>
      <c r="S12" s="516"/>
      <c r="T12" s="369"/>
      <c r="U12" s="369"/>
    </row>
    <row r="13" spans="1:21">
      <c r="A13" s="149"/>
      <c r="B13" s="12"/>
      <c r="C13" s="378"/>
      <c r="D13" s="139" t="str">
        <f ca="1">IEAData!D16</f>
        <v>OILNSP</v>
      </c>
      <c r="E13" s="12"/>
      <c r="F13" s="12"/>
      <c r="G13" s="148"/>
      <c r="H13" s="97"/>
      <c r="I13" s="97"/>
      <c r="J13" s="140"/>
      <c r="K13" s="140"/>
      <c r="L13" s="18"/>
      <c r="M13" s="40">
        <f>I13</f>
        <v>0</v>
      </c>
      <c r="N13" s="40">
        <f>I13</f>
        <v>0</v>
      </c>
      <c r="O13" s="369"/>
      <c r="P13" s="369"/>
      <c r="Q13" s="369"/>
      <c r="R13" s="369"/>
      <c r="S13" s="516"/>
      <c r="T13" s="369"/>
      <c r="U13" s="369"/>
    </row>
    <row r="14" spans="1:21">
      <c r="A14" s="149"/>
      <c r="B14" s="12"/>
      <c r="C14" s="378"/>
      <c r="D14" s="139" t="s">
        <v>742</v>
      </c>
      <c r="E14" s="12"/>
      <c r="F14" s="12"/>
      <c r="G14" s="148"/>
      <c r="H14" s="97">
        <f ca="1">IF(IEAData!$G$10&lt;=0.01,0,IEAData!B23/IEAData!$G$10)</f>
        <v>2.0574645958181134E-2</v>
      </c>
      <c r="I14" s="97">
        <f ca="1">IF(AuxData!$G$10&lt;=0.01,0,AuxData!C23/AuxData!$G$10)</f>
        <v>8.1849264254799589E-3</v>
      </c>
      <c r="J14" s="140"/>
      <c r="K14" s="140"/>
      <c r="L14" s="18"/>
      <c r="M14" s="40">
        <f>I14</f>
        <v>8.1849264254799589E-3</v>
      </c>
      <c r="N14" s="40">
        <f>I14</f>
        <v>8.1849264254799589E-3</v>
      </c>
      <c r="O14" s="369"/>
      <c r="P14" s="369"/>
      <c r="Q14" s="369"/>
      <c r="R14" s="369"/>
      <c r="S14" s="516"/>
      <c r="T14" s="369"/>
      <c r="U14" s="369"/>
    </row>
    <row r="15" spans="1:21">
      <c r="A15" s="149"/>
      <c r="B15" s="247"/>
      <c r="C15" s="460"/>
      <c r="D15" s="157"/>
      <c r="E15" s="142" t="str">
        <f ca="1">IEAData!H10</f>
        <v>RESDST</v>
      </c>
      <c r="F15" s="142" t="s">
        <v>204</v>
      </c>
      <c r="G15" s="143"/>
      <c r="H15" s="144"/>
      <c r="I15" s="144"/>
      <c r="J15" s="145"/>
      <c r="K15" s="145"/>
      <c r="L15" s="146"/>
      <c r="M15" s="146"/>
      <c r="N15" s="146"/>
      <c r="O15" s="375"/>
      <c r="P15" s="375"/>
      <c r="Q15" s="375"/>
      <c r="R15" s="375"/>
      <c r="S15" s="517"/>
      <c r="T15" s="375"/>
      <c r="U15" s="375"/>
    </row>
    <row r="16" spans="1:21">
      <c r="A16" s="9"/>
      <c r="B16" s="12" t="str">
        <f>CONCATENATE("FT-",E17,"0")</f>
        <v>FT-RESHFO0</v>
      </c>
      <c r="C16" s="378" t="s">
        <v>205</v>
      </c>
      <c r="D16" s="139" t="str">
        <f ca="1">IEAData!D13</f>
        <v>OILHFO</v>
      </c>
      <c r="E16" s="12"/>
      <c r="F16" s="12"/>
      <c r="G16" s="139">
        <v>1</v>
      </c>
      <c r="H16" s="97"/>
      <c r="I16" s="97"/>
      <c r="J16" s="140">
        <v>1</v>
      </c>
      <c r="K16" s="140">
        <v>1</v>
      </c>
      <c r="L16" s="18"/>
      <c r="M16" s="40"/>
      <c r="N16" s="40"/>
      <c r="O16" s="374">
        <f ca="1">IEAData!$G$11*RES_Fuels!$Q$4</f>
        <v>0.37798011720000008</v>
      </c>
      <c r="P16" s="374">
        <f ca="1">AuxData!$G$11*RES_Fuels!$Q$4</f>
        <v>0.12600220500000001</v>
      </c>
      <c r="Q16" s="374">
        <f>P16*$Q$4</f>
        <v>0.13230231525000002</v>
      </c>
      <c r="R16" s="374">
        <f>Q16*$Q$4</f>
        <v>0.13891743101250004</v>
      </c>
      <c r="S16" s="515"/>
      <c r="T16" s="374"/>
      <c r="U16" s="374"/>
    </row>
    <row r="17" spans="1:21">
      <c r="A17" s="9"/>
      <c r="B17" s="142"/>
      <c r="C17" s="460"/>
      <c r="D17" s="142"/>
      <c r="E17" s="142" t="str">
        <f ca="1">IEAData!H11</f>
        <v>RESHFO</v>
      </c>
      <c r="F17" s="142" t="s">
        <v>206</v>
      </c>
      <c r="G17" s="143"/>
      <c r="H17" s="144"/>
      <c r="I17" s="144"/>
      <c r="J17" s="145"/>
      <c r="K17" s="145"/>
      <c r="L17" s="146"/>
      <c r="M17" s="146"/>
      <c r="N17" s="146"/>
      <c r="O17" s="375"/>
      <c r="P17" s="375"/>
      <c r="Q17" s="375"/>
      <c r="R17" s="375"/>
      <c r="S17" s="517"/>
      <c r="T17" s="375"/>
      <c r="U17" s="375"/>
    </row>
    <row r="18" spans="1:21">
      <c r="A18" s="9"/>
      <c r="B18" s="12" t="str">
        <f>CONCATENATE("FT-",E19,"0")</f>
        <v>FT-RESKER0</v>
      </c>
      <c r="C18" s="378" t="s">
        <v>207</v>
      </c>
      <c r="D18" s="139" t="str">
        <f ca="1">IEAData!D14</f>
        <v>OILKER</v>
      </c>
      <c r="E18" s="12"/>
      <c r="F18" s="12"/>
      <c r="G18" s="139">
        <v>1</v>
      </c>
      <c r="H18" s="97"/>
      <c r="I18" s="97"/>
      <c r="J18" s="140">
        <v>1</v>
      </c>
      <c r="K18" s="140">
        <v>1</v>
      </c>
      <c r="L18" s="18"/>
      <c r="M18" s="18"/>
      <c r="N18" s="18"/>
      <c r="O18" s="374">
        <f ca="1">IEAData!$G$12*RES_Fuels!$Q$4</f>
        <v>0</v>
      </c>
      <c r="P18" s="374">
        <f ca="1">MAX(O18,AuxData!$G$12*RES_Fuels!$Q$4)</f>
        <v>0</v>
      </c>
      <c r="Q18" s="374">
        <f>P18*$Q$4</f>
        <v>0</v>
      </c>
      <c r="R18" s="374">
        <f>Q18*$Q$4</f>
        <v>0</v>
      </c>
      <c r="S18" s="515">
        <f ca="1">O18*0.96^(2020-BaseYear)</f>
        <v>0</v>
      </c>
      <c r="T18" s="374">
        <f>S18*0.95^30</f>
        <v>0</v>
      </c>
      <c r="U18" s="374">
        <v>1</v>
      </c>
    </row>
    <row r="19" spans="1:21">
      <c r="A19" s="9"/>
      <c r="B19" s="142"/>
      <c r="C19" s="460"/>
      <c r="D19" s="142"/>
      <c r="E19" s="142" t="str">
        <f ca="1">IEAData!H12</f>
        <v>RESKER</v>
      </c>
      <c r="F19" s="142" t="s">
        <v>208</v>
      </c>
      <c r="G19" s="143"/>
      <c r="H19" s="144"/>
      <c r="I19" s="144"/>
      <c r="J19" s="145"/>
      <c r="K19" s="145"/>
      <c r="L19" s="146"/>
      <c r="M19" s="146"/>
      <c r="N19" s="146"/>
      <c r="O19" s="375"/>
      <c r="P19" s="375"/>
      <c r="Q19" s="375"/>
      <c r="R19" s="375"/>
      <c r="S19" s="517"/>
      <c r="T19" s="375"/>
      <c r="U19" s="375"/>
    </row>
    <row r="20" spans="1:21">
      <c r="A20" s="9"/>
      <c r="B20" s="12" t="str">
        <f>CONCATENATE("FT-",E23,"0")</f>
        <v>FT-RESCOP0</v>
      </c>
      <c r="C20" s="378" t="s">
        <v>1034</v>
      </c>
      <c r="D20" s="139" t="str">
        <f ca="1">IEAData!D17</f>
        <v>COAHCO</v>
      </c>
      <c r="E20" s="12"/>
      <c r="F20" s="12"/>
      <c r="G20" s="139">
        <v>1</v>
      </c>
      <c r="H20" s="97">
        <f ca="1">IF(IEAData!$G$13&lt;=0,1,IEAData!B17/IEAData!$G$13)</f>
        <v>0</v>
      </c>
      <c r="I20" s="97">
        <f ca="1">IF(AuxData!$G$13&lt;=0,1,AuxData!C17/AuxData!$G$13)</f>
        <v>0</v>
      </c>
      <c r="J20" s="140">
        <v>1</v>
      </c>
      <c r="K20" s="140">
        <v>1</v>
      </c>
      <c r="L20" s="18"/>
      <c r="M20" s="40">
        <f>I20</f>
        <v>0</v>
      </c>
      <c r="N20" s="40">
        <f>MIN(1,MAX(I20*2,0.1))</f>
        <v>0.1</v>
      </c>
      <c r="O20" s="391">
        <f ca="1">IEAData!$G$13*RES_Fuels!$Q$4</f>
        <v>0.5670580986</v>
      </c>
      <c r="P20" s="391">
        <f ca="1">AuxData!$G$13*RES_Fuels!$Q$4</f>
        <v>0.15623884500000002</v>
      </c>
      <c r="Q20" s="368">
        <f>P20*0.98^30</f>
        <v>8.5225840025923025E-2</v>
      </c>
      <c r="R20" s="368">
        <f>Q20*0.99^40</f>
        <v>5.7013680077719953E-2</v>
      </c>
      <c r="S20" s="515"/>
      <c r="T20" s="374"/>
      <c r="U20" s="374"/>
    </row>
    <row r="21" spans="1:21">
      <c r="A21" s="9"/>
      <c r="B21" s="12"/>
      <c r="C21" s="378"/>
      <c r="D21" s="139" t="str">
        <f ca="1">IEAData!D18</f>
        <v>COABCO</v>
      </c>
      <c r="E21" s="12"/>
      <c r="F21" s="12"/>
      <c r="G21" s="148"/>
      <c r="H21" s="97">
        <f ca="1">IF(IEAData!$G$13&lt;=0,0,IEAData!B18/IEAData!$G$13)+0.004</f>
        <v>1.004</v>
      </c>
      <c r="I21" s="97">
        <f ca="1">IF(AuxData!$G$13&lt;=0,0,AuxData!C18/AuxData!$G$13)+0.004</f>
        <v>1.004</v>
      </c>
      <c r="J21" s="140"/>
      <c r="K21" s="140"/>
      <c r="L21" s="18"/>
      <c r="M21" s="40">
        <f>I21</f>
        <v>1.004</v>
      </c>
      <c r="N21" s="40">
        <f>I21^0.2</f>
        <v>1.0007987230634245</v>
      </c>
      <c r="O21" s="369"/>
      <c r="P21" s="369"/>
      <c r="Q21" s="369"/>
      <c r="R21" s="369"/>
      <c r="S21" s="516"/>
      <c r="T21" s="369"/>
      <c r="U21" s="369"/>
    </row>
    <row r="22" spans="1:21">
      <c r="A22" s="9"/>
      <c r="B22" s="12"/>
      <c r="C22" s="378"/>
      <c r="D22" s="139" t="str">
        <f ca="1">IEAData!D19</f>
        <v>COAOVC</v>
      </c>
      <c r="E22" s="12"/>
      <c r="F22" s="12"/>
      <c r="G22" s="148"/>
      <c r="H22" s="97">
        <f ca="1">IF(IEAData!$G$13&lt;=0,0,IEAData!B19/IEAData!$G$13)</f>
        <v>0</v>
      </c>
      <c r="I22" s="97">
        <f ca="1">IF(AuxData!$G$13&lt;=0,0,AuxData!C19/AuxData!$G$13)</f>
        <v>0</v>
      </c>
      <c r="J22" s="140"/>
      <c r="K22" s="140"/>
      <c r="L22" s="18"/>
      <c r="M22" s="40">
        <f>I22</f>
        <v>0</v>
      </c>
      <c r="N22" s="40">
        <f>I22</f>
        <v>0</v>
      </c>
      <c r="O22" s="369"/>
      <c r="P22" s="369"/>
      <c r="Q22" s="369"/>
      <c r="R22" s="369"/>
      <c r="S22" s="516"/>
      <c r="T22" s="369"/>
      <c r="U22" s="369"/>
    </row>
    <row r="23" spans="1:21">
      <c r="A23" s="9"/>
      <c r="B23" s="247"/>
      <c r="C23" s="460"/>
      <c r="D23" s="142"/>
      <c r="E23" s="142" t="str">
        <f ca="1">IEAData!H13</f>
        <v>RESCOP</v>
      </c>
      <c r="F23" s="142" t="s">
        <v>1019</v>
      </c>
      <c r="G23" s="143"/>
      <c r="H23" s="144"/>
      <c r="I23" s="144"/>
      <c r="J23" s="145"/>
      <c r="K23" s="145"/>
      <c r="L23" s="146"/>
      <c r="M23" s="146"/>
      <c r="N23" s="146"/>
      <c r="O23" s="375"/>
      <c r="P23" s="375"/>
      <c r="Q23" s="375"/>
      <c r="R23" s="375"/>
      <c r="S23" s="517"/>
      <c r="T23" s="375"/>
      <c r="U23" s="375"/>
    </row>
    <row r="24" spans="1:21">
      <c r="A24" s="9"/>
      <c r="B24" s="12" t="str">
        <f>CONCATENATE("FT-",E25,"0")</f>
        <v>FT-RESLPG0</v>
      </c>
      <c r="C24" s="378" t="s">
        <v>210</v>
      </c>
      <c r="D24" s="139" t="str">
        <f ca="1">IEAData!D20</f>
        <v>OILLPG</v>
      </c>
      <c r="E24" s="12"/>
      <c r="F24" s="12"/>
      <c r="G24" s="139">
        <v>1</v>
      </c>
      <c r="H24" s="97"/>
      <c r="I24" s="97"/>
      <c r="J24" s="140">
        <v>1</v>
      </c>
      <c r="K24" s="140">
        <v>1</v>
      </c>
      <c r="L24" s="18"/>
      <c r="M24" s="18"/>
      <c r="N24" s="18"/>
      <c r="O24" s="374">
        <f ca="1">IEAData!$G$14*RES_Fuels!$Q$4</f>
        <v>0.43469032320000001</v>
      </c>
      <c r="P24" s="374">
        <f ca="1">MAX(O24,AuxData!$G$14*RES_Fuels!$Q$4)</f>
        <v>0.43469032320000001</v>
      </c>
      <c r="Q24" s="374">
        <f>P24*$Q$4</f>
        <v>0.45642483936</v>
      </c>
      <c r="R24" s="374">
        <f>Q24*$Q$4</f>
        <v>0.47924608132800001</v>
      </c>
      <c r="S24" s="515">
        <f ca="1">O24*0.967^(2020-BaseYear)</f>
        <v>0.31077402538353066</v>
      </c>
      <c r="T24" s="374">
        <f>S24*0.965^30</f>
        <v>0.10672449622187966</v>
      </c>
      <c r="U24" s="374">
        <v>1</v>
      </c>
    </row>
    <row r="25" spans="1:21">
      <c r="A25" s="9"/>
      <c r="B25" s="247"/>
      <c r="C25" s="460"/>
      <c r="D25" s="142"/>
      <c r="E25" s="142" t="str">
        <f ca="1">IEAData!H14</f>
        <v>RESLPG</v>
      </c>
      <c r="F25" s="142" t="s">
        <v>211</v>
      </c>
      <c r="G25" s="143"/>
      <c r="H25" s="144"/>
      <c r="I25" s="144"/>
      <c r="J25" s="145"/>
      <c r="K25" s="145"/>
      <c r="L25" s="146"/>
      <c r="M25" s="146"/>
      <c r="N25" s="146"/>
      <c r="O25" s="375"/>
      <c r="P25" s="375"/>
      <c r="Q25" s="375"/>
      <c r="R25" s="375"/>
      <c r="S25" s="517"/>
      <c r="T25" s="375"/>
      <c r="U25" s="375"/>
    </row>
    <row r="26" spans="1:21" ht="15.75" customHeight="1">
      <c r="A26" s="9"/>
      <c r="B26" s="12" t="str">
        <f>CONCATENATE("FT-",E27,"0")</f>
        <v>FT-RESBIO0</v>
      </c>
      <c r="C26" s="378" t="s">
        <v>448</v>
      </c>
      <c r="D26" s="139" t="s">
        <v>943</v>
      </c>
      <c r="E26" s="12"/>
      <c r="F26" s="12"/>
      <c r="G26" s="139">
        <v>1</v>
      </c>
      <c r="H26" s="97">
        <f ca="1">IF(IEAData!$G$15&lt;=0,0,IEAData!B21/IEAData!$G$15)+0.004</f>
        <v>1.004</v>
      </c>
      <c r="I26" s="97">
        <f ca="1">IF(AuxData!$G$15&lt;=0,0,AuxData!C21/AuxData!$G$15)</f>
        <v>1</v>
      </c>
      <c r="J26" s="140">
        <v>1</v>
      </c>
      <c r="K26" s="140">
        <v>1</v>
      </c>
      <c r="L26" s="18"/>
      <c r="M26" s="40">
        <v>1</v>
      </c>
      <c r="N26" s="40">
        <v>1</v>
      </c>
      <c r="O26" s="374">
        <f ca="1">IEAData!$G$15*RES_Fuels!$Q$4-O28</f>
        <v>57.452877644166463</v>
      </c>
      <c r="P26" s="374">
        <f ca="1">MAX(O26,AuxData!$G$15*RES_Fuels!$Q$4)-P28</f>
        <v>53.649725878375584</v>
      </c>
      <c r="Q26" s="374">
        <f ca="1">MAX(O26:P26)*0.8</f>
        <v>45.962302115333173</v>
      </c>
      <c r="R26" s="374">
        <f ca="1">Q26*0.8</f>
        <v>36.769841692266539</v>
      </c>
      <c r="S26" s="515">
        <f ca="1">MIN(MIN(O26:P26)*0.92,MAX(O26:P26)*0.85)</f>
        <v>48.834945997541496</v>
      </c>
      <c r="T26" s="374">
        <f ca="1">Q26*0.65</f>
        <v>29.875496374966563</v>
      </c>
      <c r="U26" s="374">
        <v>1</v>
      </c>
    </row>
    <row r="27" spans="1:21">
      <c r="A27" s="9"/>
      <c r="B27" s="247"/>
      <c r="C27" s="460"/>
      <c r="D27" s="142" t="s">
        <v>946</v>
      </c>
      <c r="E27" s="142" t="str">
        <f ca="1">IEAData!H15</f>
        <v>RESBIO</v>
      </c>
      <c r="F27" s="142" t="s">
        <v>449</v>
      </c>
      <c r="G27" s="143"/>
      <c r="H27" s="144"/>
      <c r="I27" s="144"/>
      <c r="J27" s="145"/>
      <c r="K27" s="145"/>
      <c r="L27" s="146"/>
      <c r="M27" s="146"/>
      <c r="N27" s="146"/>
      <c r="O27" s="375"/>
      <c r="P27" s="375"/>
      <c r="Q27" s="375"/>
      <c r="R27" s="375"/>
      <c r="S27" s="517"/>
      <c r="T27" s="375"/>
      <c r="U27" s="375"/>
    </row>
    <row r="28" spans="1:21">
      <c r="A28" s="9"/>
      <c r="B28" s="12" t="str">
        <f>CONCATENATE("FT-",E29,"0")</f>
        <v>FT-RESBPL0</v>
      </c>
      <c r="C28" s="378" t="s">
        <v>936</v>
      </c>
      <c r="D28" s="36" t="s">
        <v>929</v>
      </c>
      <c r="E28" s="12"/>
      <c r="F28" s="12"/>
      <c r="G28" s="139">
        <v>1</v>
      </c>
      <c r="H28" s="97"/>
      <c r="I28" s="97"/>
      <c r="J28" s="140">
        <v>1</v>
      </c>
      <c r="K28" s="140">
        <v>1</v>
      </c>
      <c r="L28" s="18"/>
      <c r="M28" s="18"/>
      <c r="N28" s="18"/>
      <c r="O28" s="374">
        <f ca="1">RHT!Z38</f>
        <v>3.7236116779803048</v>
      </c>
      <c r="P28" s="374">
        <f ca="1">RHT!AA38</f>
        <v>3.8031517657908784</v>
      </c>
      <c r="Q28" s="374">
        <f ca="1">P28*$Q$4^3</f>
        <v>4.4026235628736661</v>
      </c>
      <c r="R28" s="374">
        <f ca="1">Q28*$Q$4^3</f>
        <v>5.096587101971628</v>
      </c>
      <c r="S28" s="515"/>
      <c r="T28" s="374"/>
      <c r="U28" s="374"/>
    </row>
    <row r="29" spans="1:21">
      <c r="A29" s="9"/>
      <c r="B29" s="247"/>
      <c r="C29" s="460"/>
      <c r="D29" s="142"/>
      <c r="E29" s="142" t="s">
        <v>931</v>
      </c>
      <c r="F29" s="142" t="s">
        <v>934</v>
      </c>
      <c r="G29" s="143"/>
      <c r="H29" s="144"/>
      <c r="I29" s="144"/>
      <c r="J29" s="145"/>
      <c r="K29" s="145"/>
      <c r="L29" s="146"/>
      <c r="M29" s="146"/>
      <c r="N29" s="146"/>
      <c r="O29" s="375"/>
      <c r="P29" s="375"/>
      <c r="Q29" s="375"/>
      <c r="R29" s="375"/>
      <c r="S29" s="517"/>
      <c r="T29" s="375"/>
      <c r="U29" s="375"/>
    </row>
    <row r="30" spans="1:21">
      <c r="A30" s="9"/>
      <c r="B30" s="12" t="str">
        <f>CONCATENATE("FT-",E31,"0")</f>
        <v>FT-RESGEO0</v>
      </c>
      <c r="C30" s="378" t="s">
        <v>450</v>
      </c>
      <c r="D30" s="139" t="str">
        <f ca="1">IEAData!D29</f>
        <v>GEO</v>
      </c>
      <c r="E30" s="12"/>
      <c r="F30" s="12"/>
      <c r="G30" s="139">
        <v>1</v>
      </c>
      <c r="H30" s="97"/>
      <c r="I30" s="97"/>
      <c r="J30" s="140">
        <v>1</v>
      </c>
      <c r="K30" s="140">
        <v>1</v>
      </c>
      <c r="L30" s="18"/>
      <c r="M30" s="18"/>
      <c r="N30" s="18"/>
      <c r="O30" s="374">
        <f ca="1">IEAData!$G$18*RES_Fuels!$Q$4</f>
        <v>0</v>
      </c>
      <c r="P30" s="374">
        <f ca="1">AuxData!$G$18*RES_Fuels!$Q$4</f>
        <v>0</v>
      </c>
      <c r="Q30" s="374">
        <f>P30*$Q$4</f>
        <v>0</v>
      </c>
      <c r="R30" s="374">
        <f>Q30*$Q$4</f>
        <v>0</v>
      </c>
      <c r="S30" s="515"/>
      <c r="T30" s="374"/>
      <c r="U30" s="374"/>
    </row>
    <row r="31" spans="1:21">
      <c r="A31" s="9"/>
      <c r="B31" s="142"/>
      <c r="C31" s="460"/>
      <c r="D31" s="142"/>
      <c r="E31" s="142" t="str">
        <f ca="1">IEAData!H18</f>
        <v>RESGEO</v>
      </c>
      <c r="F31" s="142" t="s">
        <v>451</v>
      </c>
      <c r="G31" s="143"/>
      <c r="H31" s="144"/>
      <c r="I31" s="144"/>
      <c r="J31" s="145"/>
      <c r="K31" s="145"/>
      <c r="L31" s="146"/>
      <c r="M31" s="146"/>
      <c r="N31" s="146"/>
      <c r="O31" s="375"/>
      <c r="P31" s="375"/>
      <c r="Q31" s="375"/>
      <c r="R31" s="375"/>
      <c r="S31" s="517"/>
      <c r="T31" s="375"/>
      <c r="U31" s="375"/>
    </row>
    <row r="32" spans="1:21">
      <c r="A32" s="9"/>
      <c r="B32" s="12" t="str">
        <f>CONCATENATE("FT-",E33,"0")</f>
        <v>FT-RESSOL0</v>
      </c>
      <c r="C32" s="378" t="s">
        <v>452</v>
      </c>
      <c r="D32" s="139" t="str">
        <f ca="1">IEAData!D30</f>
        <v>SOL</v>
      </c>
      <c r="E32" s="12"/>
      <c r="F32" s="12"/>
      <c r="G32" s="139">
        <v>1</v>
      </c>
      <c r="H32" s="97"/>
      <c r="I32" s="97"/>
      <c r="J32" s="140">
        <v>1</v>
      </c>
      <c r="K32" s="140">
        <v>1</v>
      </c>
      <c r="L32" s="18"/>
      <c r="M32" s="18"/>
      <c r="N32" s="18"/>
      <c r="O32" s="374">
        <f ca="1">IEAData!$G$19*RES_Fuels!$Q$4</f>
        <v>4.0928063400000006E-2</v>
      </c>
      <c r="P32" s="374">
        <f ca="1">AuxData!$G$19*RES_Fuels!$Q$4</f>
        <v>7.8748004999999996E-2</v>
      </c>
      <c r="Q32" s="374">
        <f>P32*$Q$4</f>
        <v>8.2685405249999996E-2</v>
      </c>
      <c r="R32" s="374">
        <f>Q32*$Q$4</f>
        <v>8.68196755125E-2</v>
      </c>
      <c r="S32" s="515"/>
      <c r="T32" s="374"/>
      <c r="U32" s="374"/>
    </row>
    <row r="33" spans="1:23">
      <c r="A33" s="9"/>
      <c r="B33" s="142"/>
      <c r="C33" s="460"/>
      <c r="D33" s="142"/>
      <c r="E33" s="142" t="str">
        <f ca="1">IEAData!H19</f>
        <v>RESSOL</v>
      </c>
      <c r="F33" s="142" t="s">
        <v>453</v>
      </c>
      <c r="G33" s="143"/>
      <c r="H33" s="144"/>
      <c r="I33" s="144"/>
      <c r="J33" s="145"/>
      <c r="K33" s="145"/>
      <c r="L33" s="146"/>
      <c r="M33" s="146"/>
      <c r="N33" s="146"/>
      <c r="O33" s="375"/>
      <c r="P33" s="375"/>
      <c r="Q33" s="375"/>
      <c r="R33" s="375"/>
      <c r="S33" s="517"/>
      <c r="T33" s="375"/>
      <c r="U33" s="375"/>
    </row>
    <row r="34" spans="1:23">
      <c r="A34" s="9"/>
      <c r="B34" s="22"/>
      <c r="C34" s="74"/>
      <c r="D34" s="22"/>
      <c r="E34" s="22"/>
      <c r="F34" s="22"/>
      <c r="G34" s="23"/>
      <c r="H34" s="19"/>
      <c r="J34" s="19"/>
      <c r="K34" s="137"/>
    </row>
    <row r="35" spans="1:23">
      <c r="A35" s="9"/>
      <c r="B35" s="22"/>
      <c r="C35" s="74"/>
      <c r="D35" s="22"/>
      <c r="E35" s="22"/>
      <c r="F35" s="22"/>
      <c r="G35" s="23"/>
      <c r="H35" s="19"/>
      <c r="I35" s="19"/>
      <c r="J35" s="137"/>
    </row>
    <row r="36" spans="1:23">
      <c r="F36" s="245"/>
    </row>
    <row r="37" spans="1:23" ht="18">
      <c r="A37" s="9"/>
      <c r="B37" s="253" t="s">
        <v>590</v>
      </c>
      <c r="C37" s="136"/>
      <c r="D37" s="136"/>
      <c r="E37" s="136"/>
      <c r="F37" s="136"/>
      <c r="G37" s="252" t="str">
        <f>"~FI_T: "&amp;Region</f>
        <v>~FI_T: FIN</v>
      </c>
    </row>
    <row r="38" spans="1:23" ht="26.25" thickBot="1">
      <c r="A38" s="9"/>
      <c r="B38" s="52" t="s">
        <v>57</v>
      </c>
      <c r="C38" s="52" t="s">
        <v>58</v>
      </c>
      <c r="D38" s="52" t="s">
        <v>56</v>
      </c>
      <c r="E38" s="52" t="s">
        <v>59</v>
      </c>
      <c r="F38" s="52" t="s">
        <v>385</v>
      </c>
      <c r="G38" s="52" t="s">
        <v>741</v>
      </c>
      <c r="H38" s="52" t="s">
        <v>661</v>
      </c>
      <c r="I38" s="52" t="s">
        <v>861</v>
      </c>
      <c r="J38" s="52" t="s">
        <v>534</v>
      </c>
      <c r="K38" s="52" t="s">
        <v>956</v>
      </c>
      <c r="L38" s="52" t="s">
        <v>536</v>
      </c>
      <c r="M38" s="52" t="s">
        <v>537</v>
      </c>
      <c r="N38" s="52" t="s">
        <v>88</v>
      </c>
      <c r="O38" s="52" t="s">
        <v>538</v>
      </c>
      <c r="P38" s="52" t="s">
        <v>875</v>
      </c>
      <c r="Q38" s="52" t="str">
        <f ca="1">P38&amp;"~"&amp;AuxYear</f>
        <v>FLO_EMIS~RH1~2017</v>
      </c>
      <c r="R38" s="52" t="s">
        <v>876</v>
      </c>
      <c r="S38" s="52" t="str">
        <f ca="1">R38&amp;"~"&amp;AuxYear</f>
        <v>FLO_EMIS~RH2~2017</v>
      </c>
    </row>
    <row r="39" spans="1:23">
      <c r="A39" s="13"/>
      <c r="B39" s="12" t="str">
        <f>CONCATENATE("FT-",E40,"0")</f>
        <v>FT-RESELC0</v>
      </c>
      <c r="C39" s="25" t="s">
        <v>41</v>
      </c>
      <c r="D39" s="339" t="s">
        <v>392</v>
      </c>
      <c r="E39" s="12"/>
      <c r="F39" s="12"/>
      <c r="G39" s="148"/>
      <c r="H39" s="148">
        <v>31.536000000000001</v>
      </c>
      <c r="I39" s="40">
        <v>1</v>
      </c>
      <c r="J39" s="97"/>
      <c r="K39" s="346">
        <v>0</v>
      </c>
      <c r="L39" s="18"/>
      <c r="M39" s="18"/>
      <c r="N39" s="18"/>
      <c r="O39" s="18"/>
      <c r="P39" s="140"/>
      <c r="Q39" s="140"/>
      <c r="R39" s="140"/>
      <c r="S39" s="140"/>
    </row>
    <row r="40" spans="1:23">
      <c r="A40" s="9"/>
      <c r="B40" s="142"/>
      <c r="C40" s="141"/>
      <c r="D40" s="157"/>
      <c r="E40" s="142" t="str">
        <f ca="1">IEAData!H16</f>
        <v>RESELC</v>
      </c>
      <c r="F40" s="142" t="s">
        <v>42</v>
      </c>
      <c r="G40" s="157"/>
      <c r="H40" s="157"/>
      <c r="I40" s="340"/>
      <c r="J40" s="144"/>
      <c r="K40" s="145"/>
      <c r="L40" s="146"/>
      <c r="M40" s="146"/>
      <c r="N40" s="146"/>
      <c r="O40" s="146"/>
      <c r="P40" s="145"/>
      <c r="Q40" s="145"/>
      <c r="R40" s="145"/>
      <c r="S40" s="145"/>
    </row>
    <row r="41" spans="1:23">
      <c r="A41" s="9"/>
      <c r="B41" s="12" t="s">
        <v>859</v>
      </c>
      <c r="C41" s="25" t="s">
        <v>937</v>
      </c>
      <c r="D41" s="139" t="str">
        <f>E40</f>
        <v>RESELC</v>
      </c>
      <c r="E41" s="12"/>
      <c r="F41" s="12"/>
      <c r="G41" s="139"/>
      <c r="H41" s="139"/>
      <c r="I41" s="40"/>
      <c r="J41" s="97">
        <v>1</v>
      </c>
      <c r="K41" s="140"/>
      <c r="L41" s="18"/>
      <c r="M41" s="18"/>
      <c r="N41" s="18"/>
      <c r="O41" s="18"/>
      <c r="P41" s="140"/>
      <c r="Q41" s="140"/>
      <c r="R41" s="140"/>
      <c r="S41" s="140"/>
    </row>
    <row r="42" spans="1:23">
      <c r="A42" s="9"/>
      <c r="B42" s="12"/>
      <c r="C42" s="25"/>
      <c r="D42" s="139" t="s">
        <v>253</v>
      </c>
      <c r="E42" s="12" t="s">
        <v>835</v>
      </c>
      <c r="F42" s="12"/>
      <c r="G42" s="139"/>
      <c r="H42" s="139"/>
      <c r="I42" s="40"/>
      <c r="J42" s="97"/>
      <c r="K42" s="140"/>
      <c r="L42" s="18"/>
      <c r="M42" s="18"/>
      <c r="N42" s="18"/>
      <c r="O42" s="18"/>
      <c r="P42" s="140"/>
      <c r="Q42" s="140"/>
      <c r="R42" s="140"/>
      <c r="S42" s="140"/>
      <c r="U42" s="447" t="s">
        <v>879</v>
      </c>
      <c r="V42" s="448" t="s">
        <v>247</v>
      </c>
      <c r="W42" s="448"/>
    </row>
    <row r="43" spans="1:23">
      <c r="B43" s="12"/>
      <c r="C43" s="25"/>
      <c r="D43" s="139" t="s">
        <v>252</v>
      </c>
      <c r="E43" s="12" t="s">
        <v>836</v>
      </c>
      <c r="F43" s="12"/>
      <c r="G43" s="12" t="s">
        <v>836</v>
      </c>
      <c r="H43" s="139"/>
      <c r="I43" s="40"/>
      <c r="J43" s="97"/>
      <c r="K43" s="140"/>
      <c r="L43" s="18"/>
      <c r="M43" s="18"/>
      <c r="N43" s="18"/>
      <c r="O43" s="18"/>
      <c r="P43" s="140">
        <f ca="1">-U43/(1+RHT!$H$35/RHT!$H$21)</f>
        <v>-0.37852289513893023</v>
      </c>
      <c r="Q43" s="140">
        <f ca="1">-U43/(1+RHT!$K$35/RHT!$K$21)</f>
        <v>-0.39068749597665403</v>
      </c>
      <c r="R43" s="140">
        <f ca="1">-U43-P43</f>
        <v>-0.22147710486106975</v>
      </c>
      <c r="S43" s="140">
        <f ca="1">-U43-Q43</f>
        <v>-0.20931250402334595</v>
      </c>
      <c r="U43" s="446">
        <f ca="1">CalibData!N133</f>
        <v>0.6</v>
      </c>
      <c r="V43" s="443">
        <f ca="1">IEAData!$L$88</f>
        <v>7.2383958493894056</v>
      </c>
      <c r="W43" s="443">
        <f ca="1">AuxData!$L$88</f>
        <v>4.4783098417477794</v>
      </c>
    </row>
    <row r="44" spans="1:23">
      <c r="B44" s="12"/>
      <c r="C44" s="25"/>
      <c r="D44" s="139"/>
      <c r="E44" s="12" t="s">
        <v>837</v>
      </c>
      <c r="F44" s="12"/>
      <c r="G44" s="12" t="s">
        <v>837</v>
      </c>
      <c r="H44" s="139"/>
      <c r="I44" s="40"/>
      <c r="J44" s="97"/>
      <c r="K44" s="140"/>
      <c r="L44" s="18"/>
      <c r="M44" s="18"/>
      <c r="N44" s="18"/>
      <c r="O44" s="18"/>
      <c r="P44" s="140">
        <f ca="1">-U44/(1+RHT!$H$35/RHT!$H$21)</f>
        <v>-0.25234859675928684</v>
      </c>
      <c r="Q44" s="140">
        <f ca="1">-U44/(1+RHT!$K$35/RHT!$K$21)</f>
        <v>-0.26045833065110269</v>
      </c>
      <c r="R44" s="140">
        <f ca="1">-U44-P44</f>
        <v>-0.14765140324071319</v>
      </c>
      <c r="S44" s="140">
        <f ca="1">-U44-Q44</f>
        <v>-0.13954166934889733</v>
      </c>
      <c r="U44" s="446">
        <f ca="1">CalibData!N134</f>
        <v>0.4</v>
      </c>
      <c r="V44" s="443">
        <f ca="1">IEAData!$E$88</f>
        <v>4.2143443120659114</v>
      </c>
      <c r="W44" s="443">
        <f ca="1">AuxData!$E$88</f>
        <v>3.4097841573690828</v>
      </c>
    </row>
    <row r="45" spans="1:23">
      <c r="B45" s="12"/>
      <c r="C45" s="25"/>
      <c r="D45" s="139"/>
      <c r="E45" s="12" t="s">
        <v>838</v>
      </c>
      <c r="F45" s="12"/>
      <c r="G45" s="12" t="s">
        <v>838</v>
      </c>
      <c r="H45" s="139"/>
      <c r="I45" s="40"/>
      <c r="J45" s="97"/>
      <c r="K45" s="140"/>
      <c r="L45" s="18"/>
      <c r="M45" s="18"/>
      <c r="N45" s="18"/>
      <c r="O45" s="18"/>
      <c r="P45" s="140">
        <f ca="1">-U45/(1+RHT!$H$35/RHT!$H$21)</f>
        <v>-0.15771787297455425</v>
      </c>
      <c r="Q45" s="140">
        <f ca="1">-U45/(1+RHT!$K$35/RHT!$K$21)</f>
        <v>-0.16278645665693919</v>
      </c>
      <c r="R45" s="140">
        <f ca="1">-U45-P45</f>
        <v>-9.2282127025445748E-2</v>
      </c>
      <c r="S45" s="140">
        <f ca="1">-U45-Q45</f>
        <v>-8.7213543343060806E-2</v>
      </c>
      <c r="U45" s="446">
        <f ca="1">CalibData!N135</f>
        <v>0.25</v>
      </c>
      <c r="V45" s="443">
        <f ca="1">SUM(IEAData!F88:K88)</f>
        <v>19.647917178530875</v>
      </c>
      <c r="W45" s="443">
        <f ca="1">SUM(AuxData!F88:K88)</f>
        <v>16.922792128034978</v>
      </c>
    </row>
    <row r="46" spans="1:23">
      <c r="A46" s="9"/>
      <c r="B46" s="12"/>
      <c r="C46" s="25"/>
      <c r="D46" s="139"/>
      <c r="E46" s="12" t="s">
        <v>839</v>
      </c>
      <c r="F46" s="12" t="s">
        <v>853</v>
      </c>
      <c r="G46" s="139"/>
      <c r="H46" s="139"/>
      <c r="I46" s="40"/>
      <c r="J46" s="97"/>
      <c r="K46" s="140"/>
      <c r="L46" s="18"/>
      <c r="M46" s="18"/>
      <c r="N46" s="18"/>
      <c r="O46" s="18"/>
      <c r="P46" s="140"/>
      <c r="Q46" s="140"/>
      <c r="R46" s="140"/>
      <c r="S46" s="140"/>
      <c r="U46" s="436"/>
      <c r="V46" s="436"/>
      <c r="W46" s="436"/>
    </row>
    <row r="47" spans="1:23">
      <c r="A47" s="9"/>
      <c r="B47" s="12"/>
      <c r="C47" s="25"/>
      <c r="D47" s="139"/>
      <c r="E47" s="12" t="s">
        <v>926</v>
      </c>
      <c r="F47" s="12" t="s">
        <v>955</v>
      </c>
      <c r="G47" s="139"/>
      <c r="H47" s="139"/>
      <c r="I47" s="40"/>
      <c r="J47" s="97"/>
      <c r="K47" s="140"/>
      <c r="L47" s="18"/>
      <c r="M47" s="18"/>
      <c r="N47" s="18"/>
      <c r="O47" s="18"/>
      <c r="P47" s="140"/>
      <c r="Q47" s="140"/>
      <c r="R47" s="140"/>
      <c r="S47" s="140"/>
      <c r="U47" s="444" t="s">
        <v>253</v>
      </c>
      <c r="V47" s="443">
        <f ca="1">-SUMPRODUCT(P43:P45,V43:V45)</f>
        <v>6.9022101322609029</v>
      </c>
      <c r="W47" s="443">
        <f ca="1">-SUMPRODUCT(Q43:Q45,W43:W45)</f>
        <v>5.3925277150537312</v>
      </c>
    </row>
    <row r="48" spans="1:23">
      <c r="A48" s="9"/>
      <c r="B48" s="12"/>
      <c r="C48" s="25"/>
      <c r="D48" s="139"/>
      <c r="E48" s="12" t="s">
        <v>840</v>
      </c>
      <c r="F48" s="12" t="s">
        <v>854</v>
      </c>
      <c r="G48" s="139"/>
      <c r="H48" s="139"/>
      <c r="I48" s="40"/>
      <c r="J48" s="97"/>
      <c r="K48" s="140"/>
      <c r="L48" s="18"/>
      <c r="M48" s="18"/>
      <c r="N48" s="18"/>
      <c r="O48" s="18"/>
      <c r="P48" s="140"/>
      <c r="Q48" s="140"/>
      <c r="R48" s="140"/>
      <c r="S48" s="140"/>
      <c r="U48" s="444" t="s">
        <v>252</v>
      </c>
      <c r="V48" s="443">
        <f ca="1">-SUMPRODUCT(R43:R45,V43:V45)</f>
        <v>4.0385443968318233</v>
      </c>
      <c r="W48" s="443">
        <f ca="1">-SUMPRODUCT(S43:S45,W43:W45)</f>
        <v>2.8890698849513137</v>
      </c>
    </row>
    <row r="49" spans="1:25">
      <c r="A49" s="9"/>
      <c r="B49" s="12"/>
      <c r="C49" s="25"/>
      <c r="D49" s="139"/>
      <c r="E49" s="12" t="s">
        <v>951</v>
      </c>
      <c r="F49" s="12" t="s">
        <v>954</v>
      </c>
      <c r="G49" s="139"/>
      <c r="H49" s="139"/>
      <c r="I49" s="40"/>
      <c r="J49" s="97"/>
      <c r="K49" s="140"/>
      <c r="L49" s="18"/>
      <c r="M49" s="18"/>
      <c r="N49" s="18"/>
      <c r="O49" s="18"/>
      <c r="P49" s="140"/>
      <c r="Q49" s="140"/>
      <c r="R49" s="140"/>
      <c r="S49" s="140"/>
    </row>
    <row r="50" spans="1:25">
      <c r="A50" s="9"/>
      <c r="B50" s="12"/>
      <c r="C50" s="25"/>
      <c r="D50" s="139"/>
      <c r="E50" s="12" t="s">
        <v>841</v>
      </c>
      <c r="F50" s="12" t="s">
        <v>855</v>
      </c>
      <c r="G50" s="139"/>
      <c r="H50" s="139"/>
      <c r="I50" s="40"/>
      <c r="J50" s="97"/>
      <c r="K50" s="140"/>
      <c r="L50" s="18"/>
      <c r="M50" s="18"/>
      <c r="N50" s="18"/>
      <c r="O50" s="18"/>
      <c r="P50" s="140"/>
      <c r="Q50" s="140"/>
      <c r="R50" s="140"/>
      <c r="S50" s="140"/>
    </row>
    <row r="51" spans="1:25">
      <c r="A51" s="9"/>
      <c r="B51" s="22"/>
      <c r="C51" s="74"/>
      <c r="D51" s="22"/>
      <c r="E51" s="22"/>
      <c r="F51" s="22"/>
      <c r="G51" s="23"/>
      <c r="H51" s="19"/>
      <c r="I51" s="19"/>
      <c r="J51" s="137"/>
    </row>
    <row r="52" spans="1:25">
      <c r="A52" s="9"/>
      <c r="B52" s="22"/>
      <c r="C52" s="74"/>
      <c r="D52" s="22"/>
      <c r="E52" s="159"/>
      <c r="F52" s="159"/>
      <c r="G52" s="23"/>
      <c r="H52" s="19"/>
      <c r="I52" s="19"/>
      <c r="J52" s="137"/>
    </row>
    <row r="53" spans="1:25">
      <c r="A53" s="9"/>
      <c r="F53" s="245"/>
      <c r="G53" s="23"/>
      <c r="H53" s="19"/>
      <c r="I53" s="19"/>
      <c r="J53" s="137"/>
    </row>
    <row r="54" spans="1:25" ht="18">
      <c r="A54" s="9"/>
      <c r="B54" s="277" t="s">
        <v>6</v>
      </c>
      <c r="C54" s="136"/>
      <c r="D54" s="136"/>
      <c r="E54" s="253"/>
      <c r="G54" s="252" t="str">
        <f>"~FI_T: "&amp;Region&amp;"~EUR10"</f>
        <v>~FI_T: FIN~EUR10</v>
      </c>
    </row>
    <row r="55" spans="1:25" ht="26.25" thickBot="1">
      <c r="A55" s="9"/>
      <c r="B55" s="52" t="s">
        <v>57</v>
      </c>
      <c r="C55" s="52" t="s">
        <v>58</v>
      </c>
      <c r="D55" s="52" t="s">
        <v>56</v>
      </c>
      <c r="E55" s="52" t="s">
        <v>59</v>
      </c>
      <c r="F55" s="52" t="s">
        <v>385</v>
      </c>
      <c r="G55" s="52" t="s">
        <v>741</v>
      </c>
      <c r="H55" s="52" t="s">
        <v>661</v>
      </c>
      <c r="I55" s="52" t="s">
        <v>539</v>
      </c>
      <c r="J55" s="52" t="s">
        <v>662</v>
      </c>
      <c r="K55" s="52" t="s">
        <v>536</v>
      </c>
      <c r="L55" s="52" t="s">
        <v>537</v>
      </c>
      <c r="M55" s="52" t="s">
        <v>538</v>
      </c>
      <c r="N55" s="52" t="s">
        <v>802</v>
      </c>
      <c r="O55" s="52" t="str">
        <f ca="1">"ACT_BND~UP~"&amp;AuxYear</f>
        <v>ACT_BND~UP~2017</v>
      </c>
      <c r="P55" s="52" t="s">
        <v>927</v>
      </c>
      <c r="Q55" s="52" t="s">
        <v>918</v>
      </c>
      <c r="R55" s="52" t="s">
        <v>88</v>
      </c>
      <c r="S55" s="52" t="s">
        <v>541</v>
      </c>
      <c r="T55" s="52" t="str">
        <f ca="1">"RESID~"&amp;AuxYear</f>
        <v>RESID~2017</v>
      </c>
      <c r="U55" s="52" t="str">
        <f ca="1">"RESID~"&amp;AuxYear+20</f>
        <v>RESID~2037</v>
      </c>
      <c r="V55" s="52" t="str">
        <f>"RESID~"&amp;2050</f>
        <v>RESID~2050</v>
      </c>
      <c r="W55" s="52" t="s">
        <v>949</v>
      </c>
      <c r="X55" s="52" t="s">
        <v>1094</v>
      </c>
      <c r="Y55" s="52" t="s">
        <v>1071</v>
      </c>
    </row>
    <row r="56" spans="1:25">
      <c r="A56" s="9"/>
      <c r="B56" s="12" t="str">
        <f>CONCATENATE("FT-",E56,"0")</f>
        <v>FT-RESHET0</v>
      </c>
      <c r="C56" s="25" t="s">
        <v>156</v>
      </c>
      <c r="D56" s="139" t="str">
        <f ca="1">IEAData!D28</f>
        <v>HET</v>
      </c>
      <c r="E56" s="12" t="s">
        <v>421</v>
      </c>
      <c r="F56" s="12" t="s">
        <v>157</v>
      </c>
      <c r="G56" s="12"/>
      <c r="H56" s="148">
        <f>8.76*3.6</f>
        <v>31.536000000000001</v>
      </c>
      <c r="I56" s="368">
        <v>1</v>
      </c>
      <c r="J56" s="346"/>
      <c r="K56" s="18"/>
      <c r="L56" s="358">
        <v>8</v>
      </c>
      <c r="M56" s="374">
        <v>250</v>
      </c>
      <c r="N56" s="374">
        <f ca="1">IEAData!$G$17*RES_Fuels!$Q$4</f>
        <v>53.476037999999996</v>
      </c>
      <c r="O56" s="374">
        <f ca="1">AuxData!$G$17*RES_Fuels!$Q$4</f>
        <v>49.035672000000012</v>
      </c>
      <c r="P56" s="374">
        <f>N56*1.4</f>
        <v>74.866453199999995</v>
      </c>
      <c r="Q56" s="374">
        <v>1</v>
      </c>
      <c r="R56" s="374">
        <v>40</v>
      </c>
      <c r="S56" s="368">
        <f>N56*1.01/H56</f>
        <v>1.7126711815068492</v>
      </c>
      <c r="T56" s="368">
        <f>O56*1.01/H56</f>
        <v>1.5704600684931511</v>
      </c>
      <c r="U56" s="368">
        <f>T56*0.77</f>
        <v>1.2092542527397263</v>
      </c>
      <c r="V56" s="368">
        <f>U56*0.77</f>
        <v>0.93112577460958923</v>
      </c>
      <c r="W56" s="374">
        <v>1</v>
      </c>
      <c r="X56" s="374"/>
      <c r="Y56" s="374"/>
    </row>
    <row r="57" spans="1:25">
      <c r="A57" s="9"/>
      <c r="B57" s="546" t="s">
        <v>1123</v>
      </c>
      <c r="C57" s="547" t="s">
        <v>1121</v>
      </c>
      <c r="D57" s="548" t="s">
        <v>253</v>
      </c>
      <c r="E57" s="546" t="s">
        <v>1115</v>
      </c>
      <c r="F57" s="546"/>
      <c r="G57" s="546"/>
      <c r="H57" s="549"/>
      <c r="I57" s="550">
        <v>1</v>
      </c>
      <c r="J57" s="551"/>
      <c r="K57" s="552"/>
      <c r="L57" s="304"/>
      <c r="M57" s="553"/>
      <c r="N57" s="553"/>
      <c r="O57" s="553"/>
      <c r="P57" s="553"/>
      <c r="Q57" s="553"/>
      <c r="R57" s="553"/>
      <c r="S57" s="550"/>
      <c r="T57" s="550"/>
      <c r="U57" s="550"/>
      <c r="V57" s="550"/>
      <c r="W57" s="553"/>
      <c r="X57" s="553"/>
      <c r="Y57" s="553"/>
    </row>
    <row r="58" spans="1:25">
      <c r="A58" s="9"/>
      <c r="B58" s="142" t="s">
        <v>1124</v>
      </c>
      <c r="C58" s="141" t="s">
        <v>1122</v>
      </c>
      <c r="D58" s="157" t="s">
        <v>252</v>
      </c>
      <c r="E58" s="142" t="s">
        <v>1116</v>
      </c>
      <c r="F58" s="142"/>
      <c r="G58" s="142"/>
      <c r="H58" s="143"/>
      <c r="I58" s="535">
        <v>1</v>
      </c>
      <c r="J58" s="347"/>
      <c r="K58" s="146"/>
      <c r="L58" s="501"/>
      <c r="M58" s="545"/>
      <c r="N58" s="545"/>
      <c r="O58" s="545"/>
      <c r="P58" s="545"/>
      <c r="Q58" s="545"/>
      <c r="R58" s="545"/>
      <c r="S58" s="535"/>
      <c r="T58" s="535"/>
      <c r="U58" s="535"/>
      <c r="V58" s="535"/>
      <c r="W58" s="545"/>
      <c r="X58" s="545"/>
      <c r="Y58" s="545"/>
    </row>
    <row r="59" spans="1:25">
      <c r="A59" s="9"/>
      <c r="B59" s="12" t="str">
        <f>CONCATENATE("RES",D59,"000")</f>
        <v>RESRW1000</v>
      </c>
      <c r="C59" s="25" t="s">
        <v>910</v>
      </c>
      <c r="D59" s="139" t="s">
        <v>909</v>
      </c>
      <c r="E59" s="12" t="s">
        <v>1132</v>
      </c>
      <c r="F59" s="12" t="s">
        <v>912</v>
      </c>
      <c r="G59" s="369" t="s">
        <v>1128</v>
      </c>
      <c r="H59" s="148">
        <v>1</v>
      </c>
      <c r="I59" s="368">
        <v>1</v>
      </c>
      <c r="J59" s="346">
        <v>1</v>
      </c>
      <c r="K59" s="18"/>
      <c r="L59" s="18"/>
      <c r="M59" s="139"/>
      <c r="N59" s="391">
        <f ca="1">RHW!J$18*RHW!H$40*1.01</f>
        <v>21.063255182620601</v>
      </c>
      <c r="O59" s="391">
        <f ca="1">RHW!K$18*RHW!I$40*1.01</f>
        <v>21.063255182620601</v>
      </c>
      <c r="P59" s="374"/>
      <c r="Q59" s="374">
        <v>1</v>
      </c>
      <c r="R59" s="374">
        <v>1</v>
      </c>
      <c r="S59" s="139"/>
      <c r="T59" s="139"/>
      <c r="U59" s="139"/>
      <c r="V59" s="139"/>
      <c r="W59" s="139"/>
      <c r="X59" s="97">
        <f ca="1">RHT!G47*Y60</f>
        <v>0.93306844421238289</v>
      </c>
      <c r="Y59" s="383"/>
    </row>
    <row r="60" spans="1:25">
      <c r="A60" s="9"/>
      <c r="B60" s="142"/>
      <c r="C60" s="141"/>
      <c r="D60" s="157"/>
      <c r="E60" s="142" t="s">
        <v>1128</v>
      </c>
      <c r="F60" s="142"/>
      <c r="G60" s="375" t="s">
        <v>1090</v>
      </c>
      <c r="H60" s="143"/>
      <c r="I60" s="535"/>
      <c r="J60" s="347"/>
      <c r="K60" s="146"/>
      <c r="L60" s="146"/>
      <c r="M60" s="157"/>
      <c r="N60" s="559"/>
      <c r="O60" s="559"/>
      <c r="P60" s="545"/>
      <c r="Q60" s="545"/>
      <c r="R60" s="545"/>
      <c r="S60" s="157"/>
      <c r="T60" s="157"/>
      <c r="U60" s="157"/>
      <c r="V60" s="157"/>
      <c r="W60" s="157"/>
      <c r="X60" s="534"/>
      <c r="Y60" s="144">
        <f ca="1">1/RHW!L18*0.25</f>
        <v>1.1987700752367044E-2</v>
      </c>
    </row>
    <row r="61" spans="1:25">
      <c r="A61" s="9"/>
      <c r="B61" s="12" t="str">
        <f>CONCATENATE("RES",D61,"000")</f>
        <v>RESRW2000</v>
      </c>
      <c r="C61" s="25" t="s">
        <v>911</v>
      </c>
      <c r="D61" s="139" t="s">
        <v>906</v>
      </c>
      <c r="E61" s="12" t="s">
        <v>1132</v>
      </c>
      <c r="F61" s="12" t="s">
        <v>912</v>
      </c>
      <c r="G61" s="369" t="s">
        <v>1129</v>
      </c>
      <c r="H61" s="148">
        <v>1</v>
      </c>
      <c r="I61" s="368">
        <v>1</v>
      </c>
      <c r="J61" s="346">
        <v>1</v>
      </c>
      <c r="K61" s="18"/>
      <c r="L61" s="18"/>
      <c r="M61" s="139"/>
      <c r="N61" s="391">
        <f ca="1">RHW!J$30*RHW!H41*1.01</f>
        <v>11.893691975065321</v>
      </c>
      <c r="O61" s="391">
        <f ca="1">RHW!K$30*RHW!I41*1.01</f>
        <v>11.893691975065321</v>
      </c>
      <c r="P61" s="374"/>
      <c r="Q61" s="374">
        <v>1</v>
      </c>
      <c r="R61" s="374">
        <v>1</v>
      </c>
      <c r="S61" s="139"/>
      <c r="T61" s="139"/>
      <c r="U61" s="139"/>
      <c r="V61" s="139"/>
      <c r="W61" s="139"/>
      <c r="X61" s="97">
        <f ca="1">RHT!G48*Y62</f>
        <v>0.88529490741556738</v>
      </c>
      <c r="Y61" s="383"/>
    </row>
    <row r="62" spans="1:25">
      <c r="A62" s="9"/>
      <c r="B62" s="142"/>
      <c r="C62" s="141"/>
      <c r="D62" s="157"/>
      <c r="E62" s="142" t="s">
        <v>1129</v>
      </c>
      <c r="F62" s="142"/>
      <c r="G62" s="375" t="s">
        <v>1090</v>
      </c>
      <c r="H62" s="143"/>
      <c r="I62" s="535"/>
      <c r="J62" s="347"/>
      <c r="K62" s="146"/>
      <c r="L62" s="146"/>
      <c r="M62" s="157"/>
      <c r="N62" s="559"/>
      <c r="O62" s="559"/>
      <c r="P62" s="545"/>
      <c r="Q62" s="545"/>
      <c r="R62" s="545"/>
      <c r="S62" s="157"/>
      <c r="T62" s="157"/>
      <c r="U62" s="157"/>
      <c r="V62" s="157"/>
      <c r="W62" s="157"/>
      <c r="X62" s="144"/>
      <c r="Y62" s="144">
        <f ca="1">1/RHW!L30*0.25</f>
        <v>2.122974098617627E-2</v>
      </c>
    </row>
    <row r="63" spans="1:25">
      <c r="F63" s="245"/>
    </row>
    <row r="64" spans="1:25">
      <c r="F64" s="245"/>
    </row>
    <row r="65" spans="2:20">
      <c r="F65" s="245"/>
      <c r="G65" s="23"/>
      <c r="H65" s="19"/>
      <c r="I65" s="19"/>
      <c r="J65" s="137"/>
    </row>
    <row r="66" spans="2:20" ht="18">
      <c r="B66" s="253" t="s">
        <v>679</v>
      </c>
      <c r="C66" s="131"/>
      <c r="D66" s="131"/>
      <c r="E66" s="131"/>
      <c r="F66" s="252" t="str">
        <f>"~FI_T: "&amp;Region&amp;"~EUR10"</f>
        <v>~FI_T: FIN~EUR10</v>
      </c>
    </row>
    <row r="67" spans="2:20" ht="26.25" thickBot="1">
      <c r="B67" s="52" t="s">
        <v>57</v>
      </c>
      <c r="C67" s="52" t="s">
        <v>58</v>
      </c>
      <c r="D67" s="52" t="s">
        <v>56</v>
      </c>
      <c r="E67" s="52" t="s">
        <v>59</v>
      </c>
      <c r="F67" s="52" t="s">
        <v>385</v>
      </c>
      <c r="G67" s="52" t="s">
        <v>661</v>
      </c>
      <c r="H67" s="52" t="s">
        <v>805</v>
      </c>
      <c r="I67" s="52" t="s">
        <v>534</v>
      </c>
      <c r="J67" s="52" t="s">
        <v>535</v>
      </c>
      <c r="K67" s="52" t="s">
        <v>88</v>
      </c>
      <c r="L67" s="52" t="s">
        <v>538</v>
      </c>
      <c r="M67" s="52" t="s">
        <v>778</v>
      </c>
      <c r="N67" s="278" t="s">
        <v>378</v>
      </c>
      <c r="O67" s="278" t="s">
        <v>738</v>
      </c>
      <c r="P67" s="278" t="s">
        <v>735</v>
      </c>
      <c r="Q67" s="278" t="s">
        <v>736</v>
      </c>
      <c r="R67" s="285" t="s">
        <v>737</v>
      </c>
      <c r="S67" s="285" t="s">
        <v>533</v>
      </c>
      <c r="T67" s="285" t="str">
        <f ca="1">"ACT_BND~UP~"&amp;AuxYear</f>
        <v>ACT_BND~UP~2017</v>
      </c>
    </row>
    <row r="68" spans="2:20">
      <c r="B68" s="12" t="str">
        <f>CONCATENATE("FT-",E72,"5")</f>
        <v>FT-RESNGA5</v>
      </c>
      <c r="C68" s="404" t="s">
        <v>680</v>
      </c>
      <c r="D68" s="139" t="s">
        <v>436</v>
      </c>
      <c r="E68" s="12"/>
      <c r="F68" s="12"/>
      <c r="G68" s="139">
        <v>1</v>
      </c>
      <c r="H68" s="97">
        <f ca="1">IF(AuxData!$G$9&lt;=0,1,AuxData!C9/AuxData!$G$9)</f>
        <v>1</v>
      </c>
      <c r="I68" s="140">
        <v>1</v>
      </c>
      <c r="J68" s="140">
        <v>1</v>
      </c>
      <c r="K68" s="18">
        <v>50</v>
      </c>
      <c r="L68" s="349">
        <f>20+20</f>
        <v>40</v>
      </c>
      <c r="M68" s="18"/>
      <c r="N68" s="40">
        <f>MAX($H$68:$H$70)</f>
        <v>1</v>
      </c>
      <c r="O68" s="140"/>
      <c r="P68" s="140"/>
      <c r="Q68" s="140"/>
      <c r="R68" s="346"/>
      <c r="S68" s="346">
        <f ca="1">BaseYear+1</f>
        <v>2011</v>
      </c>
      <c r="T68" s="346"/>
    </row>
    <row r="69" spans="2:20">
      <c r="B69" s="12"/>
      <c r="C69" s="378"/>
      <c r="D69" s="139" t="s">
        <v>440</v>
      </c>
      <c r="E69" s="12"/>
      <c r="F69" s="12"/>
      <c r="G69" s="139"/>
      <c r="H69" s="97">
        <f ca="1">IF(AuxData!$G$9&lt;=0,0,AuxData!C10/AuxData!$G$9)</f>
        <v>0</v>
      </c>
      <c r="I69" s="140"/>
      <c r="J69" s="140"/>
      <c r="K69" s="18"/>
      <c r="L69" s="18"/>
      <c r="M69" s="18"/>
      <c r="N69" s="40">
        <f>MAX($H$68:$H$70)</f>
        <v>1</v>
      </c>
      <c r="O69" s="140"/>
      <c r="P69" s="140"/>
      <c r="Q69" s="140"/>
      <c r="R69" s="346"/>
      <c r="S69" s="346"/>
      <c r="T69" s="346"/>
    </row>
    <row r="70" spans="2:20">
      <c r="B70" s="12"/>
      <c r="C70" s="378"/>
      <c r="D70" s="139" t="s">
        <v>1009</v>
      </c>
      <c r="E70" s="12"/>
      <c r="F70" s="12"/>
      <c r="G70" s="139"/>
      <c r="H70" s="97">
        <f ca="1">IF(AuxData!$G$9&lt;=0,0,AuxData!C24/AuxData!$G$9)</f>
        <v>0</v>
      </c>
      <c r="I70" s="140"/>
      <c r="J70" s="140"/>
      <c r="K70" s="18"/>
      <c r="L70" s="18"/>
      <c r="M70" s="18"/>
      <c r="N70" s="40">
        <f>MAX($H$68:$H$70)</f>
        <v>1</v>
      </c>
      <c r="O70" s="140"/>
      <c r="P70" s="140"/>
      <c r="Q70" s="140"/>
      <c r="R70" s="346"/>
      <c r="S70" s="346"/>
      <c r="T70" s="346"/>
    </row>
    <row r="71" spans="2:20">
      <c r="B71" s="12"/>
      <c r="C71" s="378"/>
      <c r="D71" s="139" t="s">
        <v>1218</v>
      </c>
      <c r="E71" s="12"/>
      <c r="F71" s="12"/>
      <c r="G71" s="139"/>
      <c r="H71" s="97"/>
      <c r="I71" s="140"/>
      <c r="J71" s="140"/>
      <c r="K71" s="18"/>
      <c r="L71" s="18"/>
      <c r="M71" s="18"/>
      <c r="N71" s="40">
        <v>0</v>
      </c>
      <c r="O71" s="346">
        <v>0.05</v>
      </c>
      <c r="P71" s="346">
        <v>0.12</v>
      </c>
      <c r="Q71" s="346">
        <v>0.15</v>
      </c>
      <c r="R71" s="346"/>
      <c r="S71" s="346"/>
      <c r="T71" s="346"/>
    </row>
    <row r="72" spans="2:20">
      <c r="B72" s="247"/>
      <c r="C72" s="460"/>
      <c r="D72" s="142"/>
      <c r="E72" s="142" t="s">
        <v>415</v>
      </c>
      <c r="F72" s="142" t="s">
        <v>202</v>
      </c>
      <c r="G72" s="143"/>
      <c r="H72" s="144"/>
      <c r="I72" s="145"/>
      <c r="J72" s="145"/>
      <c r="K72" s="146"/>
      <c r="L72" s="146"/>
      <c r="M72" s="146"/>
      <c r="N72" s="146"/>
      <c r="O72" s="145"/>
      <c r="P72" s="145"/>
      <c r="Q72" s="145"/>
      <c r="R72" s="347"/>
      <c r="S72" s="347"/>
      <c r="T72" s="347"/>
    </row>
    <row r="73" spans="2:20">
      <c r="B73" s="12" t="str">
        <f>CONCATENATE("FT-",E74,"5")</f>
        <v>FT-RESBGS5</v>
      </c>
      <c r="C73" s="378" t="s">
        <v>1237</v>
      </c>
      <c r="D73" s="139" t="s">
        <v>43</v>
      </c>
      <c r="E73" s="12"/>
      <c r="F73" s="12"/>
      <c r="G73" s="139"/>
      <c r="H73" s="97"/>
      <c r="I73" s="140">
        <v>1</v>
      </c>
      <c r="J73" s="140">
        <v>1</v>
      </c>
      <c r="K73" s="18"/>
      <c r="L73" s="18"/>
      <c r="M73" s="18"/>
      <c r="N73" s="18"/>
      <c r="O73" s="140"/>
      <c r="P73" s="140"/>
      <c r="Q73" s="140"/>
      <c r="R73" s="346"/>
      <c r="S73" s="346">
        <f ca="1">BaseYear</f>
        <v>2010</v>
      </c>
      <c r="T73" s="346"/>
    </row>
    <row r="74" spans="2:20">
      <c r="B74" s="142"/>
      <c r="C74" s="460"/>
      <c r="D74" s="142"/>
      <c r="E74" s="142" t="s">
        <v>1228</v>
      </c>
      <c r="F74" s="142" t="s">
        <v>1235</v>
      </c>
      <c r="G74" s="143"/>
      <c r="H74" s="144"/>
      <c r="I74" s="145"/>
      <c r="J74" s="145"/>
      <c r="K74" s="146"/>
      <c r="L74" s="146"/>
      <c r="M74" s="146"/>
      <c r="N74" s="146"/>
      <c r="O74" s="145"/>
      <c r="P74" s="145"/>
      <c r="Q74" s="145"/>
      <c r="R74" s="347"/>
      <c r="S74" s="347"/>
      <c r="T74" s="347"/>
    </row>
    <row r="75" spans="2:20">
      <c r="B75" s="12" t="str">
        <f>CONCATENATE("FT-",E77,"5")</f>
        <v>FT-RESDST5</v>
      </c>
      <c r="C75" s="378" t="s">
        <v>681</v>
      </c>
      <c r="D75" s="139" t="s">
        <v>221</v>
      </c>
      <c r="E75" s="12"/>
      <c r="F75" s="12"/>
      <c r="G75" s="139"/>
      <c r="H75" s="97">
        <f ca="1">IF(AuxData!$G$10&lt;=0,1,AuxData!C12/AuxData!$G$10)</f>
        <v>0.84998937745985148</v>
      </c>
      <c r="I75" s="140">
        <v>1</v>
      </c>
      <c r="J75" s="140">
        <v>1</v>
      </c>
      <c r="K75" s="18"/>
      <c r="L75" s="18"/>
      <c r="M75" s="18"/>
      <c r="N75" s="40"/>
      <c r="O75" s="140"/>
      <c r="P75" s="140"/>
      <c r="Q75" s="140"/>
      <c r="R75" s="346"/>
      <c r="S75" s="346">
        <f ca="1">BaseYear+1</f>
        <v>2011</v>
      </c>
      <c r="T75" s="346"/>
    </row>
    <row r="76" spans="2:20">
      <c r="B76" s="12"/>
      <c r="C76" s="378"/>
      <c r="D76" s="139" t="s">
        <v>742</v>
      </c>
      <c r="E76" s="12"/>
      <c r="F76" s="12"/>
      <c r="G76" s="148"/>
      <c r="H76" s="97">
        <f ca="1">IF(AuxData!$G$10&lt;=0,0,AuxData!C23/AuxData!$G$10)</f>
        <v>8.1849264254799589E-3</v>
      </c>
      <c r="I76" s="140"/>
      <c r="J76" s="140"/>
      <c r="K76" s="18"/>
      <c r="L76" s="18"/>
      <c r="M76" s="18"/>
      <c r="N76" s="40">
        <v>0.1</v>
      </c>
      <c r="O76" s="346">
        <v>0.85</v>
      </c>
      <c r="P76" s="346">
        <v>0.9</v>
      </c>
      <c r="Q76" s="346">
        <v>0.95</v>
      </c>
      <c r="R76" s="346">
        <v>1</v>
      </c>
      <c r="S76" s="346"/>
      <c r="T76" s="346"/>
    </row>
    <row r="77" spans="2:20">
      <c r="B77" s="247"/>
      <c r="C77" s="460"/>
      <c r="D77" s="157"/>
      <c r="E77" s="142" t="s">
        <v>416</v>
      </c>
      <c r="F77" s="142" t="s">
        <v>204</v>
      </c>
      <c r="G77" s="143"/>
      <c r="H77" s="144"/>
      <c r="I77" s="145"/>
      <c r="J77" s="145"/>
      <c r="K77" s="146"/>
      <c r="L77" s="146"/>
      <c r="M77" s="146"/>
      <c r="N77" s="146"/>
      <c r="O77" s="347"/>
      <c r="P77" s="347"/>
      <c r="Q77" s="347"/>
      <c r="R77" s="347"/>
      <c r="S77" s="347"/>
      <c r="T77" s="347"/>
    </row>
    <row r="78" spans="2:20">
      <c r="B78" s="12" t="str">
        <f>CONCATENATE("FT-",E79,"5")</f>
        <v>FT-RESBFO5</v>
      </c>
      <c r="C78" s="378" t="s">
        <v>1241</v>
      </c>
      <c r="D78" s="139" t="s">
        <v>1248</v>
      </c>
      <c r="E78" s="12"/>
      <c r="F78" s="12"/>
      <c r="G78" s="148"/>
      <c r="H78" s="97">
        <f ca="1">IF(AuxData!$G$11&lt;=0,1,AuxData!C13/AuxData!$G$11)</f>
        <v>1</v>
      </c>
      <c r="I78" s="140">
        <v>1</v>
      </c>
      <c r="J78" s="140">
        <v>1</v>
      </c>
      <c r="K78" s="18"/>
      <c r="L78" s="18"/>
      <c r="M78" s="18"/>
      <c r="N78" s="40"/>
      <c r="O78" s="346"/>
      <c r="P78" s="346"/>
      <c r="Q78" s="346"/>
      <c r="R78" s="346"/>
      <c r="S78" s="346">
        <f ca="1">BaseYear+1</f>
        <v>2011</v>
      </c>
      <c r="T78" s="346"/>
    </row>
    <row r="79" spans="2:20">
      <c r="B79" s="142"/>
      <c r="C79" s="460"/>
      <c r="D79" s="142"/>
      <c r="E79" s="142" t="s">
        <v>1239</v>
      </c>
      <c r="F79" s="142" t="s">
        <v>1240</v>
      </c>
      <c r="G79" s="143"/>
      <c r="H79" s="144"/>
      <c r="I79" s="145"/>
      <c r="J79" s="145"/>
      <c r="K79" s="146"/>
      <c r="L79" s="146"/>
      <c r="M79" s="146"/>
      <c r="N79" s="146"/>
      <c r="O79" s="347"/>
      <c r="P79" s="347"/>
      <c r="Q79" s="347"/>
      <c r="R79" s="347"/>
      <c r="S79" s="347"/>
      <c r="T79" s="347"/>
    </row>
    <row r="80" spans="2:20">
      <c r="B80" s="12" t="str">
        <f>CONCATENATE("FT-",E81,"5")</f>
        <v>FT-RESKER5</v>
      </c>
      <c r="C80" s="378" t="s">
        <v>682</v>
      </c>
      <c r="D80" s="139" t="s">
        <v>219</v>
      </c>
      <c r="E80" s="12"/>
      <c r="F80" s="12"/>
      <c r="G80" s="148"/>
      <c r="H80" s="97"/>
      <c r="I80" s="140">
        <v>1</v>
      </c>
      <c r="J80" s="140">
        <v>1</v>
      </c>
      <c r="K80" s="18"/>
      <c r="L80" s="18"/>
      <c r="M80" s="18"/>
      <c r="N80" s="18"/>
      <c r="O80" s="140"/>
      <c r="P80" s="140"/>
      <c r="Q80" s="140"/>
      <c r="R80" s="346"/>
      <c r="S80" s="346">
        <f ca="1">BaseYear+1</f>
        <v>2011</v>
      </c>
      <c r="T80" s="346"/>
    </row>
    <row r="81" spans="2:20">
      <c r="B81" s="142"/>
      <c r="C81" s="460"/>
      <c r="D81" s="142"/>
      <c r="E81" s="142" t="s">
        <v>577</v>
      </c>
      <c r="F81" s="142" t="s">
        <v>208</v>
      </c>
      <c r="G81" s="143"/>
      <c r="H81" s="144"/>
      <c r="I81" s="145"/>
      <c r="J81" s="145"/>
      <c r="K81" s="146"/>
      <c r="L81" s="146"/>
      <c r="M81" s="146"/>
      <c r="N81" s="146"/>
      <c r="O81" s="145"/>
      <c r="P81" s="145"/>
      <c r="Q81" s="145"/>
      <c r="R81" s="347"/>
      <c r="S81" s="347"/>
      <c r="T81" s="347"/>
    </row>
    <row r="82" spans="2:20">
      <c r="B82" s="12" t="str">
        <f>CONCATENATE("FT-",E83,"5")</f>
        <v>FT-RESCOP5</v>
      </c>
      <c r="C82" s="378" t="s">
        <v>1020</v>
      </c>
      <c r="D82" s="139" t="s">
        <v>438</v>
      </c>
      <c r="E82" s="12"/>
      <c r="F82" s="12"/>
      <c r="G82" s="139">
        <v>1</v>
      </c>
      <c r="H82" s="97">
        <v>1</v>
      </c>
      <c r="I82" s="140">
        <v>1</v>
      </c>
      <c r="J82" s="140">
        <v>1</v>
      </c>
      <c r="K82" s="18"/>
      <c r="L82" s="18"/>
      <c r="M82" s="18">
        <v>0.4</v>
      </c>
      <c r="N82" s="40">
        <f>MIN(1,MAX(2*H82,0.1))</f>
        <v>1</v>
      </c>
      <c r="O82" s="140"/>
      <c r="P82" s="140"/>
      <c r="Q82" s="140"/>
      <c r="R82" s="346"/>
      <c r="S82" s="346">
        <f ca="1">BaseYear+1</f>
        <v>2011</v>
      </c>
      <c r="T82" s="372">
        <f>MAX(4,P20*3)</f>
        <v>4</v>
      </c>
    </row>
    <row r="83" spans="2:20">
      <c r="B83" s="247"/>
      <c r="C83" s="460"/>
      <c r="D83" s="142"/>
      <c r="E83" s="142" t="s">
        <v>1016</v>
      </c>
      <c r="F83" s="142" t="s">
        <v>1021</v>
      </c>
      <c r="G83" s="143"/>
      <c r="H83" s="144"/>
      <c r="I83" s="145"/>
      <c r="J83" s="145"/>
      <c r="K83" s="146"/>
      <c r="L83" s="146"/>
      <c r="M83" s="146"/>
      <c r="N83" s="146"/>
      <c r="O83" s="145"/>
      <c r="P83" s="145"/>
      <c r="Q83" s="145"/>
      <c r="R83" s="347"/>
      <c r="S83" s="347"/>
      <c r="T83" s="347"/>
    </row>
    <row r="84" spans="2:20">
      <c r="B84" s="12" t="str">
        <f>CONCATENATE("FT-",E85,"5")</f>
        <v>FT-RESLPG5</v>
      </c>
      <c r="C84" s="378" t="s">
        <v>683</v>
      </c>
      <c r="D84" s="139" t="s">
        <v>110</v>
      </c>
      <c r="E84" s="12"/>
      <c r="F84" s="12"/>
      <c r="G84" s="139">
        <v>1</v>
      </c>
      <c r="H84" s="97"/>
      <c r="I84" s="140">
        <v>1</v>
      </c>
      <c r="J84" s="140">
        <v>1</v>
      </c>
      <c r="K84" s="18"/>
      <c r="L84" s="18"/>
      <c r="M84" s="18"/>
      <c r="N84" s="18"/>
      <c r="O84" s="140"/>
      <c r="P84" s="140"/>
      <c r="Q84" s="140"/>
      <c r="R84" s="346"/>
      <c r="S84" s="346">
        <f ca="1">BaseYear+1</f>
        <v>2011</v>
      </c>
      <c r="T84" s="346"/>
    </row>
    <row r="85" spans="2:20">
      <c r="B85" s="247"/>
      <c r="C85" s="460"/>
      <c r="D85" s="142"/>
      <c r="E85" s="142" t="s">
        <v>418</v>
      </c>
      <c r="F85" s="142" t="s">
        <v>211</v>
      </c>
      <c r="G85" s="143"/>
      <c r="H85" s="144"/>
      <c r="I85" s="145"/>
      <c r="J85" s="145"/>
      <c r="K85" s="146"/>
      <c r="L85" s="146"/>
      <c r="M85" s="146"/>
      <c r="N85" s="146"/>
      <c r="O85" s="145"/>
      <c r="P85" s="145"/>
      <c r="Q85" s="145"/>
      <c r="R85" s="347"/>
      <c r="S85" s="347"/>
      <c r="T85" s="347"/>
    </row>
    <row r="86" spans="2:20">
      <c r="B86" s="12" t="str">
        <f>CONCATENATE("FT-",E87,"5")</f>
        <v>FT-RESBIO5</v>
      </c>
      <c r="C86" s="378" t="s">
        <v>684</v>
      </c>
      <c r="D86" s="139" t="s">
        <v>943</v>
      </c>
      <c r="E86" s="12"/>
      <c r="F86" s="12"/>
      <c r="G86" s="139">
        <v>1</v>
      </c>
      <c r="H86" s="97">
        <f ca="1">IF(AuxData!$G$15&lt;=0,1,AuxData!C21/AuxData!$G$15)</f>
        <v>1</v>
      </c>
      <c r="I86" s="140">
        <v>1</v>
      </c>
      <c r="J86" s="140">
        <v>1</v>
      </c>
      <c r="K86" s="18"/>
      <c r="L86" s="18"/>
      <c r="M86" s="292">
        <v>0.999</v>
      </c>
      <c r="N86" s="40">
        <f>MAX($H$86:$H$86)</f>
        <v>1</v>
      </c>
      <c r="O86" s="140"/>
      <c r="P86" s="140"/>
      <c r="Q86" s="140"/>
      <c r="R86" s="346"/>
      <c r="S86" s="346">
        <f ca="1">BaseYear</f>
        <v>2010</v>
      </c>
      <c r="T86" s="346"/>
    </row>
    <row r="87" spans="2:20">
      <c r="B87" s="247"/>
      <c r="C87" s="460"/>
      <c r="D87" s="142"/>
      <c r="E87" s="142" t="s">
        <v>419</v>
      </c>
      <c r="F87" s="142" t="s">
        <v>449</v>
      </c>
      <c r="G87" s="143"/>
      <c r="H87" s="144"/>
      <c r="I87" s="145"/>
      <c r="J87" s="145"/>
      <c r="K87" s="146"/>
      <c r="L87" s="146"/>
      <c r="M87" s="146"/>
      <c r="N87" s="146"/>
      <c r="O87" s="145"/>
      <c r="P87" s="145"/>
      <c r="Q87" s="145"/>
      <c r="R87" s="347"/>
      <c r="S87" s="347"/>
      <c r="T87" s="347"/>
    </row>
    <row r="88" spans="2:20">
      <c r="B88" s="12" t="str">
        <f>CONCATENATE("FT-",E89,"5")</f>
        <v>FT-RESBPL5</v>
      </c>
      <c r="C88" s="378" t="s">
        <v>936</v>
      </c>
      <c r="D88" s="36" t="s">
        <v>929</v>
      </c>
      <c r="E88" s="36"/>
      <c r="F88" s="36"/>
      <c r="G88" s="353"/>
      <c r="H88" s="354"/>
      <c r="I88" s="355">
        <v>1</v>
      </c>
      <c r="J88" s="355"/>
      <c r="K88" s="81"/>
      <c r="L88" s="81"/>
      <c r="M88" s="81"/>
      <c r="N88" s="81"/>
      <c r="O88" s="355"/>
      <c r="P88" s="355"/>
      <c r="Q88" s="355"/>
      <c r="R88" s="346"/>
      <c r="S88" s="346">
        <f ca="1">BaseYear</f>
        <v>2010</v>
      </c>
      <c r="T88" s="346"/>
    </row>
    <row r="89" spans="2:20">
      <c r="B89" s="247"/>
      <c r="C89" s="460"/>
      <c r="D89" s="142"/>
      <c r="E89" s="142" t="s">
        <v>931</v>
      </c>
      <c r="F89" s="142" t="s">
        <v>934</v>
      </c>
      <c r="G89" s="143"/>
      <c r="H89" s="144"/>
      <c r="I89" s="145"/>
      <c r="J89" s="145"/>
      <c r="K89" s="146"/>
      <c r="L89" s="146"/>
      <c r="M89" s="146"/>
      <c r="N89" s="146"/>
      <c r="O89" s="145"/>
      <c r="P89" s="145"/>
      <c r="Q89" s="145"/>
      <c r="R89" s="347"/>
      <c r="S89" s="347"/>
      <c r="T89" s="347"/>
    </row>
    <row r="90" spans="2:20">
      <c r="B90" s="12" t="str">
        <f>CONCATENATE("FT-",E91,"5")</f>
        <v>FT-RESSOL5</v>
      </c>
      <c r="C90" s="378" t="s">
        <v>686</v>
      </c>
      <c r="D90" s="139" t="s">
        <v>580</v>
      </c>
      <c r="E90" s="12"/>
      <c r="F90" s="12"/>
      <c r="G90" s="139">
        <v>1</v>
      </c>
      <c r="H90" s="97"/>
      <c r="I90" s="140">
        <v>1</v>
      </c>
      <c r="J90" s="140">
        <v>1</v>
      </c>
      <c r="K90" s="18">
        <v>50</v>
      </c>
      <c r="L90" s="18">
        <v>50</v>
      </c>
      <c r="M90" s="18"/>
      <c r="N90" s="18"/>
      <c r="O90" s="140"/>
      <c r="P90" s="140"/>
      <c r="Q90" s="140"/>
      <c r="R90" s="346"/>
      <c r="S90" s="346">
        <f ca="1">BaseYear+1</f>
        <v>2011</v>
      </c>
      <c r="T90" s="346"/>
    </row>
    <row r="91" spans="2:20">
      <c r="B91" s="142"/>
      <c r="C91" s="460"/>
      <c r="D91" s="142"/>
      <c r="E91" s="142" t="s">
        <v>582</v>
      </c>
      <c r="F91" s="142" t="s">
        <v>453</v>
      </c>
      <c r="G91" s="143"/>
      <c r="H91" s="144"/>
      <c r="I91" s="145"/>
      <c r="J91" s="145"/>
      <c r="K91" s="146"/>
      <c r="L91" s="146"/>
      <c r="M91" s="146"/>
      <c r="N91" s="146"/>
      <c r="O91" s="145"/>
      <c r="P91" s="145"/>
      <c r="Q91" s="145"/>
      <c r="R91" s="347"/>
      <c r="S91" s="347"/>
      <c r="T91" s="347"/>
    </row>
    <row r="92" spans="2:20">
      <c r="B92" s="12" t="str">
        <f>CONCATENATE("FT-",E93,"5")</f>
        <v>FT-RESGEO5</v>
      </c>
      <c r="C92" s="378" t="s">
        <v>685</v>
      </c>
      <c r="D92" s="139" t="s">
        <v>579</v>
      </c>
      <c r="E92" s="12"/>
      <c r="F92" s="12"/>
      <c r="G92" s="139">
        <v>1</v>
      </c>
      <c r="H92" s="97"/>
      <c r="I92" s="140">
        <v>1</v>
      </c>
      <c r="J92" s="140">
        <v>1</v>
      </c>
      <c r="K92" s="18">
        <v>20</v>
      </c>
      <c r="L92" s="18">
        <v>1</v>
      </c>
      <c r="M92" s="18"/>
      <c r="N92" s="18"/>
      <c r="O92" s="140"/>
      <c r="P92" s="140"/>
      <c r="Q92" s="140"/>
      <c r="R92" s="346"/>
      <c r="S92" s="346">
        <f ca="1">BaseYear+1</f>
        <v>2011</v>
      </c>
      <c r="T92" s="346"/>
    </row>
    <row r="93" spans="2:20">
      <c r="B93" s="142"/>
      <c r="C93" s="460"/>
      <c r="D93" s="142"/>
      <c r="E93" s="142" t="s">
        <v>581</v>
      </c>
      <c r="F93" s="142" t="s">
        <v>451</v>
      </c>
      <c r="G93" s="143"/>
      <c r="H93" s="144"/>
      <c r="I93" s="145"/>
      <c r="J93" s="145"/>
      <c r="K93" s="146"/>
      <c r="L93" s="146"/>
      <c r="M93" s="146"/>
      <c r="N93" s="146"/>
      <c r="O93" s="145"/>
      <c r="P93" s="145"/>
      <c r="Q93" s="145"/>
      <c r="R93" s="347"/>
      <c r="S93" s="347"/>
      <c r="T93" s="347"/>
    </row>
    <row r="94" spans="2:20">
      <c r="B94" s="12" t="str">
        <f>CONCATENATE("FT-",E95,"6")</f>
        <v>FT-RESGEO6</v>
      </c>
      <c r="C94" s="378" t="s">
        <v>685</v>
      </c>
      <c r="D94" s="139" t="s">
        <v>579</v>
      </c>
      <c r="E94" s="12"/>
      <c r="F94" s="12"/>
      <c r="G94" s="139">
        <v>1</v>
      </c>
      <c r="H94" s="97"/>
      <c r="I94" s="140">
        <v>1</v>
      </c>
      <c r="J94" s="140">
        <v>1</v>
      </c>
      <c r="K94" s="18">
        <v>20</v>
      </c>
      <c r="L94" s="18">
        <v>1.5</v>
      </c>
      <c r="M94" s="18"/>
      <c r="N94" s="18"/>
      <c r="O94" s="140"/>
      <c r="P94" s="140"/>
      <c r="Q94" s="140"/>
      <c r="R94" s="346"/>
      <c r="S94" s="346">
        <f ca="1">BaseYear+1</f>
        <v>2011</v>
      </c>
      <c r="T94" s="346"/>
    </row>
    <row r="95" spans="2:20">
      <c r="B95" s="142"/>
      <c r="C95" s="460"/>
      <c r="D95" s="142"/>
      <c r="E95" s="142" t="s">
        <v>581</v>
      </c>
      <c r="F95" s="142" t="s">
        <v>451</v>
      </c>
      <c r="G95" s="143"/>
      <c r="H95" s="144"/>
      <c r="I95" s="145"/>
      <c r="J95" s="145"/>
      <c r="K95" s="146"/>
      <c r="L95" s="146"/>
      <c r="M95" s="146"/>
      <c r="N95" s="146"/>
      <c r="O95" s="145"/>
      <c r="P95" s="145"/>
      <c r="Q95" s="145"/>
      <c r="R95" s="347"/>
      <c r="S95" s="347"/>
      <c r="T95" s="347"/>
    </row>
    <row r="96" spans="2:20">
      <c r="B96" s="12" t="str">
        <f>CONCATENATE("FT-",E97,"7")</f>
        <v>FT-RESGEO7</v>
      </c>
      <c r="C96" s="378" t="s">
        <v>685</v>
      </c>
      <c r="D96" s="139" t="s">
        <v>579</v>
      </c>
      <c r="E96" s="12"/>
      <c r="F96" s="12"/>
      <c r="G96" s="139">
        <v>1</v>
      </c>
      <c r="H96" s="97"/>
      <c r="I96" s="140">
        <v>1</v>
      </c>
      <c r="J96" s="140">
        <v>1</v>
      </c>
      <c r="K96" s="18">
        <v>20</v>
      </c>
      <c r="L96" s="18">
        <v>3</v>
      </c>
      <c r="M96" s="18"/>
      <c r="N96" s="18"/>
      <c r="O96" s="140"/>
      <c r="P96" s="140"/>
      <c r="Q96" s="140"/>
      <c r="R96" s="346"/>
      <c r="S96" s="346">
        <f ca="1">BaseYear+1</f>
        <v>2011</v>
      </c>
      <c r="T96" s="346"/>
    </row>
    <row r="97" spans="2:20">
      <c r="B97" s="142"/>
      <c r="C97" s="460"/>
      <c r="D97" s="142"/>
      <c r="E97" s="142" t="s">
        <v>581</v>
      </c>
      <c r="F97" s="142" t="s">
        <v>451</v>
      </c>
      <c r="G97" s="143"/>
      <c r="H97" s="144"/>
      <c r="I97" s="145"/>
      <c r="J97" s="145"/>
      <c r="K97" s="146"/>
      <c r="L97" s="146"/>
      <c r="M97" s="146"/>
      <c r="N97" s="146"/>
      <c r="O97" s="145"/>
      <c r="P97" s="145"/>
      <c r="Q97" s="145"/>
      <c r="R97" s="347"/>
      <c r="S97" s="347"/>
      <c r="T97" s="347"/>
    </row>
    <row r="99" spans="2:20">
      <c r="D99" s="15"/>
      <c r="E99" s="15"/>
      <c r="F99" s="15"/>
      <c r="G99" s="15"/>
      <c r="H99" s="15"/>
      <c r="I99" s="15"/>
      <c r="J99" s="15"/>
      <c r="K99" s="15"/>
      <c r="L99" s="15"/>
      <c r="M99" s="15"/>
      <c r="N99" s="15"/>
      <c r="O99" s="15"/>
      <c r="P99" s="15"/>
      <c r="Q99" s="15"/>
      <c r="R99" s="15"/>
      <c r="S99" s="15"/>
    </row>
  </sheetData>
  <phoneticPr fontId="0" type="noConversion"/>
  <pageMargins left="0.75" right="0.75" top="1" bottom="1" header="0.5" footer="0.5"/>
  <pageSetup orientation="landscape" horizontalDpi="300" verticalDpi="300" r:id="rId1"/>
  <headerFooter alignWithMargins="0"/>
  <legacyDrawing r:id="rId2"/>
</worksheet>
</file>

<file path=xl/worksheets/sheet9.xml><?xml version="1.0" encoding="utf-8"?>
<worksheet xmlns="http://schemas.openxmlformats.org/spreadsheetml/2006/main" xmlns:r="http://schemas.openxmlformats.org/officeDocument/2006/relationships">
  <dimension ref="A1:N55"/>
  <sheetViews>
    <sheetView zoomScale="75" workbookViewId="0">
      <selection activeCell="B73" sqref="B73"/>
    </sheetView>
  </sheetViews>
  <sheetFormatPr defaultColWidth="11.42578125" defaultRowHeight="12.75"/>
  <cols>
    <col min="1" max="1" width="8.85546875" style="115" customWidth="1"/>
    <col min="2" max="4" width="10.42578125" style="115" customWidth="1"/>
  </cols>
  <sheetData>
    <row r="1" spans="1:14">
      <c r="D1" s="248"/>
      <c r="E1" s="115"/>
      <c r="F1" s="115"/>
      <c r="G1" s="115"/>
      <c r="H1" s="115"/>
      <c r="N1" s="120"/>
    </row>
    <row r="4" spans="1:14" ht="18">
      <c r="A4" s="150" t="s">
        <v>290</v>
      </c>
      <c r="B4" s="131"/>
      <c r="C4" s="131"/>
      <c r="D4" s="131"/>
      <c r="H4" s="150" t="s">
        <v>739</v>
      </c>
      <c r="I4" s="131"/>
      <c r="J4" s="245" t="s">
        <v>740</v>
      </c>
    </row>
    <row r="5" spans="1:14" ht="13.5" thickBot="1">
      <c r="A5" s="249" t="s">
        <v>300</v>
      </c>
      <c r="B5" s="251" t="s">
        <v>15</v>
      </c>
      <c r="C5" s="250" t="s">
        <v>16</v>
      </c>
      <c r="D5" s="250" t="s">
        <v>17</v>
      </c>
      <c r="H5" s="309" t="s">
        <v>57</v>
      </c>
      <c r="I5" s="309" t="s">
        <v>58</v>
      </c>
      <c r="J5" s="309" t="s">
        <v>741</v>
      </c>
      <c r="K5" s="250" t="str">
        <f>B5</f>
        <v>RESCO2N</v>
      </c>
      <c r="L5" s="250" t="str">
        <f>C5</f>
        <v>RESCH4N</v>
      </c>
      <c r="M5" s="250" t="str">
        <f>D5</f>
        <v>RESN2ON</v>
      </c>
      <c r="N5" s="250" t="s">
        <v>946</v>
      </c>
    </row>
    <row r="6" spans="1:14">
      <c r="A6" s="151" t="s">
        <v>437</v>
      </c>
      <c r="B6" s="280">
        <v>94.6</v>
      </c>
      <c r="C6" s="108">
        <v>50</v>
      </c>
      <c r="D6" s="108">
        <v>1.5</v>
      </c>
      <c r="H6" s="310" t="s">
        <v>1214</v>
      </c>
      <c r="I6" s="12"/>
      <c r="J6" s="311" t="s">
        <v>436</v>
      </c>
      <c r="K6" s="313">
        <f t="shared" ref="K6:M7" si="0">B35</f>
        <v>56.1</v>
      </c>
      <c r="L6" s="313">
        <f t="shared" si="0"/>
        <v>5</v>
      </c>
      <c r="M6" s="313">
        <f t="shared" si="0"/>
        <v>0.6</v>
      </c>
      <c r="N6" s="18"/>
    </row>
    <row r="7" spans="1:14">
      <c r="A7" s="151" t="s">
        <v>438</v>
      </c>
      <c r="B7" s="377">
        <v>102</v>
      </c>
      <c r="C7" s="109">
        <f>$C$6</f>
        <v>50</v>
      </c>
      <c r="D7" s="109">
        <f>$D$6</f>
        <v>1.5</v>
      </c>
      <c r="G7" s="39"/>
      <c r="H7" s="310"/>
      <c r="I7" s="12"/>
      <c r="J7" s="311" t="s">
        <v>440</v>
      </c>
      <c r="K7" s="313">
        <f t="shared" si="0"/>
        <v>56.1</v>
      </c>
      <c r="L7" s="313">
        <f t="shared" si="0"/>
        <v>5</v>
      </c>
      <c r="M7" s="313">
        <f t="shared" si="0"/>
        <v>0.6</v>
      </c>
      <c r="N7" s="18"/>
    </row>
    <row r="8" spans="1:14">
      <c r="A8" s="151" t="s">
        <v>439</v>
      </c>
      <c r="B8" s="377">
        <v>104.5</v>
      </c>
      <c r="C8" s="109">
        <f>$C$6</f>
        <v>50</v>
      </c>
      <c r="D8" s="109">
        <f>$D$6</f>
        <v>1.5</v>
      </c>
      <c r="G8" s="39"/>
      <c r="H8" s="310"/>
      <c r="I8" s="12"/>
      <c r="J8" s="311" t="s">
        <v>1009</v>
      </c>
      <c r="K8" s="313">
        <v>0</v>
      </c>
      <c r="L8" s="313">
        <f>C35</f>
        <v>5</v>
      </c>
      <c r="M8" s="313">
        <f>D35</f>
        <v>0.6</v>
      </c>
      <c r="N8" s="18"/>
    </row>
    <row r="9" spans="1:14">
      <c r="A9" s="105" t="s">
        <v>35</v>
      </c>
      <c r="B9" s="282">
        <v>108.166666666667</v>
      </c>
      <c r="C9" s="109">
        <f>$C$6</f>
        <v>50</v>
      </c>
      <c r="D9" s="109">
        <f>$D$6</f>
        <v>1.5</v>
      </c>
      <c r="G9" s="39"/>
      <c r="H9" s="310" t="s">
        <v>1205</v>
      </c>
      <c r="I9" s="12"/>
      <c r="J9" s="311" t="s">
        <v>221</v>
      </c>
      <c r="K9" s="313">
        <f>B25</f>
        <v>74.066666666666706</v>
      </c>
      <c r="L9" s="313">
        <f>C25</f>
        <v>15</v>
      </c>
      <c r="M9" s="313">
        <f>D25</f>
        <v>2</v>
      </c>
      <c r="N9" s="18"/>
    </row>
    <row r="10" spans="1:14">
      <c r="A10" s="105" t="s">
        <v>36</v>
      </c>
      <c r="B10" s="283">
        <v>108.166666666667</v>
      </c>
      <c r="C10" s="109">
        <f>$C$6</f>
        <v>50</v>
      </c>
      <c r="D10" s="109">
        <f>$D$6</f>
        <v>1.5</v>
      </c>
      <c r="G10" s="39"/>
      <c r="H10" s="310"/>
      <c r="I10" s="12"/>
      <c r="J10" s="311" t="s">
        <v>220</v>
      </c>
      <c r="K10" s="313">
        <f>B20</f>
        <v>71.3</v>
      </c>
      <c r="L10" s="313">
        <f>C20</f>
        <v>20</v>
      </c>
      <c r="M10" s="313">
        <f>D20</f>
        <v>6</v>
      </c>
      <c r="N10" s="18"/>
    </row>
    <row r="11" spans="1:14">
      <c r="A11" s="105" t="s">
        <v>37</v>
      </c>
      <c r="B11" s="283">
        <v>108.166666666667</v>
      </c>
      <c r="C11" s="109">
        <f>$C$6</f>
        <v>50</v>
      </c>
      <c r="D11" s="109">
        <f>$D$6</f>
        <v>1.5</v>
      </c>
      <c r="H11" s="310"/>
      <c r="I11" s="12"/>
      <c r="J11" s="311" t="s">
        <v>647</v>
      </c>
      <c r="K11" s="313">
        <f>B32</f>
        <v>73.3333333333333</v>
      </c>
      <c r="L11" s="313">
        <f>C32</f>
        <v>5</v>
      </c>
      <c r="M11" s="313">
        <f>D32</f>
        <v>2</v>
      </c>
      <c r="N11" s="18"/>
    </row>
    <row r="12" spans="1:14">
      <c r="A12" s="106" t="s">
        <v>38</v>
      </c>
      <c r="B12" s="284">
        <v>100.833333333333</v>
      </c>
      <c r="C12" s="112">
        <f>C6</f>
        <v>50</v>
      </c>
      <c r="D12" s="112">
        <f>D6</f>
        <v>1.5</v>
      </c>
      <c r="H12" s="310"/>
      <c r="I12" s="12"/>
      <c r="J12" s="311" t="s">
        <v>742</v>
      </c>
      <c r="K12" s="313">
        <f>B29</f>
        <v>73.3333333333333</v>
      </c>
      <c r="L12" s="313">
        <f>C43</f>
        <v>15</v>
      </c>
      <c r="M12" s="313">
        <f>D43</f>
        <v>0.6</v>
      </c>
      <c r="N12" s="18"/>
    </row>
    <row r="13" spans="1:14">
      <c r="A13" s="107" t="s">
        <v>39</v>
      </c>
      <c r="B13" s="281">
        <v>73.3333333333333</v>
      </c>
      <c r="C13" s="281">
        <v>10</v>
      </c>
      <c r="D13" s="108">
        <v>0.6</v>
      </c>
      <c r="H13" s="310" t="s">
        <v>1209</v>
      </c>
      <c r="I13" s="12"/>
      <c r="J13" s="311" t="s">
        <v>217</v>
      </c>
      <c r="K13" s="313">
        <f>B26</f>
        <v>77.366666666666703</v>
      </c>
      <c r="L13" s="313">
        <f>C26</f>
        <v>15</v>
      </c>
      <c r="M13" s="313">
        <f>D26</f>
        <v>2</v>
      </c>
      <c r="N13" s="18"/>
    </row>
    <row r="14" spans="1:14">
      <c r="A14" s="105" t="s">
        <v>40</v>
      </c>
      <c r="B14" s="283">
        <v>73.3333333333333</v>
      </c>
      <c r="C14" s="283">
        <v>10</v>
      </c>
      <c r="D14" s="109">
        <f t="shared" ref="D14:D19" si="1">D13</f>
        <v>0.6</v>
      </c>
      <c r="H14" s="310"/>
      <c r="I14" s="12"/>
      <c r="J14" s="311" t="s">
        <v>218</v>
      </c>
      <c r="K14" s="313">
        <f>B15</f>
        <v>73.3333333333333</v>
      </c>
      <c r="L14" s="313">
        <f>C15</f>
        <v>10</v>
      </c>
      <c r="M14" s="313">
        <f>D15</f>
        <v>0.6</v>
      </c>
      <c r="N14" s="18"/>
    </row>
    <row r="15" spans="1:14">
      <c r="A15" s="152" t="s">
        <v>218</v>
      </c>
      <c r="B15" s="283">
        <v>73.3333333333333</v>
      </c>
      <c r="C15" s="283">
        <v>10</v>
      </c>
      <c r="D15" s="109">
        <f t="shared" si="1"/>
        <v>0.6</v>
      </c>
      <c r="H15" s="310" t="s">
        <v>1210</v>
      </c>
      <c r="I15" s="12"/>
      <c r="J15" s="311" t="s">
        <v>219</v>
      </c>
      <c r="K15" s="313">
        <f>B24</f>
        <v>71.866666666666703</v>
      </c>
      <c r="L15" s="313">
        <f>C24</f>
        <v>1</v>
      </c>
      <c r="M15" s="313">
        <f>D24</f>
        <v>6</v>
      </c>
      <c r="N15" s="18"/>
    </row>
    <row r="16" spans="1:14">
      <c r="A16" s="105" t="s">
        <v>313</v>
      </c>
      <c r="B16" s="283">
        <v>63.066666666666698</v>
      </c>
      <c r="C16" s="283">
        <v>10</v>
      </c>
      <c r="D16" s="109">
        <f t="shared" si="1"/>
        <v>0.6</v>
      </c>
      <c r="H16" s="310" t="s">
        <v>1203</v>
      </c>
      <c r="I16" s="12"/>
      <c r="J16" s="311" t="s">
        <v>437</v>
      </c>
      <c r="K16" s="313">
        <f t="shared" ref="K16:M18" si="2">B6</f>
        <v>94.6</v>
      </c>
      <c r="L16" s="313">
        <f t="shared" si="2"/>
        <v>50</v>
      </c>
      <c r="M16" s="313">
        <f t="shared" si="2"/>
        <v>1.5</v>
      </c>
      <c r="N16" s="18"/>
    </row>
    <row r="17" spans="1:14">
      <c r="A17" s="105" t="s">
        <v>314</v>
      </c>
      <c r="B17" s="283">
        <v>73.3333333333333</v>
      </c>
      <c r="C17" s="283">
        <v>10</v>
      </c>
      <c r="D17" s="109">
        <f t="shared" si="1"/>
        <v>0.6</v>
      </c>
      <c r="H17" s="310"/>
      <c r="I17" s="12"/>
      <c r="J17" s="311" t="s">
        <v>438</v>
      </c>
      <c r="K17" s="313">
        <f t="shared" si="2"/>
        <v>102</v>
      </c>
      <c r="L17" s="313">
        <f t="shared" si="2"/>
        <v>50</v>
      </c>
      <c r="M17" s="313">
        <f t="shared" si="2"/>
        <v>1.5</v>
      </c>
      <c r="N17" s="18"/>
    </row>
    <row r="18" spans="1:14">
      <c r="A18" s="105" t="s">
        <v>315</v>
      </c>
      <c r="B18" s="283">
        <v>73.3333333333333</v>
      </c>
      <c r="C18" s="283">
        <v>10</v>
      </c>
      <c r="D18" s="109">
        <f t="shared" si="1"/>
        <v>0.6</v>
      </c>
      <c r="H18" s="310"/>
      <c r="I18" s="12"/>
      <c r="J18" s="311" t="s">
        <v>439</v>
      </c>
      <c r="K18" s="313">
        <f t="shared" si="2"/>
        <v>104.5</v>
      </c>
      <c r="L18" s="313">
        <f t="shared" si="2"/>
        <v>50</v>
      </c>
      <c r="M18" s="313">
        <f t="shared" si="2"/>
        <v>1.5</v>
      </c>
      <c r="N18" s="18"/>
    </row>
    <row r="19" spans="1:14">
      <c r="A19" s="105" t="s">
        <v>316</v>
      </c>
      <c r="B19" s="283">
        <v>73.3333333333333</v>
      </c>
      <c r="C19" s="283">
        <v>10</v>
      </c>
      <c r="D19" s="112">
        <f t="shared" si="1"/>
        <v>0.6</v>
      </c>
      <c r="H19" s="310" t="s">
        <v>1212</v>
      </c>
      <c r="I19" s="12"/>
      <c r="J19" s="311" t="s">
        <v>110</v>
      </c>
      <c r="K19" s="313">
        <f>B38</f>
        <v>63.066666666666698</v>
      </c>
      <c r="L19" s="313">
        <f>C38</f>
        <v>5</v>
      </c>
      <c r="M19" s="313">
        <f>D38</f>
        <v>1</v>
      </c>
      <c r="N19" s="18"/>
    </row>
    <row r="20" spans="1:14">
      <c r="A20" s="154" t="s">
        <v>220</v>
      </c>
      <c r="B20" s="185">
        <v>71.3</v>
      </c>
      <c r="C20" s="281">
        <v>20</v>
      </c>
      <c r="D20" s="109">
        <v>6</v>
      </c>
      <c r="H20" s="310" t="s">
        <v>1199</v>
      </c>
      <c r="I20" s="12"/>
      <c r="J20" s="311" t="s">
        <v>943</v>
      </c>
      <c r="K20" s="313">
        <f>B40</f>
        <v>0.01</v>
      </c>
      <c r="L20" s="313">
        <f>C40</f>
        <v>210</v>
      </c>
      <c r="M20" s="313">
        <f>D40</f>
        <v>2.2999999999999998</v>
      </c>
      <c r="N20" s="358">
        <v>1</v>
      </c>
    </row>
    <row r="21" spans="1:14">
      <c r="A21" s="105" t="s">
        <v>317</v>
      </c>
      <c r="B21" s="185">
        <v>71.3</v>
      </c>
      <c r="C21" s="283">
        <v>1</v>
      </c>
      <c r="D21" s="109">
        <f>D20</f>
        <v>6</v>
      </c>
      <c r="H21" s="310" t="s">
        <v>1201</v>
      </c>
      <c r="I21" s="12"/>
      <c r="J21" s="311" t="s">
        <v>929</v>
      </c>
      <c r="K21" s="313">
        <f>K20</f>
        <v>0.01</v>
      </c>
      <c r="L21" s="313">
        <f>C40*0.7</f>
        <v>147</v>
      </c>
      <c r="M21" s="313">
        <f>D40*0.6</f>
        <v>1.38</v>
      </c>
      <c r="N21" s="18"/>
    </row>
    <row r="22" spans="1:14">
      <c r="A22" s="105" t="s">
        <v>318</v>
      </c>
      <c r="B22" s="283">
        <v>69.3</v>
      </c>
      <c r="C22" s="283">
        <v>1</v>
      </c>
      <c r="D22" s="109">
        <f>D21</f>
        <v>6</v>
      </c>
      <c r="H22" s="310" t="s">
        <v>1215</v>
      </c>
      <c r="I22" s="12"/>
      <c r="J22" s="311" t="s">
        <v>436</v>
      </c>
      <c r="K22" s="313">
        <f t="shared" ref="K22:M23" si="3">B35</f>
        <v>56.1</v>
      </c>
      <c r="L22" s="313">
        <f t="shared" si="3"/>
        <v>5</v>
      </c>
      <c r="M22" s="313">
        <f t="shared" si="3"/>
        <v>0.6</v>
      </c>
      <c r="N22" s="18"/>
    </row>
    <row r="23" spans="1:14">
      <c r="A23" s="105" t="s">
        <v>319</v>
      </c>
      <c r="B23" s="283">
        <v>71.5</v>
      </c>
      <c r="C23" s="283">
        <v>1</v>
      </c>
      <c r="D23" s="109">
        <f>D22</f>
        <v>6</v>
      </c>
      <c r="H23" s="310"/>
      <c r="I23" s="12"/>
      <c r="J23" s="311" t="s">
        <v>440</v>
      </c>
      <c r="K23" s="313">
        <f t="shared" si="3"/>
        <v>56.1</v>
      </c>
      <c r="L23" s="313">
        <f t="shared" si="3"/>
        <v>5</v>
      </c>
      <c r="M23" s="313">
        <f t="shared" si="3"/>
        <v>0.6</v>
      </c>
      <c r="N23" s="18"/>
    </row>
    <row r="24" spans="1:14">
      <c r="A24" s="152" t="s">
        <v>219</v>
      </c>
      <c r="B24" s="283">
        <v>71.866666666666703</v>
      </c>
      <c r="C24" s="283">
        <v>1</v>
      </c>
      <c r="D24" s="109">
        <f>D23</f>
        <v>6</v>
      </c>
      <c r="H24" s="310"/>
      <c r="I24" s="12"/>
      <c r="J24" s="311" t="s">
        <v>1009</v>
      </c>
      <c r="K24" s="313">
        <v>0</v>
      </c>
      <c r="L24" s="313">
        <f>C35</f>
        <v>5</v>
      </c>
      <c r="M24" s="313">
        <f>D35</f>
        <v>0.6</v>
      </c>
      <c r="N24" s="18"/>
    </row>
    <row r="25" spans="1:14">
      <c r="A25" s="152" t="s">
        <v>221</v>
      </c>
      <c r="B25" s="283">
        <v>74.066666666666706</v>
      </c>
      <c r="C25" s="283">
        <v>15</v>
      </c>
      <c r="D25" s="109">
        <v>2</v>
      </c>
      <c r="H25" s="310" t="s">
        <v>1230</v>
      </c>
      <c r="I25" s="12"/>
      <c r="J25" s="311" t="s">
        <v>43</v>
      </c>
      <c r="K25" s="313">
        <f>K24</f>
        <v>0</v>
      </c>
      <c r="L25" s="313">
        <f>L24</f>
        <v>5</v>
      </c>
      <c r="M25" s="313">
        <f>M24</f>
        <v>0.6</v>
      </c>
      <c r="N25" s="18"/>
    </row>
    <row r="26" spans="1:14">
      <c r="A26" s="152" t="s">
        <v>217</v>
      </c>
      <c r="B26" s="283">
        <v>77.366666666666703</v>
      </c>
      <c r="C26" s="283">
        <v>15</v>
      </c>
      <c r="D26" s="109">
        <v>2</v>
      </c>
      <c r="G26" s="8"/>
      <c r="H26" s="310" t="s">
        <v>1206</v>
      </c>
      <c r="I26" s="12"/>
      <c r="J26" s="311" t="s">
        <v>221</v>
      </c>
      <c r="K26" s="313">
        <f>B25</f>
        <v>74.066666666666706</v>
      </c>
      <c r="L26" s="313">
        <f>C25</f>
        <v>15</v>
      </c>
      <c r="M26" s="313">
        <f>D25</f>
        <v>2</v>
      </c>
      <c r="N26" s="18"/>
    </row>
    <row r="27" spans="1:14">
      <c r="A27" s="105" t="s">
        <v>320</v>
      </c>
      <c r="B27" s="283">
        <v>73.3333333333333</v>
      </c>
      <c r="C27" s="283">
        <v>5</v>
      </c>
      <c r="D27" s="109">
        <f t="shared" ref="D27:D32" si="4">D26</f>
        <v>2</v>
      </c>
      <c r="G27" s="8"/>
      <c r="H27" s="310"/>
      <c r="I27" s="12"/>
      <c r="J27" s="311" t="s">
        <v>742</v>
      </c>
      <c r="K27" s="313">
        <f>B43</f>
        <v>1E-4</v>
      </c>
      <c r="L27" s="313">
        <f>C43</f>
        <v>15</v>
      </c>
      <c r="M27" s="313">
        <f>D43</f>
        <v>0.6</v>
      </c>
      <c r="N27" s="18"/>
    </row>
    <row r="28" spans="1:14">
      <c r="A28" s="105" t="s">
        <v>321</v>
      </c>
      <c r="B28" s="283">
        <v>73.3333333333333</v>
      </c>
      <c r="C28" s="283">
        <v>5</v>
      </c>
      <c r="D28" s="109">
        <f t="shared" si="4"/>
        <v>2</v>
      </c>
      <c r="G28" s="8"/>
      <c r="H28" s="310" t="s">
        <v>1242</v>
      </c>
      <c r="I28" s="12"/>
      <c r="J28" s="311" t="s">
        <v>1248</v>
      </c>
      <c r="K28" s="313">
        <f>B43</f>
        <v>1E-4</v>
      </c>
      <c r="L28" s="313">
        <f>C43</f>
        <v>15</v>
      </c>
      <c r="M28" s="313">
        <f>D43</f>
        <v>0.6</v>
      </c>
      <c r="N28" s="18"/>
    </row>
    <row r="29" spans="1:14">
      <c r="A29" s="105" t="s">
        <v>322</v>
      </c>
      <c r="B29" s="283">
        <v>73.3333333333333</v>
      </c>
      <c r="C29" s="283">
        <v>5</v>
      </c>
      <c r="D29" s="109">
        <f t="shared" si="4"/>
        <v>2</v>
      </c>
      <c r="G29" s="8"/>
      <c r="H29" s="310" t="s">
        <v>1211</v>
      </c>
      <c r="I29" s="12"/>
      <c r="J29" s="311" t="s">
        <v>219</v>
      </c>
      <c r="K29" s="313">
        <f>B24</f>
        <v>71.866666666666703</v>
      </c>
      <c r="L29" s="313">
        <f>C24</f>
        <v>1</v>
      </c>
      <c r="M29" s="313">
        <f>D24</f>
        <v>6</v>
      </c>
      <c r="N29" s="18"/>
    </row>
    <row r="30" spans="1:14">
      <c r="A30" s="105" t="s">
        <v>323</v>
      </c>
      <c r="B30" s="283">
        <v>80.6666666666667</v>
      </c>
      <c r="C30" s="283">
        <v>5</v>
      </c>
      <c r="D30" s="109">
        <f t="shared" si="4"/>
        <v>2</v>
      </c>
      <c r="G30" s="8"/>
      <c r="H30" s="310" t="s">
        <v>1204</v>
      </c>
      <c r="I30" s="12"/>
      <c r="J30" s="311" t="s">
        <v>438</v>
      </c>
      <c r="K30" s="313">
        <f>B7</f>
        <v>102</v>
      </c>
      <c r="L30" s="313">
        <f>C7</f>
        <v>50</v>
      </c>
      <c r="M30" s="313">
        <f>D7</f>
        <v>1.5</v>
      </c>
      <c r="N30" s="18"/>
    </row>
    <row r="31" spans="1:14">
      <c r="A31" s="105" t="s">
        <v>324</v>
      </c>
      <c r="B31" s="283">
        <v>80.6666666666667</v>
      </c>
      <c r="C31" s="283">
        <v>5</v>
      </c>
      <c r="D31" s="109">
        <f t="shared" si="4"/>
        <v>2</v>
      </c>
      <c r="G31" s="8"/>
      <c r="H31" s="310" t="s">
        <v>1213</v>
      </c>
      <c r="I31" s="12"/>
      <c r="J31" s="311" t="s">
        <v>110</v>
      </c>
      <c r="K31" s="313">
        <f>B38</f>
        <v>63.066666666666698</v>
      </c>
      <c r="L31" s="313">
        <f>C38</f>
        <v>5</v>
      </c>
      <c r="M31" s="313">
        <f>D38</f>
        <v>1</v>
      </c>
      <c r="N31" s="18"/>
    </row>
    <row r="32" spans="1:14">
      <c r="A32" s="153" t="s">
        <v>647</v>
      </c>
      <c r="B32" s="284">
        <v>73.3333333333333</v>
      </c>
      <c r="C32" s="284">
        <v>5</v>
      </c>
      <c r="D32" s="109">
        <f t="shared" si="4"/>
        <v>2</v>
      </c>
      <c r="G32" s="8"/>
      <c r="H32" s="310" t="s">
        <v>1200</v>
      </c>
      <c r="I32" s="12"/>
      <c r="J32" s="311" t="s">
        <v>943</v>
      </c>
      <c r="K32" s="313">
        <f>B40</f>
        <v>0.01</v>
      </c>
      <c r="L32" s="313">
        <f>C40</f>
        <v>210</v>
      </c>
      <c r="M32" s="313">
        <f>D40</f>
        <v>2.2999999999999998</v>
      </c>
      <c r="N32" s="18"/>
    </row>
    <row r="33" spans="1:14">
      <c r="A33" s="107" t="s">
        <v>325</v>
      </c>
      <c r="B33" s="281">
        <v>56.1</v>
      </c>
      <c r="C33" s="281">
        <v>5</v>
      </c>
      <c r="D33" s="113">
        <v>0.6</v>
      </c>
      <c r="G33" s="8"/>
      <c r="H33" s="310" t="s">
        <v>1202</v>
      </c>
      <c r="I33" s="12"/>
      <c r="J33" s="311" t="s">
        <v>929</v>
      </c>
      <c r="K33" s="313">
        <f>B40</f>
        <v>0.01</v>
      </c>
      <c r="L33" s="313">
        <f>C40*0.7</f>
        <v>147</v>
      </c>
      <c r="M33" s="313">
        <f>D40*0.6</f>
        <v>1.38</v>
      </c>
      <c r="N33" s="18"/>
    </row>
    <row r="34" spans="1:14">
      <c r="A34" s="105" t="s">
        <v>326</v>
      </c>
      <c r="B34" s="283">
        <v>61.6</v>
      </c>
      <c r="C34" s="283">
        <v>5</v>
      </c>
      <c r="D34" s="110">
        <f>D33</f>
        <v>0.6</v>
      </c>
      <c r="G34" s="8"/>
    </row>
    <row r="35" spans="1:14">
      <c r="A35" s="152" t="s">
        <v>436</v>
      </c>
      <c r="B35" s="283">
        <v>56.1</v>
      </c>
      <c r="C35" s="283">
        <v>5</v>
      </c>
      <c r="D35" s="110">
        <f>D34</f>
        <v>0.6</v>
      </c>
      <c r="G35" s="8"/>
    </row>
    <row r="36" spans="1:14">
      <c r="A36" s="152" t="s">
        <v>440</v>
      </c>
      <c r="B36" s="283">
        <v>56.1</v>
      </c>
      <c r="C36" s="283">
        <v>5</v>
      </c>
      <c r="D36" s="110">
        <f>D35</f>
        <v>0.6</v>
      </c>
      <c r="G36" s="8"/>
    </row>
    <row r="37" spans="1:14">
      <c r="A37" s="152" t="s">
        <v>441</v>
      </c>
      <c r="B37" s="283">
        <v>56.1</v>
      </c>
      <c r="C37" s="283">
        <v>5</v>
      </c>
      <c r="D37" s="110">
        <f>D36</f>
        <v>0.6</v>
      </c>
      <c r="G37" s="8"/>
    </row>
    <row r="38" spans="1:14">
      <c r="A38" s="153" t="s">
        <v>110</v>
      </c>
      <c r="B38" s="284">
        <v>63.066666666666698</v>
      </c>
      <c r="C38" s="284">
        <v>5</v>
      </c>
      <c r="D38" s="111">
        <v>1</v>
      </c>
      <c r="G38" s="8"/>
    </row>
    <row r="39" spans="1:14">
      <c r="A39" s="154" t="s">
        <v>589</v>
      </c>
      <c r="B39" s="283">
        <v>0.01</v>
      </c>
      <c r="C39" s="113">
        <v>200</v>
      </c>
      <c r="D39" s="113">
        <v>2.2999999999999998</v>
      </c>
      <c r="G39" s="8"/>
    </row>
    <row r="40" spans="1:14">
      <c r="A40" s="152" t="s">
        <v>454</v>
      </c>
      <c r="B40" s="283">
        <v>0.01</v>
      </c>
      <c r="C40" s="110">
        <v>210</v>
      </c>
      <c r="D40" s="110">
        <v>2.2999999999999998</v>
      </c>
      <c r="G40" s="8"/>
    </row>
    <row r="41" spans="1:14">
      <c r="A41" s="152" t="s">
        <v>457</v>
      </c>
      <c r="B41" s="283">
        <v>85.85</v>
      </c>
      <c r="C41" s="110">
        <f>$C$40</f>
        <v>210</v>
      </c>
      <c r="D41" s="110">
        <v>4</v>
      </c>
      <c r="G41" s="8"/>
    </row>
    <row r="42" spans="1:14">
      <c r="A42" s="152" t="s">
        <v>456</v>
      </c>
      <c r="B42" s="283">
        <v>85.85</v>
      </c>
      <c r="C42" s="110">
        <f>$C$40</f>
        <v>210</v>
      </c>
      <c r="D42" s="110">
        <v>4</v>
      </c>
      <c r="G42" s="8"/>
    </row>
    <row r="43" spans="1:14">
      <c r="A43" s="152" t="s">
        <v>455</v>
      </c>
      <c r="B43" s="283">
        <v>1E-4</v>
      </c>
      <c r="C43" s="283">
        <f>$C$25</f>
        <v>15</v>
      </c>
      <c r="D43" s="110">
        <v>0.6</v>
      </c>
      <c r="G43" s="8"/>
    </row>
    <row r="44" spans="1:14">
      <c r="A44" s="105" t="s">
        <v>327</v>
      </c>
      <c r="B44" s="283">
        <v>1E-4</v>
      </c>
      <c r="C44" s="110">
        <f>$C$40</f>
        <v>210</v>
      </c>
      <c r="D44" s="110">
        <v>2</v>
      </c>
      <c r="G44" s="8"/>
    </row>
    <row r="45" spans="1:14">
      <c r="A45" s="106" t="s">
        <v>328</v>
      </c>
      <c r="B45" s="283">
        <v>1E-4</v>
      </c>
      <c r="C45" s="111">
        <f>$C$40</f>
        <v>210</v>
      </c>
      <c r="D45" s="111">
        <v>2</v>
      </c>
      <c r="G45" s="8"/>
    </row>
    <row r="46" spans="1:14">
      <c r="A46" s="114" t="s">
        <v>14</v>
      </c>
    </row>
    <row r="47" spans="1:14">
      <c r="A47" s="115" t="s">
        <v>329</v>
      </c>
    </row>
    <row r="48" spans="1:14">
      <c r="A48" s="115" t="s">
        <v>13</v>
      </c>
    </row>
    <row r="50" spans="1:1">
      <c r="A50" s="8" t="s">
        <v>45</v>
      </c>
    </row>
    <row r="51" spans="1:1">
      <c r="A51" s="8" t="s">
        <v>46</v>
      </c>
    </row>
    <row r="52" spans="1:1">
      <c r="A52" s="8" t="s">
        <v>47</v>
      </c>
    </row>
    <row r="54" spans="1:1">
      <c r="A54" s="115" t="s">
        <v>75</v>
      </c>
    </row>
    <row r="55" spans="1:1">
      <c r="A55" s="115" t="s">
        <v>76</v>
      </c>
    </row>
  </sheetData>
  <phoneticPr fontId="0" type="noConversion"/>
  <pageMargins left="0.75" right="0.75" top="1" bottom="1" header="0.5" footer="0.5"/>
  <pageSetup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dimension ref="A1:AD48"/>
  <sheetViews>
    <sheetView zoomScale="75" workbookViewId="0">
      <selection activeCell="B73" sqref="B73"/>
    </sheetView>
  </sheetViews>
  <sheetFormatPr defaultColWidth="11.42578125" defaultRowHeight="12.75"/>
  <cols>
    <col min="1" max="1" width="13.140625" customWidth="1"/>
    <col min="2" max="2" width="13.5703125" customWidth="1"/>
    <col min="3" max="3" width="51.7109375" customWidth="1"/>
    <col min="4" max="4" width="12.85546875" customWidth="1"/>
    <col min="5" max="8" width="9.85546875" customWidth="1"/>
    <col min="9" max="13" width="9.140625" customWidth="1"/>
    <col min="14" max="14" width="9.7109375" customWidth="1"/>
    <col min="15" max="15" width="9.140625" customWidth="1"/>
    <col min="16" max="16" width="10.28515625" customWidth="1"/>
    <col min="17" max="17" width="12.85546875" bestFit="1" customWidth="1"/>
    <col min="18" max="21" width="9.140625" customWidth="1"/>
    <col min="22" max="22" width="10.7109375" customWidth="1"/>
    <col min="23" max="24" width="11.42578125" customWidth="1"/>
    <col min="25" max="27" width="7.7109375" customWidth="1"/>
    <col min="28" max="28" width="8" customWidth="1"/>
    <col min="29" max="30" width="8.7109375" customWidth="1"/>
  </cols>
  <sheetData>
    <row r="1" spans="1:30" ht="18">
      <c r="A1" s="10" t="s">
        <v>447</v>
      </c>
    </row>
    <row r="2" spans="1:30">
      <c r="A2" s="9"/>
      <c r="D2" s="245"/>
    </row>
    <row r="3" spans="1:30">
      <c r="B3" s="16"/>
      <c r="C3" s="17"/>
      <c r="D3" s="245"/>
      <c r="P3" s="18">
        <v>1</v>
      </c>
      <c r="Q3" t="s">
        <v>666</v>
      </c>
      <c r="AC3" s="463">
        <v>0</v>
      </c>
      <c r="AD3" s="463">
        <v>1</v>
      </c>
    </row>
    <row r="4" spans="1:30" ht="18">
      <c r="B4" s="131" t="s">
        <v>594</v>
      </c>
      <c r="C4" s="98"/>
      <c r="D4" s="252" t="str">
        <f>"~FI_T: "&amp;Region&amp;"~EUR10"</f>
        <v>~FI_T: FIN~EUR10</v>
      </c>
      <c r="E4" s="4"/>
    </row>
    <row r="5" spans="1:30" ht="46.5" customHeight="1"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52" t="s">
        <v>1091</v>
      </c>
      <c r="J5" s="52" t="s">
        <v>534</v>
      </c>
      <c r="K5" s="52" t="str">
        <f ca="1">J5&amp;"~"&amp;AuxYear</f>
        <v>EFF~2017</v>
      </c>
      <c r="L5" s="52" t="s">
        <v>758</v>
      </c>
      <c r="M5" s="52" t="s">
        <v>661</v>
      </c>
      <c r="N5" s="52" t="str">
        <f ca="1">"CF~"&amp;AuxYear</f>
        <v>CF~2017</v>
      </c>
      <c r="O5" s="52" t="s">
        <v>88</v>
      </c>
      <c r="P5" s="52" t="s">
        <v>541</v>
      </c>
      <c r="Q5" s="52" t="str">
        <f ca="1">P5&amp;"~"&amp;AuxYear</f>
        <v>RESID~2017</v>
      </c>
      <c r="R5" s="52" t="str">
        <f ca="1">"RESID~"&amp;CEILING(AuxYear+7,5)</f>
        <v>RESID~2025</v>
      </c>
      <c r="S5" s="52" t="str">
        <f ca="1">"RESID~"&amp;CEILING(AuxYear+17,5)</f>
        <v>RESID~2035</v>
      </c>
      <c r="T5" s="52" t="str">
        <f ca="1">"RESID~"&amp;CEILING(AuxYear+30,5)</f>
        <v>RESID~2050</v>
      </c>
      <c r="U5" s="52" t="s">
        <v>537</v>
      </c>
      <c r="V5" s="52" t="str">
        <f ca="1">"CF~"&amp;CEILING(AuxYear+2,5)</f>
        <v>CF~2020</v>
      </c>
      <c r="W5" s="360" t="s">
        <v>381</v>
      </c>
      <c r="Y5" s="427" t="s">
        <v>993</v>
      </c>
      <c r="Z5" s="427" t="s">
        <v>994</v>
      </c>
      <c r="AA5" s="427" t="s">
        <v>995</v>
      </c>
      <c r="AB5" s="427" t="s">
        <v>996</v>
      </c>
      <c r="AC5" s="427" t="s">
        <v>997</v>
      </c>
      <c r="AD5" s="427" t="s">
        <v>998</v>
      </c>
    </row>
    <row r="6" spans="1:30" ht="17.25" customHeight="1" thickBot="1">
      <c r="A6" s="14"/>
      <c r="B6" s="429" t="s">
        <v>999</v>
      </c>
      <c r="C6" s="190"/>
      <c r="D6" s="190"/>
      <c r="E6" s="191"/>
      <c r="F6" s="191"/>
      <c r="G6" s="191"/>
      <c r="H6" s="191"/>
      <c r="I6" s="190"/>
      <c r="J6" s="315"/>
      <c r="K6" s="315"/>
      <c r="L6" s="191"/>
      <c r="M6" s="190"/>
      <c r="N6" s="190"/>
      <c r="O6" s="191"/>
      <c r="P6" s="192"/>
      <c r="Q6" s="190"/>
      <c r="R6" s="190"/>
      <c r="S6" s="192"/>
      <c r="T6" s="190"/>
      <c r="U6" s="190"/>
      <c r="V6" s="190"/>
      <c r="W6" s="360"/>
      <c r="Y6" s="428"/>
      <c r="Z6" s="428"/>
      <c r="AA6" s="428"/>
      <c r="AB6" s="428"/>
      <c r="AC6" s="428"/>
      <c r="AD6" s="428"/>
    </row>
    <row r="7" spans="1:30" ht="15" customHeight="1">
      <c r="B7" s="76" t="s">
        <v>222</v>
      </c>
      <c r="C7" s="378" t="s">
        <v>284</v>
      </c>
      <c r="D7" s="12" t="str">
        <f ca="1">IEAData!H9</f>
        <v>RESNGA</v>
      </c>
      <c r="E7" s="33">
        <f ca="1">IEAData!B81*IEAData!B52*AC7</f>
        <v>0.12345631663753417</v>
      </c>
      <c r="F7" s="33">
        <f ca="1">AuxData!B81*AuxData!B52*AD7</f>
        <v>6.5946171056779634E-2</v>
      </c>
      <c r="G7" s="29">
        <v>0.78</v>
      </c>
      <c r="H7" s="343" t="str">
        <f t="shared" ref="H7:H14" si="0">RIGHT(D7,3)</f>
        <v>NGA</v>
      </c>
      <c r="I7" s="65">
        <v>1.08</v>
      </c>
      <c r="J7" s="6">
        <f t="shared" ref="J7:J20" si="1">G7</f>
        <v>0.78</v>
      </c>
      <c r="K7" s="6">
        <f t="shared" ref="K7:K20" si="2">J7^IF(J7&gt;1,I7,1/I7)</f>
        <v>0.7944884630222161</v>
      </c>
      <c r="L7" s="38">
        <f t="shared" ref="L7:L20" ca="1" si="3">F7*K7</f>
        <v>5.2393472085101006E-2</v>
      </c>
      <c r="M7" s="19">
        <v>1</v>
      </c>
      <c r="N7" s="32">
        <v>0.15</v>
      </c>
      <c r="O7" s="32">
        <v>20</v>
      </c>
      <c r="P7" s="160">
        <f ca="1">E7*J7/$N7</f>
        <v>0.64197284651517783</v>
      </c>
      <c r="Q7" s="104">
        <f ca="1">F7*K7/$N7</f>
        <v>0.34928981390067337</v>
      </c>
      <c r="R7" s="104">
        <f t="shared" ref="R7:R19" ca="1" si="4">MAX(P7*0.33,Q7*AA7)</f>
        <v>0.21185103935000871</v>
      </c>
      <c r="S7" s="104">
        <f t="shared" ref="S7:S15" ca="1" si="5">R7*$AB7</f>
        <v>8.4740415740003489E-2</v>
      </c>
      <c r="T7" s="40"/>
      <c r="U7" s="40"/>
      <c r="V7" s="40">
        <f t="shared" ref="V7:V19" ca="1" si="6">N7*$I$43</f>
        <v>0.15957446808510642</v>
      </c>
      <c r="W7" s="258">
        <f t="shared" ref="W7:W19" ca="1" si="7">IF($L$21=0,0,L7/$L$21)</f>
        <v>7.160967740926957E-4</v>
      </c>
      <c r="Y7" s="430">
        <f ca="1">IF(B6="*",MATCH(LEFT(B7,3),OFFSET(CalibData!$C$78,1,0,100),0),Y6)</f>
        <v>1</v>
      </c>
      <c r="Z7" s="430"/>
      <c r="AA7" s="430">
        <v>0.45</v>
      </c>
      <c r="AB7" s="430">
        <v>0.4</v>
      </c>
      <c r="AC7" s="359">
        <f ca="1">OFFSET(TechShar,$Y7+$Z7,AC$3)</f>
        <v>1</v>
      </c>
      <c r="AD7" s="359">
        <f ca="1">OFFSET(TechShar,$Y7+$Z7,AD$3)</f>
        <v>1</v>
      </c>
    </row>
    <row r="8" spans="1:30" ht="15" customHeight="1">
      <c r="B8" s="76" t="s">
        <v>338</v>
      </c>
      <c r="C8" s="378" t="s">
        <v>285</v>
      </c>
      <c r="D8" s="12" t="str">
        <f ca="1">IEAData!H9</f>
        <v>RESNGA</v>
      </c>
      <c r="E8" s="33">
        <f ca="1">IEAData!B81*IEAData!B52*AC8</f>
        <v>0</v>
      </c>
      <c r="F8" s="33">
        <f ca="1">AuxData!B81*AuxData!B52*AD8</f>
        <v>0</v>
      </c>
      <c r="G8" s="29">
        <v>1.8</v>
      </c>
      <c r="H8" s="343" t="str">
        <f t="shared" si="0"/>
        <v>NGA</v>
      </c>
      <c r="I8" s="65">
        <v>1.05</v>
      </c>
      <c r="J8" s="6">
        <f t="shared" si="1"/>
        <v>1.8</v>
      </c>
      <c r="K8" s="6">
        <f t="shared" si="2"/>
        <v>1.853685831102299</v>
      </c>
      <c r="L8" s="38">
        <f t="shared" ca="1" si="3"/>
        <v>0</v>
      </c>
      <c r="M8" s="19">
        <v>1</v>
      </c>
      <c r="N8" s="32">
        <v>0.15</v>
      </c>
      <c r="O8" s="32">
        <v>20</v>
      </c>
      <c r="P8" s="161">
        <f t="shared" ref="P8:P20" ca="1" si="8">E8*J8/$N8</f>
        <v>0</v>
      </c>
      <c r="Q8" s="104">
        <f t="shared" ref="Q8:Q20" ca="1" si="9">F8*K8/N8</f>
        <v>0</v>
      </c>
      <c r="R8" s="104">
        <f t="shared" ca="1" si="4"/>
        <v>0</v>
      </c>
      <c r="S8" s="104">
        <f t="shared" ca="1" si="5"/>
        <v>0</v>
      </c>
      <c r="T8" s="40"/>
      <c r="U8" s="40"/>
      <c r="V8" s="40">
        <f t="shared" ca="1" si="6"/>
        <v>0.15957446808510642</v>
      </c>
      <c r="W8" s="258">
        <f t="shared" ca="1" si="7"/>
        <v>0</v>
      </c>
      <c r="Y8" s="430">
        <f ca="1">IF(B7="*",MATCH(LEFT(B8,3),OFFSET(CalibData!$C$78,1,0,100),0),Y7)</f>
        <v>1</v>
      </c>
      <c r="Z8" s="430"/>
      <c r="AA8" s="430">
        <v>0.45</v>
      </c>
      <c r="AB8" s="430">
        <v>0.4</v>
      </c>
      <c r="AC8" s="358">
        <f ca="1">1-AC7</f>
        <v>0</v>
      </c>
      <c r="AD8" s="358">
        <f ca="1">1-AD7</f>
        <v>0</v>
      </c>
    </row>
    <row r="9" spans="1:30" ht="15" customHeight="1">
      <c r="B9" s="76" t="s">
        <v>223</v>
      </c>
      <c r="C9" s="378" t="s">
        <v>286</v>
      </c>
      <c r="D9" s="12" t="str">
        <f ca="1">IEAData!H10</f>
        <v>RESDST</v>
      </c>
      <c r="E9" s="33">
        <f ca="1">IEAData!B82*IEAData!B53</f>
        <v>13.809538965658399</v>
      </c>
      <c r="F9" s="33">
        <f ca="1">AuxData!B82*AuxData!B53</f>
        <v>9.3661410236348974</v>
      </c>
      <c r="G9" s="29">
        <v>0.75</v>
      </c>
      <c r="H9" s="343" t="str">
        <f t="shared" si="0"/>
        <v>DST</v>
      </c>
      <c r="I9" s="65">
        <v>1.08</v>
      </c>
      <c r="J9" s="6">
        <f t="shared" si="1"/>
        <v>0.75</v>
      </c>
      <c r="K9" s="6">
        <f t="shared" si="2"/>
        <v>0.76615384351661076</v>
      </c>
      <c r="L9" s="38">
        <f t="shared" ca="1" si="3"/>
        <v>7.1759049441764793</v>
      </c>
      <c r="M9" s="19">
        <v>1</v>
      </c>
      <c r="N9" s="32">
        <v>0.15</v>
      </c>
      <c r="O9" s="32">
        <v>20</v>
      </c>
      <c r="P9" s="161">
        <f t="shared" ca="1" si="8"/>
        <v>69.047694828292009</v>
      </c>
      <c r="Q9" s="104">
        <f t="shared" ca="1" si="9"/>
        <v>47.839366294509865</v>
      </c>
      <c r="R9" s="104">
        <f t="shared" ca="1" si="4"/>
        <v>22.785739293336363</v>
      </c>
      <c r="S9" s="104">
        <f t="shared" ca="1" si="5"/>
        <v>9.1142957173345458</v>
      </c>
      <c r="T9" s="40"/>
      <c r="U9" s="40"/>
      <c r="V9" s="40">
        <f t="shared" ca="1" si="6"/>
        <v>0.15957446808510642</v>
      </c>
      <c r="W9" s="258">
        <f t="shared" ca="1" si="7"/>
        <v>9.8077912709699289E-2</v>
      </c>
      <c r="Y9" s="430">
        <f ca="1">IF(B8="*",MATCH(LEFT(B9,3),OFFSET(CalibData!$C$78,1,0,100),0),Y8)</f>
        <v>1</v>
      </c>
      <c r="Z9" s="430"/>
      <c r="AA9" s="430">
        <v>0.45</v>
      </c>
      <c r="AB9" s="430">
        <v>0.4</v>
      </c>
      <c r="AC9" s="294"/>
      <c r="AD9" s="358"/>
    </row>
    <row r="10" spans="1:30" ht="15" customHeight="1">
      <c r="B10" s="265" t="s">
        <v>224</v>
      </c>
      <c r="C10" s="404" t="s">
        <v>131</v>
      </c>
      <c r="D10" s="12" t="str">
        <f ca="1">IEAData!H11</f>
        <v>RESHFO</v>
      </c>
      <c r="E10" s="33">
        <f ca="1">IEAData!B83*IEAData!B54</f>
        <v>0</v>
      </c>
      <c r="F10" s="33">
        <f ca="1">AuxData!B83*AuxData!B54</f>
        <v>0</v>
      </c>
      <c r="G10" s="69">
        <v>0.75</v>
      </c>
      <c r="H10" s="343" t="str">
        <f t="shared" si="0"/>
        <v>HFO</v>
      </c>
      <c r="I10" s="65">
        <v>1.08</v>
      </c>
      <c r="J10" s="67">
        <f t="shared" si="1"/>
        <v>0.75</v>
      </c>
      <c r="K10" s="6">
        <f t="shared" si="2"/>
        <v>0.76615384351661076</v>
      </c>
      <c r="L10" s="38">
        <f t="shared" ca="1" si="3"/>
        <v>0</v>
      </c>
      <c r="M10" s="19">
        <v>1</v>
      </c>
      <c r="N10" s="65">
        <v>0.15</v>
      </c>
      <c r="O10" s="68">
        <v>20</v>
      </c>
      <c r="P10" s="161">
        <f t="shared" ca="1" si="8"/>
        <v>0</v>
      </c>
      <c r="Q10" s="104">
        <f t="shared" ca="1" si="9"/>
        <v>0</v>
      </c>
      <c r="R10" s="104">
        <f t="shared" ca="1" si="4"/>
        <v>0</v>
      </c>
      <c r="S10" s="104">
        <f t="shared" ca="1" si="5"/>
        <v>0</v>
      </c>
      <c r="T10" s="53"/>
      <c r="U10" s="40"/>
      <c r="V10" s="40">
        <f t="shared" ca="1" si="6"/>
        <v>0.15957446808510642</v>
      </c>
      <c r="W10" s="258">
        <f t="shared" ca="1" si="7"/>
        <v>0</v>
      </c>
      <c r="Y10" s="430">
        <f ca="1">IF(B9="*",MATCH(LEFT(B10,3),OFFSET(CalibData!$C$78,1,0,100),0),Y9)</f>
        <v>1</v>
      </c>
      <c r="Z10" s="430"/>
      <c r="AA10" s="430">
        <v>0.45</v>
      </c>
      <c r="AB10" s="430">
        <v>0.4</v>
      </c>
      <c r="AC10" s="294"/>
      <c r="AD10" s="358"/>
    </row>
    <row r="11" spans="1:30" ht="15" customHeight="1">
      <c r="B11" s="265" t="s">
        <v>298</v>
      </c>
      <c r="C11" s="402" t="s">
        <v>287</v>
      </c>
      <c r="D11" s="12" t="str">
        <f ca="1">IEAData!H12</f>
        <v>RESKER</v>
      </c>
      <c r="E11" s="33">
        <f ca="1">IEAData!B84*IEAData!B55</f>
        <v>0</v>
      </c>
      <c r="F11" s="33">
        <f ca="1">AuxData!B84*AuxData!B55</f>
        <v>0</v>
      </c>
      <c r="G11" s="69">
        <v>0.72</v>
      </c>
      <c r="H11" s="343" t="str">
        <f t="shared" si="0"/>
        <v>KER</v>
      </c>
      <c r="I11" s="65">
        <v>1.08</v>
      </c>
      <c r="J11" s="67">
        <f t="shared" si="1"/>
        <v>0.72</v>
      </c>
      <c r="K11" s="6">
        <f t="shared" si="2"/>
        <v>0.73773512178168144</v>
      </c>
      <c r="L11" s="38">
        <f t="shared" ca="1" si="3"/>
        <v>0</v>
      </c>
      <c r="M11" s="19">
        <v>1</v>
      </c>
      <c r="N11" s="65">
        <v>0.15</v>
      </c>
      <c r="O11" s="68">
        <v>20</v>
      </c>
      <c r="P11" s="161">
        <f t="shared" ca="1" si="8"/>
        <v>0</v>
      </c>
      <c r="Q11" s="104">
        <f t="shared" ca="1" si="9"/>
        <v>0</v>
      </c>
      <c r="R11" s="104">
        <f t="shared" ca="1" si="4"/>
        <v>0</v>
      </c>
      <c r="S11" s="104">
        <f t="shared" ca="1" si="5"/>
        <v>0</v>
      </c>
      <c r="T11" s="53"/>
      <c r="U11" s="40"/>
      <c r="V11" s="40">
        <f t="shared" ca="1" si="6"/>
        <v>0.15957446808510642</v>
      </c>
      <c r="W11" s="258">
        <f t="shared" ca="1" si="7"/>
        <v>0</v>
      </c>
      <c r="Y11" s="430">
        <f ca="1">IF(B10="*",MATCH(LEFT(B11,3),OFFSET(CalibData!$C$78,1,0,100),0),Y10)</f>
        <v>1</v>
      </c>
      <c r="Z11" s="430"/>
      <c r="AA11" s="430">
        <v>0.45</v>
      </c>
      <c r="AB11" s="430">
        <v>0.4</v>
      </c>
      <c r="AC11" s="294"/>
      <c r="AD11" s="358"/>
    </row>
    <row r="12" spans="1:30" ht="15" customHeight="1">
      <c r="B12" s="76" t="s">
        <v>1032</v>
      </c>
      <c r="C12" s="378" t="s">
        <v>1039</v>
      </c>
      <c r="D12" s="12" t="str">
        <f ca="1">IEAData!H13</f>
        <v>RESCOP</v>
      </c>
      <c r="E12" s="33">
        <f ca="1">IEAData!B85*IEAData!B56</f>
        <v>0.38218750183788081</v>
      </c>
      <c r="F12" s="33">
        <f ca="1">AuxData!B85*AuxData!B56</f>
        <v>0.10082613464000001</v>
      </c>
      <c r="G12" s="30">
        <v>0.69</v>
      </c>
      <c r="H12" s="343" t="str">
        <f t="shared" si="0"/>
        <v>COP</v>
      </c>
      <c r="I12" s="65">
        <v>1.08</v>
      </c>
      <c r="J12" s="6">
        <f t="shared" si="1"/>
        <v>0.69</v>
      </c>
      <c r="K12" s="6">
        <f t="shared" si="2"/>
        <v>0.70922852602515762</v>
      </c>
      <c r="L12" s="38">
        <f t="shared" ca="1" si="3"/>
        <v>7.150877085554129E-2</v>
      </c>
      <c r="M12" s="19">
        <v>1</v>
      </c>
      <c r="N12" s="32">
        <v>0.15</v>
      </c>
      <c r="O12" s="32">
        <v>20</v>
      </c>
      <c r="P12" s="161">
        <f t="shared" ca="1" si="8"/>
        <v>1.7580625084542516</v>
      </c>
      <c r="Q12" s="104">
        <f t="shared" ca="1" si="9"/>
        <v>0.47672513903694197</v>
      </c>
      <c r="R12" s="104">
        <f t="shared" ca="1" si="4"/>
        <v>0.58016062778990307</v>
      </c>
      <c r="S12" s="104">
        <f t="shared" ca="1" si="5"/>
        <v>0.23206425111596124</v>
      </c>
      <c r="T12" s="40"/>
      <c r="U12" s="40"/>
      <c r="V12" s="40">
        <f t="shared" ca="1" si="6"/>
        <v>0.15957446808510642</v>
      </c>
      <c r="W12" s="258">
        <f t="shared" ca="1" si="7"/>
        <v>9.7735840155454309E-4</v>
      </c>
      <c r="Y12" s="430">
        <f ca="1">IF(B11="*",MATCH(LEFT(B12,3),OFFSET(CalibData!$C$78,1,0,100),0),Y11)</f>
        <v>1</v>
      </c>
      <c r="Z12" s="430"/>
      <c r="AA12" s="430">
        <v>0.45</v>
      </c>
      <c r="AB12" s="430">
        <v>0.4</v>
      </c>
      <c r="AC12" s="294"/>
      <c r="AD12" s="358"/>
    </row>
    <row r="13" spans="1:30" ht="15" customHeight="1">
      <c r="B13" s="76" t="s">
        <v>225</v>
      </c>
      <c r="C13" s="378" t="s">
        <v>288</v>
      </c>
      <c r="D13" s="12" t="str">
        <f ca="1">IEAData!H14</f>
        <v>RESLPG</v>
      </c>
      <c r="E13" s="33">
        <f ca="1">IEAData!B86*IEAData!B57</f>
        <v>0.16145640575999995</v>
      </c>
      <c r="F13" s="33">
        <f ca="1">AuxData!B86*AuxData!B57</f>
        <v>7.1760584999999974E-2</v>
      </c>
      <c r="G13" s="30">
        <v>0.74</v>
      </c>
      <c r="H13" s="343" t="str">
        <f t="shared" si="0"/>
        <v>LPG</v>
      </c>
      <c r="I13" s="65">
        <v>1.08</v>
      </c>
      <c r="J13" s="6">
        <f t="shared" si="1"/>
        <v>0.74</v>
      </c>
      <c r="K13" s="6">
        <f t="shared" si="2"/>
        <v>0.75669046067973111</v>
      </c>
      <c r="L13" s="38">
        <f t="shared" ca="1" si="3"/>
        <v>5.4300550122296981E-2</v>
      </c>
      <c r="M13" s="19">
        <v>1</v>
      </c>
      <c r="N13" s="32">
        <v>0.15</v>
      </c>
      <c r="O13" s="32">
        <v>20</v>
      </c>
      <c r="P13" s="161">
        <f t="shared" ca="1" si="8"/>
        <v>0.79651826841599982</v>
      </c>
      <c r="Q13" s="104">
        <f t="shared" ca="1" si="9"/>
        <v>0.36200366748197987</v>
      </c>
      <c r="R13" s="104">
        <f t="shared" ca="1" si="4"/>
        <v>0.26285102857727993</v>
      </c>
      <c r="S13" s="104">
        <f t="shared" ca="1" si="5"/>
        <v>0.10514041143091198</v>
      </c>
      <c r="T13" s="40"/>
      <c r="U13" s="40"/>
      <c r="V13" s="40">
        <f t="shared" ca="1" si="6"/>
        <v>0.15957446808510642</v>
      </c>
      <c r="W13" s="258">
        <f t="shared" ca="1" si="7"/>
        <v>7.421620905535114E-4</v>
      </c>
      <c r="Y13" s="430">
        <f ca="1">IF(B12="*",MATCH(LEFT(B13,3),OFFSET(CalibData!$C$78,1,0,100),0),Y12)</f>
        <v>1</v>
      </c>
      <c r="Z13" s="430"/>
      <c r="AA13" s="430">
        <v>0.45</v>
      </c>
      <c r="AB13" s="430">
        <v>0.4</v>
      </c>
      <c r="AC13" s="294"/>
      <c r="AD13" s="358"/>
    </row>
    <row r="14" spans="1:30" ht="15" customHeight="1">
      <c r="B14" s="76" t="s">
        <v>226</v>
      </c>
      <c r="C14" s="378" t="s">
        <v>917</v>
      </c>
      <c r="D14" s="12" t="str">
        <f ca="1">IEAData!H15</f>
        <v>RESBIO</v>
      </c>
      <c r="E14" s="33">
        <f ca="1">IEAData!B87*IEAData!B58*AC14</f>
        <v>13.00491742268661</v>
      </c>
      <c r="F14" s="33">
        <f ca="1">AuxData!B87*AuxData!B58*AD14</f>
        <v>11.70879025231366</v>
      </c>
      <c r="G14" s="30">
        <v>0.68</v>
      </c>
      <c r="H14" s="343" t="str">
        <f t="shared" si="0"/>
        <v>BIO</v>
      </c>
      <c r="I14" s="65">
        <v>1.08</v>
      </c>
      <c r="J14" s="6">
        <f t="shared" si="1"/>
        <v>0.68</v>
      </c>
      <c r="K14" s="6">
        <f t="shared" si="2"/>
        <v>0.69970609972400222</v>
      </c>
      <c r="L14" s="38">
        <f t="shared" ca="1" si="3"/>
        <v>8.1927119599328062</v>
      </c>
      <c r="M14" s="19">
        <v>1</v>
      </c>
      <c r="N14" s="32">
        <v>0.15</v>
      </c>
      <c r="O14" s="32">
        <v>20</v>
      </c>
      <c r="P14" s="161">
        <f t="shared" ca="1" si="8"/>
        <v>58.955625649512641</v>
      </c>
      <c r="Q14" s="104">
        <f t="shared" ca="1" si="9"/>
        <v>54.618079732885377</v>
      </c>
      <c r="R14" s="104">
        <f t="shared" ca="1" si="4"/>
        <v>30.03994385308696</v>
      </c>
      <c r="S14" s="104">
        <f t="shared" ca="1" si="5"/>
        <v>15.01997192654348</v>
      </c>
      <c r="T14" s="185"/>
      <c r="U14" s="40"/>
      <c r="V14" s="40">
        <f t="shared" ca="1" si="6"/>
        <v>0.15957446808510642</v>
      </c>
      <c r="W14" s="258">
        <f t="shared" ca="1" si="7"/>
        <v>0.11197529715246431</v>
      </c>
      <c r="Y14" s="430">
        <f ca="1">IF(B13="*",MATCH(LEFT(B14,3),OFFSET(CalibData!$C$78,1,0,100),0),Y13)</f>
        <v>1</v>
      </c>
      <c r="Z14" s="430">
        <v>1</v>
      </c>
      <c r="AA14" s="430">
        <v>0.55000000000000004</v>
      </c>
      <c r="AB14" s="430">
        <v>0.5</v>
      </c>
      <c r="AC14" s="359">
        <f ca="1">OFFSET(TechShar,$Y14+$Z14,AC$3)</f>
        <v>0.3</v>
      </c>
      <c r="AD14" s="359">
        <f ca="1">OFFSET(TechShar,$Y14+$Z14,AD$3)</f>
        <v>0.3</v>
      </c>
    </row>
    <row r="15" spans="1:30" ht="15" customHeight="1">
      <c r="B15" s="76" t="s">
        <v>1010</v>
      </c>
      <c r="C15" s="378" t="s">
        <v>980</v>
      </c>
      <c r="D15" s="12" t="s">
        <v>931</v>
      </c>
      <c r="E15" s="33">
        <f ca="1">IEAData!B87*IEAData!B58*AC15</f>
        <v>3.4679779793830963</v>
      </c>
      <c r="F15" s="33">
        <f ca="1">AuxData!B87*AuxData!B58*AD15</f>
        <v>3.5126370756940979</v>
      </c>
      <c r="G15" s="30">
        <v>0.78400000000000003</v>
      </c>
      <c r="H15" s="343" t="str">
        <f>MID(B15,4,3)</f>
        <v>BIO</v>
      </c>
      <c r="I15" s="65">
        <v>1.08</v>
      </c>
      <c r="J15" s="6">
        <f t="shared" si="1"/>
        <v>0.78400000000000003</v>
      </c>
      <c r="K15" s="6">
        <f t="shared" si="2"/>
        <v>0.79826024763451831</v>
      </c>
      <c r="L15" s="38">
        <f t="shared" ca="1" si="3"/>
        <v>2.803998541893761</v>
      </c>
      <c r="M15" s="19">
        <v>1</v>
      </c>
      <c r="N15" s="32">
        <v>0.15</v>
      </c>
      <c r="O15" s="32">
        <v>20</v>
      </c>
      <c r="P15" s="161">
        <f t="shared" ca="1" si="8"/>
        <v>18.12596490557565</v>
      </c>
      <c r="Q15" s="104">
        <f t="shared" ca="1" si="9"/>
        <v>18.693323612625075</v>
      </c>
      <c r="R15" s="104">
        <f t="shared" ca="1" si="4"/>
        <v>10.281327986943792</v>
      </c>
      <c r="S15" s="104">
        <f t="shared" ca="1" si="5"/>
        <v>5.1406639934718958</v>
      </c>
      <c r="T15" s="185"/>
      <c r="U15" s="40"/>
      <c r="V15" s="40">
        <f t="shared" ca="1" si="6"/>
        <v>0.15957446808510642</v>
      </c>
      <c r="W15" s="258">
        <f t="shared" ca="1" si="7"/>
        <v>3.8324131432811374E-2</v>
      </c>
      <c r="Y15" s="430">
        <f ca="1">IF(B14="*",MATCH(LEFT(B15,3),OFFSET(CalibData!$C$78,1,0,100),0),Y14)</f>
        <v>1</v>
      </c>
      <c r="Z15" s="430">
        <v>2</v>
      </c>
      <c r="AA15" s="430">
        <v>0.55000000000000004</v>
      </c>
      <c r="AB15" s="430">
        <v>0.5</v>
      </c>
      <c r="AC15" s="359">
        <f ca="1">OFFSET(TechShar,$Y15+$Z15,AC$3)</f>
        <v>0.08</v>
      </c>
      <c r="AD15" s="359">
        <f ca="1">OFFSET(TechShar,$Y15+$Z15,AD$3)</f>
        <v>0.09</v>
      </c>
    </row>
    <row r="16" spans="1:30" ht="15" customHeight="1">
      <c r="B16" s="76" t="s">
        <v>916</v>
      </c>
      <c r="C16" s="378" t="s">
        <v>289</v>
      </c>
      <c r="D16" s="12" t="str">
        <f ca="1">IEAData!H15</f>
        <v>RESBIO</v>
      </c>
      <c r="E16" s="33">
        <f ca="1">IEAData!B87*IEAData!B58*AC16</f>
        <v>26.876829340218993</v>
      </c>
      <c r="F16" s="33">
        <f ca="1">AuxData!B87*AuxData!B58*AD16</f>
        <v>23.807873513037773</v>
      </c>
      <c r="G16" s="30">
        <f ca="1">0.6*CalibData!$N$131</f>
        <v>0.54600000000000004</v>
      </c>
      <c r="H16" s="343" t="str">
        <f>RIGHT(D16,3)</f>
        <v>BIO</v>
      </c>
      <c r="I16" s="65">
        <v>1.08</v>
      </c>
      <c r="J16" s="6">
        <f t="shared" ca="1" si="1"/>
        <v>0.54600000000000004</v>
      </c>
      <c r="K16" s="6">
        <f t="shared" ca="1" si="2"/>
        <v>0.57103122167167919</v>
      </c>
      <c r="L16" s="38">
        <f t="shared" ca="1" si="3"/>
        <v>13.595039097554771</v>
      </c>
      <c r="M16" s="19">
        <v>1</v>
      </c>
      <c r="N16" s="32">
        <v>0.15</v>
      </c>
      <c r="O16" s="32">
        <v>20</v>
      </c>
      <c r="P16" s="161">
        <f t="shared" ca="1" si="8"/>
        <v>97.831658798397143</v>
      </c>
      <c r="Q16" s="104">
        <f t="shared" ca="1" si="9"/>
        <v>90.633593983698475</v>
      </c>
      <c r="R16" s="104">
        <f t="shared" ca="1" si="4"/>
        <v>32.284447403471056</v>
      </c>
      <c r="S16" s="104">
        <f ca="1">R16*0.99^10</f>
        <v>29.197475533263759</v>
      </c>
      <c r="T16" s="104">
        <f ca="1">S16*0.985^20</f>
        <v>21.580917928395845</v>
      </c>
      <c r="U16" s="40"/>
      <c r="V16" s="40">
        <f t="shared" ca="1" si="6"/>
        <v>0.15957446808510642</v>
      </c>
      <c r="W16" s="258">
        <f t="shared" ca="1" si="7"/>
        <v>0.18581253072157944</v>
      </c>
      <c r="Y16" s="430">
        <f ca="1">IF(B15="*",MATCH(LEFT(B16,3),OFFSET(CalibData!$C$78,1,0,100),0),Y15)</f>
        <v>1</v>
      </c>
      <c r="Z16" s="430"/>
      <c r="AA16" s="430"/>
      <c r="AB16" s="430"/>
      <c r="AC16" s="359">
        <f ca="1">1-AC14-AC15</f>
        <v>0.62</v>
      </c>
      <c r="AD16" s="359">
        <f ca="1">1-AD14-AD15</f>
        <v>0.61</v>
      </c>
    </row>
    <row r="17" spans="2:30" ht="15" customHeight="1">
      <c r="B17" s="76" t="s">
        <v>227</v>
      </c>
      <c r="C17" s="378" t="s">
        <v>291</v>
      </c>
      <c r="D17" s="12" t="s">
        <v>839</v>
      </c>
      <c r="E17" s="33">
        <f ca="1">IEAData!B88*IEAData!B59*AC17</f>
        <v>20.692684652163312</v>
      </c>
      <c r="F17" s="33">
        <f ca="1">AuxData!B88*AuxData!B59*AD17</f>
        <v>17.801738371551352</v>
      </c>
      <c r="G17" s="30">
        <v>0.99</v>
      </c>
      <c r="H17" s="343" t="str">
        <f>RIGHT(D17,3)</f>
        <v>ELC</v>
      </c>
      <c r="I17" s="65">
        <v>1.08</v>
      </c>
      <c r="J17" s="6">
        <f t="shared" si="1"/>
        <v>0.99</v>
      </c>
      <c r="K17" s="6">
        <f t="shared" si="2"/>
        <v>0.99073729904346342</v>
      </c>
      <c r="L17" s="38">
        <f t="shared" ca="1" si="3"/>
        <v>17.636846192509168</v>
      </c>
      <c r="M17" s="19">
        <v>1</v>
      </c>
      <c r="N17" s="32">
        <v>0.15</v>
      </c>
      <c r="O17" s="32">
        <v>20</v>
      </c>
      <c r="P17" s="161">
        <f t="shared" ca="1" si="8"/>
        <v>136.57171870427786</v>
      </c>
      <c r="Q17" s="104">
        <f t="shared" ca="1" si="9"/>
        <v>117.57897461672779</v>
      </c>
      <c r="R17" s="104">
        <f t="shared" ca="1" si="4"/>
        <v>58.789487308363896</v>
      </c>
      <c r="S17" s="104">
        <f ca="1">R17*$AB17</f>
        <v>23.51579492334556</v>
      </c>
      <c r="T17" s="40"/>
      <c r="U17" s="40"/>
      <c r="V17" s="40">
        <f t="shared" ca="1" si="6"/>
        <v>0.15957446808510642</v>
      </c>
      <c r="W17" s="258">
        <f t="shared" ca="1" si="7"/>
        <v>0.2410546230475214</v>
      </c>
      <c r="Y17" s="430">
        <f ca="1">IF(B16="*",MATCH(LEFT(B17,3),OFFSET(CalibData!$C$78,1,0,100),0),Y16)</f>
        <v>1</v>
      </c>
      <c r="Z17" s="430">
        <v>3</v>
      </c>
      <c r="AA17" s="430">
        <v>0.5</v>
      </c>
      <c r="AB17" s="430">
        <v>0.4</v>
      </c>
      <c r="AC17" s="359">
        <f ca="1">OFFSET(TechShar,$Y17+$Z17,AC$3)</f>
        <v>0.85</v>
      </c>
      <c r="AD17" s="359">
        <f ca="1">OFFSET(TechShar,$Y17+$Z17,AD$3)</f>
        <v>0.72</v>
      </c>
    </row>
    <row r="18" spans="2:30" ht="15" customHeight="1">
      <c r="B18" s="265" t="s">
        <v>228</v>
      </c>
      <c r="C18" s="402" t="s">
        <v>978</v>
      </c>
      <c r="D18" s="12" t="s">
        <v>926</v>
      </c>
      <c r="E18" s="33">
        <f ca="1">IEAData!B88*IEAData!B59*AC18</f>
        <v>3.6516502327347027</v>
      </c>
      <c r="F18" s="33">
        <f ca="1">AuxData!B88*AuxData!B59*AD18</f>
        <v>6.9228982556033039</v>
      </c>
      <c r="G18" s="65">
        <v>2.63</v>
      </c>
      <c r="H18" s="343" t="str">
        <f>RIGHT(D18,3)</f>
        <v>ELC</v>
      </c>
      <c r="I18" s="65">
        <v>1.0269999999999999</v>
      </c>
      <c r="J18" s="67">
        <f t="shared" si="1"/>
        <v>2.63</v>
      </c>
      <c r="K18" s="6">
        <f t="shared" si="2"/>
        <v>2.6995697542551107</v>
      </c>
      <c r="L18" s="38">
        <f t="shared" ca="1" si="3"/>
        <v>18.688846742612146</v>
      </c>
      <c r="M18" s="19">
        <v>1</v>
      </c>
      <c r="N18" s="65">
        <v>0.15</v>
      </c>
      <c r="O18" s="66">
        <v>15</v>
      </c>
      <c r="P18" s="161">
        <f t="shared" ca="1" si="8"/>
        <v>64.025600747281786</v>
      </c>
      <c r="Q18" s="104">
        <f t="shared" ca="1" si="9"/>
        <v>124.59231161741431</v>
      </c>
      <c r="R18" s="104">
        <f t="shared" ca="1" si="4"/>
        <v>68.525771389577869</v>
      </c>
      <c r="S18" s="104">
        <f ca="1">R18*$AB18</f>
        <v>34.262885694788935</v>
      </c>
      <c r="T18" s="53"/>
      <c r="U18" s="53"/>
      <c r="V18" s="53">
        <f t="shared" ca="1" si="6"/>
        <v>0.15957446808510642</v>
      </c>
      <c r="W18" s="258">
        <f t="shared" ca="1" si="7"/>
        <v>0.25543302116263139</v>
      </c>
      <c r="Y18" s="430">
        <f ca="1">IF(B17="*",MATCH(LEFT(B18,3),OFFSET(CalibData!$C$78,1,0,100),0),Y17)</f>
        <v>1</v>
      </c>
      <c r="Z18" s="430"/>
      <c r="AA18" s="430">
        <v>0.55000000000000004</v>
      </c>
      <c r="AB18" s="430">
        <v>0.5</v>
      </c>
      <c r="AC18" s="358">
        <f ca="1">1-AC17</f>
        <v>0.15000000000000002</v>
      </c>
      <c r="AD18" s="358">
        <f ca="1">1-AD17</f>
        <v>0.28000000000000003</v>
      </c>
    </row>
    <row r="19" spans="2:30" ht="15" customHeight="1">
      <c r="B19" s="265" t="s">
        <v>230</v>
      </c>
      <c r="C19" s="402" t="s">
        <v>292</v>
      </c>
      <c r="D19" s="36" t="str">
        <f ca="1">IEAData!H17</f>
        <v>RESHET</v>
      </c>
      <c r="E19" s="33">
        <f ca="1">IEAData!B89*IEAData!B60</f>
        <v>5.4051761262338607</v>
      </c>
      <c r="F19" s="33">
        <f ca="1">AuxData!B89*AuxData!B60</f>
        <v>5.1388025068049998</v>
      </c>
      <c r="G19" s="65">
        <v>0.95</v>
      </c>
      <c r="H19" s="343" t="str">
        <f>RIGHT(D19,3)</f>
        <v>HET</v>
      </c>
      <c r="I19" s="65">
        <v>1.05</v>
      </c>
      <c r="J19" s="67">
        <f t="shared" si="1"/>
        <v>0.95</v>
      </c>
      <c r="K19" s="6">
        <f t="shared" si="2"/>
        <v>0.95232324709099225</v>
      </c>
      <c r="L19" s="38">
        <f t="shared" ca="1" si="3"/>
        <v>4.8938010894398687</v>
      </c>
      <c r="M19" s="19">
        <v>1</v>
      </c>
      <c r="N19" s="65">
        <v>0.15</v>
      </c>
      <c r="O19" s="66">
        <v>20</v>
      </c>
      <c r="P19" s="161">
        <f t="shared" ca="1" si="8"/>
        <v>34.232782132814449</v>
      </c>
      <c r="Q19" s="104">
        <f t="shared" ca="1" si="9"/>
        <v>32.625340596265794</v>
      </c>
      <c r="R19" s="104">
        <f t="shared" ca="1" si="4"/>
        <v>24.469005447199343</v>
      </c>
      <c r="S19" s="104">
        <f ca="1">R19*$AB19</f>
        <v>12.234502723599672</v>
      </c>
      <c r="T19" s="53"/>
      <c r="U19" s="53"/>
      <c r="V19" s="53">
        <f t="shared" ca="1" si="6"/>
        <v>0.15957446808510642</v>
      </c>
      <c r="W19" s="258">
        <f t="shared" ca="1" si="7"/>
        <v>6.6886866507092149E-2</v>
      </c>
      <c r="Y19" s="430">
        <f ca="1">IF(B18="*",MATCH(LEFT(B19,3),OFFSET(CalibData!$C$78,1,0,100),0),Y18)</f>
        <v>1</v>
      </c>
      <c r="Z19" s="430"/>
      <c r="AA19" s="430">
        <v>0.75</v>
      </c>
      <c r="AB19" s="430">
        <v>0.5</v>
      </c>
      <c r="AC19" s="299"/>
      <c r="AD19" s="358"/>
    </row>
    <row r="20" spans="2:30" ht="15" customHeight="1" thickBot="1">
      <c r="B20" s="266" t="s">
        <v>229</v>
      </c>
      <c r="C20" s="403" t="s">
        <v>293</v>
      </c>
      <c r="D20" s="24" t="str">
        <f ca="1">IEAData!H$18</f>
        <v>RESGEO</v>
      </c>
      <c r="E20" s="34">
        <f ca="1">IEAData!B90*IEAData!B61</f>
        <v>0</v>
      </c>
      <c r="F20" s="34">
        <f ca="1">AuxData!B90*AuxData!B61</f>
        <v>0</v>
      </c>
      <c r="G20" s="71">
        <v>3</v>
      </c>
      <c r="H20" s="464" t="str">
        <f>RIGHT(D20,3)</f>
        <v>GEO</v>
      </c>
      <c r="I20" s="86">
        <v>1.08</v>
      </c>
      <c r="J20" s="21">
        <f t="shared" si="1"/>
        <v>3</v>
      </c>
      <c r="K20" s="21">
        <f t="shared" si="2"/>
        <v>3.2756006988416777</v>
      </c>
      <c r="L20" s="465">
        <f t="shared" ca="1" si="3"/>
        <v>0</v>
      </c>
      <c r="M20" s="73">
        <v>1</v>
      </c>
      <c r="N20" s="31">
        <v>0.15</v>
      </c>
      <c r="O20" s="72">
        <v>20</v>
      </c>
      <c r="P20" s="162">
        <f t="shared" ca="1" si="8"/>
        <v>0</v>
      </c>
      <c r="Q20" s="117">
        <f t="shared" ca="1" si="9"/>
        <v>0</v>
      </c>
      <c r="R20" s="117">
        <f ca="1">Q20*AA20</f>
        <v>0</v>
      </c>
      <c r="S20" s="352">
        <f ca="1">Q20*$AB20</f>
        <v>0</v>
      </c>
      <c r="T20" s="54"/>
      <c r="U20" s="54"/>
      <c r="V20" s="54">
        <f ca="1">N20*$I$44</f>
        <v>0.15957446808510642</v>
      </c>
      <c r="W20" s="258">
        <f ca="1">IF($L$35=0,0,L20/$L$35)</f>
        <v>0</v>
      </c>
      <c r="Y20" s="430">
        <v>1</v>
      </c>
      <c r="Z20" s="430"/>
      <c r="AA20" s="430">
        <v>0.8</v>
      </c>
      <c r="AB20" s="430">
        <v>0.5</v>
      </c>
      <c r="AC20" s="299"/>
      <c r="AD20" s="358"/>
    </row>
    <row r="21" spans="2:30" ht="15" customHeight="1">
      <c r="B21" s="575" t="s">
        <v>999</v>
      </c>
      <c r="C21" s="452" t="s">
        <v>1001</v>
      </c>
      <c r="D21" s="452"/>
      <c r="E21" s="453">
        <f ca="1">SUM(E7:E19)</f>
        <v>87.575874943314389</v>
      </c>
      <c r="F21" s="453">
        <f ca="1">SUM(F7:F19)</f>
        <v>78.497413889336855</v>
      </c>
      <c r="G21" s="453"/>
      <c r="H21" s="453">
        <f ca="1">J21</f>
        <v>72.298139908430542</v>
      </c>
      <c r="I21" s="452"/>
      <c r="J21" s="467">
        <f ca="1">SUMPRODUCT(J7:J20,E7:E20)</f>
        <v>72.298139908430542</v>
      </c>
      <c r="K21" s="467">
        <f ca="1">SUMPRODUCT(K7:K20,F7:F20)</f>
        <v>73.165351361181933</v>
      </c>
      <c r="L21" s="453">
        <f ca="1">SUM(L7:L20)</f>
        <v>73.165351361181933</v>
      </c>
      <c r="M21" s="452"/>
      <c r="N21" s="452"/>
      <c r="O21" s="453"/>
      <c r="P21" s="467">
        <f ca="1">SUM(P7:P20)</f>
        <v>481.98759938953691</v>
      </c>
      <c r="Q21" s="452"/>
      <c r="R21" s="452"/>
      <c r="S21" s="260"/>
      <c r="T21" s="452"/>
      <c r="U21" s="452"/>
      <c r="V21" s="452"/>
      <c r="W21" s="259">
        <f ca="1">SUM(W7:W19)</f>
        <v>1</v>
      </c>
    </row>
    <row r="22" spans="2:30" ht="15" customHeight="1">
      <c r="B22" s="76" t="s">
        <v>648</v>
      </c>
      <c r="C22" s="378" t="s">
        <v>294</v>
      </c>
      <c r="D22" s="12" t="str">
        <f ca="1">IEAData!H9</f>
        <v>RESNGA</v>
      </c>
      <c r="E22" s="33">
        <f ca="1">IEAData!B81*IEAData!C52*AC22</f>
        <v>0.91886915564131266</v>
      </c>
      <c r="F22" s="33">
        <f ca="1">AuxData!B81*AuxData!C52*AD22</f>
        <v>0.34520962377045405</v>
      </c>
      <c r="G22" s="29">
        <v>0.78</v>
      </c>
      <c r="H22" s="343" t="str">
        <f t="shared" ref="H22:H28" si="10">RIGHT(D22,3)</f>
        <v>NGA</v>
      </c>
      <c r="I22" s="66">
        <v>1.08</v>
      </c>
      <c r="J22" s="6">
        <f t="shared" ref="J22:J34" si="11">G22</f>
        <v>0.78</v>
      </c>
      <c r="K22" s="6">
        <f t="shared" ref="K22:K34" si="12">J22^IF(J22&gt;1,I22,1/I22)</f>
        <v>0.7944884630222161</v>
      </c>
      <c r="L22" s="38">
        <f t="shared" ref="L22:L34" ca="1" si="13">F22*K22</f>
        <v>0.27426506340986551</v>
      </c>
      <c r="M22" s="19">
        <v>1</v>
      </c>
      <c r="N22" s="30">
        <v>0.2</v>
      </c>
      <c r="O22" s="32">
        <v>20</v>
      </c>
      <c r="P22" s="38">
        <f t="shared" ref="P22:P34" ca="1" si="14">E22*J22/$N22</f>
        <v>3.5835897070011193</v>
      </c>
      <c r="Q22" s="104">
        <f t="shared" ref="Q22:Q34" ca="1" si="15">F22*K22/N22</f>
        <v>1.3713253170493274</v>
      </c>
      <c r="R22" s="185">
        <f t="shared" ref="R22:R28" ca="1" si="16">Q22*AA22</f>
        <v>0.95992772193452913</v>
      </c>
      <c r="S22" s="185">
        <f t="shared" ref="S22:S28" ca="1" si="17">Q22*$AB22</f>
        <v>0.27426506340986551</v>
      </c>
      <c r="T22" s="40"/>
      <c r="U22" s="40"/>
      <c r="V22" s="40">
        <f t="shared" ref="V22:V28" ca="1" si="18">N22*$I$44</f>
        <v>0.21276595744680857</v>
      </c>
      <c r="W22" s="258">
        <f t="shared" ref="W22:W34" ca="1" si="19">IF($L$35=0,0,L22/$L$35)</f>
        <v>6.9967984787323526E-3</v>
      </c>
      <c r="Y22" s="430">
        <f ca="1">IF(B21="*",MATCH(LEFT(B22,3),OFFSET(CalibData!$C$78,1,0,100),0),Y21)</f>
        <v>5</v>
      </c>
      <c r="Z22" s="430">
        <v>0</v>
      </c>
      <c r="AA22" s="430">
        <v>0.7</v>
      </c>
      <c r="AB22" s="430">
        <v>0.2</v>
      </c>
      <c r="AC22" s="359">
        <f ca="1">OFFSET(TechShar,$Y22+$Z22,AC$3)</f>
        <v>1</v>
      </c>
      <c r="AD22" s="359">
        <f ca="1">OFFSET(TechShar,$Y22+$Z22,AD$3)</f>
        <v>1</v>
      </c>
    </row>
    <row r="23" spans="2:30" ht="15" customHeight="1">
      <c r="B23" s="76" t="s">
        <v>339</v>
      </c>
      <c r="C23" s="378" t="s">
        <v>295</v>
      </c>
      <c r="D23" s="12" t="str">
        <f ca="1">IEAData!H9</f>
        <v>RESNGA</v>
      </c>
      <c r="E23" s="33">
        <f ca="1">IEAData!B81*IEAData!C52*AC23</f>
        <v>0</v>
      </c>
      <c r="F23" s="33">
        <f ca="1">AuxData!B81*AuxData!C52*AD23</f>
        <v>0</v>
      </c>
      <c r="G23" s="29">
        <v>1.8</v>
      </c>
      <c r="H23" s="343" t="str">
        <f t="shared" si="10"/>
        <v>NGA</v>
      </c>
      <c r="I23" s="66">
        <v>1.05</v>
      </c>
      <c r="J23" s="6">
        <f t="shared" si="11"/>
        <v>1.8</v>
      </c>
      <c r="K23" s="6">
        <f t="shared" si="12"/>
        <v>1.853685831102299</v>
      </c>
      <c r="L23" s="38">
        <f t="shared" ca="1" si="13"/>
        <v>0</v>
      </c>
      <c r="M23" s="19">
        <v>1</v>
      </c>
      <c r="N23" s="30">
        <v>0.2</v>
      </c>
      <c r="O23" s="32">
        <v>20</v>
      </c>
      <c r="P23" s="161">
        <f t="shared" ca="1" si="14"/>
        <v>0</v>
      </c>
      <c r="Q23" s="104">
        <f t="shared" ca="1" si="15"/>
        <v>0</v>
      </c>
      <c r="R23" s="185">
        <f t="shared" ca="1" si="16"/>
        <v>0</v>
      </c>
      <c r="S23" s="185">
        <f t="shared" ca="1" si="17"/>
        <v>0</v>
      </c>
      <c r="T23" s="40"/>
      <c r="U23" s="40"/>
      <c r="V23" s="40">
        <f t="shared" ca="1" si="18"/>
        <v>0.21276595744680857</v>
      </c>
      <c r="W23" s="258">
        <f t="shared" ca="1" si="19"/>
        <v>0</v>
      </c>
      <c r="Y23" s="430">
        <f ca="1">IF(B22="*",MATCH(LEFT(B23,3),OFFSET(CalibData!$C$78,1,0,100),0),Y22)</f>
        <v>5</v>
      </c>
      <c r="Z23" s="430">
        <v>0</v>
      </c>
      <c r="AA23" s="430">
        <v>0.7</v>
      </c>
      <c r="AB23" s="430">
        <v>0.2</v>
      </c>
      <c r="AC23" s="358">
        <f ca="1">1-AC22</f>
        <v>0</v>
      </c>
      <c r="AD23" s="358">
        <f ca="1">1-AD22</f>
        <v>0</v>
      </c>
    </row>
    <row r="24" spans="2:30" ht="15" customHeight="1">
      <c r="B24" s="76" t="s">
        <v>649</v>
      </c>
      <c r="C24" s="378" t="s">
        <v>296</v>
      </c>
      <c r="D24" s="12" t="str">
        <f ca="1">IEAData!H10</f>
        <v>RESDST</v>
      </c>
      <c r="E24" s="33">
        <f ca="1">IEAData!B82*IEAData!C53</f>
        <v>2.9311525427192811</v>
      </c>
      <c r="F24" s="33">
        <f ca="1">AuxData!B82*AuxData!C53</f>
        <v>1.1447968306360621</v>
      </c>
      <c r="G24" s="29">
        <v>0.78</v>
      </c>
      <c r="H24" s="343" t="str">
        <f t="shared" si="10"/>
        <v>DST</v>
      </c>
      <c r="I24" s="66">
        <v>1.08</v>
      </c>
      <c r="J24" s="6">
        <f t="shared" si="11"/>
        <v>0.78</v>
      </c>
      <c r="K24" s="6">
        <f t="shared" si="12"/>
        <v>0.7944884630222161</v>
      </c>
      <c r="L24" s="38">
        <f t="shared" ca="1" si="13"/>
        <v>0.90952787444474914</v>
      </c>
      <c r="M24" s="19">
        <v>1</v>
      </c>
      <c r="N24" s="30">
        <v>0.2</v>
      </c>
      <c r="O24" s="32">
        <v>20</v>
      </c>
      <c r="P24" s="161">
        <f t="shared" ca="1" si="14"/>
        <v>11.431494916605196</v>
      </c>
      <c r="Q24" s="104">
        <f t="shared" ca="1" si="15"/>
        <v>4.5476393722237454</v>
      </c>
      <c r="R24" s="185">
        <f t="shared" ca="1" si="16"/>
        <v>3.1833475605566215</v>
      </c>
      <c r="S24" s="185">
        <f t="shared" ca="1" si="17"/>
        <v>0.90952787444474914</v>
      </c>
      <c r="T24" s="40"/>
      <c r="U24" s="40"/>
      <c r="V24" s="40">
        <f t="shared" ca="1" si="18"/>
        <v>0.21276595744680857</v>
      </c>
      <c r="W24" s="258">
        <f t="shared" ca="1" si="19"/>
        <v>2.320304004148558E-2</v>
      </c>
      <c r="Y24" s="430">
        <f ca="1">IF(B23="*",MATCH(LEFT(B24,3),OFFSET(CalibData!$C$78,1,0,100),0),Y23)</f>
        <v>5</v>
      </c>
      <c r="Z24" s="430"/>
      <c r="AA24" s="430">
        <v>0.7</v>
      </c>
      <c r="AB24" s="430">
        <v>0.2</v>
      </c>
      <c r="AC24" s="294"/>
      <c r="AD24" s="358"/>
    </row>
    <row r="25" spans="2:30" ht="15" customHeight="1">
      <c r="B25" s="265" t="s">
        <v>650</v>
      </c>
      <c r="C25" s="404" t="s">
        <v>132</v>
      </c>
      <c r="D25" s="12" t="str">
        <f ca="1">IEAData!H11</f>
        <v>RESHFO</v>
      </c>
      <c r="E25" s="33">
        <f ca="1">IEAData!B83*IEAData!C54</f>
        <v>0.27718541928000007</v>
      </c>
      <c r="F25" s="33">
        <f ca="1">AuxData!B83*AuxData!C54</f>
        <v>9.1201595999999996E-2</v>
      </c>
      <c r="G25" s="29">
        <v>0.75</v>
      </c>
      <c r="H25" s="343" t="str">
        <f t="shared" si="10"/>
        <v>HFO</v>
      </c>
      <c r="I25" s="66">
        <v>1.08</v>
      </c>
      <c r="J25" s="67">
        <f t="shared" si="11"/>
        <v>0.75</v>
      </c>
      <c r="K25" s="6">
        <f t="shared" si="12"/>
        <v>0.76615384351661076</v>
      </c>
      <c r="L25" s="38">
        <f t="shared" ca="1" si="13"/>
        <v>6.9874453310249149E-2</v>
      </c>
      <c r="M25" s="19">
        <v>1</v>
      </c>
      <c r="N25" s="65">
        <v>0.2</v>
      </c>
      <c r="O25" s="68">
        <v>20</v>
      </c>
      <c r="P25" s="161">
        <f t="shared" ca="1" si="14"/>
        <v>1.0394453223000002</v>
      </c>
      <c r="Q25" s="104">
        <f t="shared" ca="1" si="15"/>
        <v>0.3493722665512457</v>
      </c>
      <c r="R25" s="185">
        <f t="shared" ca="1" si="16"/>
        <v>0.24456058658587199</v>
      </c>
      <c r="S25" s="185">
        <f t="shared" ca="1" si="17"/>
        <v>6.9874453310249149E-2</v>
      </c>
      <c r="T25" s="53"/>
      <c r="U25" s="40"/>
      <c r="V25" s="40">
        <f t="shared" ca="1" si="18"/>
        <v>0.21276595744680857</v>
      </c>
      <c r="W25" s="258">
        <f t="shared" ca="1" si="19"/>
        <v>1.7825728969817452E-3</v>
      </c>
      <c r="Y25" s="430">
        <f ca="1">IF(B24="*",MATCH(LEFT(B25,3),OFFSET(CalibData!$C$78,1,0,100),0),Y24)</f>
        <v>5</v>
      </c>
      <c r="Z25" s="430"/>
      <c r="AA25" s="430">
        <v>0.7</v>
      </c>
      <c r="AB25" s="430">
        <v>0.2</v>
      </c>
      <c r="AC25" s="294"/>
      <c r="AD25" s="358"/>
    </row>
    <row r="26" spans="2:30" ht="15" customHeight="1">
      <c r="B26" s="265" t="s">
        <v>299</v>
      </c>
      <c r="C26" s="402" t="s">
        <v>297</v>
      </c>
      <c r="D26" s="12" t="str">
        <f ca="1">IEAData!H12</f>
        <v>RESKER</v>
      </c>
      <c r="E26" s="33">
        <f ca="1">IEAData!B84*IEAData!C55</f>
        <v>0</v>
      </c>
      <c r="F26" s="33">
        <f ca="1">AuxData!B84*AuxData!C55</f>
        <v>0</v>
      </c>
      <c r="G26" s="69">
        <v>0.7</v>
      </c>
      <c r="H26" s="343" t="str">
        <f t="shared" si="10"/>
        <v>KER</v>
      </c>
      <c r="I26" s="66">
        <v>1.08</v>
      </c>
      <c r="J26" s="67">
        <f t="shared" si="11"/>
        <v>0.7</v>
      </c>
      <c r="K26" s="6">
        <f t="shared" si="12"/>
        <v>0.71874073476094202</v>
      </c>
      <c r="L26" s="38">
        <f t="shared" ca="1" si="13"/>
        <v>0</v>
      </c>
      <c r="M26" s="19">
        <v>1</v>
      </c>
      <c r="N26" s="65">
        <v>0.2</v>
      </c>
      <c r="O26" s="68">
        <v>20</v>
      </c>
      <c r="P26" s="161">
        <f t="shared" ca="1" si="14"/>
        <v>0</v>
      </c>
      <c r="Q26" s="104">
        <f t="shared" ca="1" si="15"/>
        <v>0</v>
      </c>
      <c r="R26" s="185">
        <f t="shared" ca="1" si="16"/>
        <v>0</v>
      </c>
      <c r="S26" s="185">
        <f t="shared" ca="1" si="17"/>
        <v>0</v>
      </c>
      <c r="T26" s="53"/>
      <c r="U26" s="40"/>
      <c r="V26" s="40">
        <f t="shared" ca="1" si="18"/>
        <v>0.21276595744680857</v>
      </c>
      <c r="W26" s="258">
        <f t="shared" ca="1" si="19"/>
        <v>0</v>
      </c>
      <c r="Y26" s="430">
        <f ca="1">IF(B25="*",MATCH(LEFT(B26,3),OFFSET(CalibData!$C$78,1,0,100),0),Y25)</f>
        <v>5</v>
      </c>
      <c r="Z26" s="430"/>
      <c r="AA26" s="430">
        <v>0.7</v>
      </c>
      <c r="AB26" s="430">
        <v>0.2</v>
      </c>
      <c r="AC26" s="294"/>
      <c r="AD26" s="358"/>
    </row>
    <row r="27" spans="2:30" ht="15" customHeight="1">
      <c r="B27" s="76" t="s">
        <v>1033</v>
      </c>
      <c r="C27" s="378" t="s">
        <v>1040</v>
      </c>
      <c r="D27" s="12" t="str">
        <f ca="1">IEAData!H13</f>
        <v>RESCOP</v>
      </c>
      <c r="E27" s="33">
        <f ca="1">IEAData!B85*IEAData!C56</f>
        <v>3.9055657122119211E-2</v>
      </c>
      <c r="F27" s="33">
        <f ca="1">AuxData!B85*AuxData!C56</f>
        <v>1.374901836E-2</v>
      </c>
      <c r="G27" s="30">
        <v>0.69</v>
      </c>
      <c r="H27" s="343" t="str">
        <f t="shared" si="10"/>
        <v>COP</v>
      </c>
      <c r="I27" s="66">
        <v>1.08</v>
      </c>
      <c r="J27" s="6">
        <f t="shared" si="11"/>
        <v>0.69</v>
      </c>
      <c r="K27" s="6">
        <f t="shared" si="12"/>
        <v>0.70922852602515762</v>
      </c>
      <c r="L27" s="38">
        <f t="shared" ca="1" si="13"/>
        <v>9.7511960257556304E-3</v>
      </c>
      <c r="M27" s="19">
        <v>1</v>
      </c>
      <c r="N27" s="30">
        <v>0.2</v>
      </c>
      <c r="O27" s="32">
        <v>20</v>
      </c>
      <c r="P27" s="161">
        <f t="shared" ca="1" si="14"/>
        <v>0.13474201707131125</v>
      </c>
      <c r="Q27" s="104">
        <f t="shared" ca="1" si="15"/>
        <v>4.8755980128778152E-2</v>
      </c>
      <c r="R27" s="185">
        <f t="shared" ca="1" si="16"/>
        <v>3.4129186090144703E-2</v>
      </c>
      <c r="S27" s="185">
        <f t="shared" ca="1" si="17"/>
        <v>9.7511960257556304E-3</v>
      </c>
      <c r="T27" s="40"/>
      <c r="U27" s="40"/>
      <c r="V27" s="40">
        <f t="shared" ca="1" si="18"/>
        <v>0.21276595744680857</v>
      </c>
      <c r="W27" s="258">
        <f t="shared" ca="1" si="19"/>
        <v>2.4876355985912926E-4</v>
      </c>
      <c r="Y27" s="430">
        <f ca="1">IF(B26="*",MATCH(LEFT(B27,3),OFFSET(CalibData!$C$78,1,0,100),0),Y26)</f>
        <v>5</v>
      </c>
      <c r="Z27" s="430"/>
      <c r="AA27" s="430">
        <v>0.7</v>
      </c>
      <c r="AB27" s="430">
        <v>0.2</v>
      </c>
      <c r="AC27" s="294"/>
      <c r="AD27" s="358"/>
    </row>
    <row r="28" spans="2:30" ht="15" customHeight="1">
      <c r="B28" s="76" t="s">
        <v>651</v>
      </c>
      <c r="C28" s="378" t="s">
        <v>120</v>
      </c>
      <c r="D28" s="12" t="str">
        <f ca="1">IEAData!H14</f>
        <v>RESLPG</v>
      </c>
      <c r="E28" s="33">
        <f ca="1">IEAData!B86*IEAData!C57</f>
        <v>0</v>
      </c>
      <c r="F28" s="33">
        <f ca="1">AuxData!B86*AuxData!C57</f>
        <v>0</v>
      </c>
      <c r="G28" s="30">
        <v>0.75</v>
      </c>
      <c r="H28" s="343" t="str">
        <f t="shared" si="10"/>
        <v>LPG</v>
      </c>
      <c r="I28" s="66">
        <v>1.08</v>
      </c>
      <c r="J28" s="6">
        <f t="shared" si="11"/>
        <v>0.75</v>
      </c>
      <c r="K28" s="6">
        <f t="shared" si="12"/>
        <v>0.76615384351661076</v>
      </c>
      <c r="L28" s="38">
        <f t="shared" ca="1" si="13"/>
        <v>0</v>
      </c>
      <c r="M28" s="19">
        <v>1</v>
      </c>
      <c r="N28" s="30">
        <v>0.2</v>
      </c>
      <c r="O28" s="32">
        <v>20</v>
      </c>
      <c r="P28" s="161">
        <f t="shared" ca="1" si="14"/>
        <v>0</v>
      </c>
      <c r="Q28" s="104">
        <f t="shared" ca="1" si="15"/>
        <v>0</v>
      </c>
      <c r="R28" s="185">
        <f t="shared" ca="1" si="16"/>
        <v>0</v>
      </c>
      <c r="S28" s="185">
        <f t="shared" ca="1" si="17"/>
        <v>0</v>
      </c>
      <c r="T28" s="40"/>
      <c r="U28" s="40"/>
      <c r="V28" s="40">
        <f t="shared" ca="1" si="18"/>
        <v>0.21276595744680857</v>
      </c>
      <c r="W28" s="258">
        <f t="shared" ca="1" si="19"/>
        <v>0</v>
      </c>
      <c r="Y28" s="430">
        <f ca="1">IF(B27="*",MATCH(LEFT(B28,3),OFFSET(CalibData!$C$78,1,0,100),0),Y27)</f>
        <v>5</v>
      </c>
      <c r="Z28" s="430"/>
      <c r="AA28" s="430">
        <v>0.7</v>
      </c>
      <c r="AB28" s="430">
        <v>0.2</v>
      </c>
      <c r="AC28" s="294"/>
      <c r="AD28" s="358"/>
    </row>
    <row r="29" spans="2:30" ht="15" customHeight="1">
      <c r="B29" s="76" t="s">
        <v>1011</v>
      </c>
      <c r="C29" s="378" t="s">
        <v>1012</v>
      </c>
      <c r="D29" s="12" t="s">
        <v>931</v>
      </c>
      <c r="E29" s="33">
        <f ca="1">IEAData!B87*IEAData!C58*AC29</f>
        <v>0.2556336985972083</v>
      </c>
      <c r="F29" s="33">
        <f ca="1">AuxData!B87*AuxData!C58*AD29</f>
        <v>0.29051469009678055</v>
      </c>
      <c r="G29" s="30">
        <f>G15*1.05</f>
        <v>0.82320000000000004</v>
      </c>
      <c r="H29" s="343" t="str">
        <f>MID(B29,4,3)</f>
        <v>BIO</v>
      </c>
      <c r="I29" s="65">
        <v>1.08</v>
      </c>
      <c r="J29" s="6">
        <f t="shared" si="11"/>
        <v>0.82320000000000004</v>
      </c>
      <c r="K29" s="6">
        <f t="shared" si="12"/>
        <v>0.83514949693639651</v>
      </c>
      <c r="L29" s="38">
        <f t="shared" ca="1" si="13"/>
        <v>0.24262319728695941</v>
      </c>
      <c r="M29" s="19">
        <v>1</v>
      </c>
      <c r="N29" s="30">
        <v>0.2</v>
      </c>
      <c r="O29" s="32">
        <v>20</v>
      </c>
      <c r="P29" s="161">
        <f t="shared" ca="1" si="14"/>
        <v>1.0521883034261093</v>
      </c>
      <c r="Q29" s="104">
        <f t="shared" ca="1" si="15"/>
        <v>1.2131159864347969</v>
      </c>
      <c r="R29" s="104">
        <f ca="1">MAX(P29*0.33,Q29*AA29)</f>
        <v>0.84918119050435781</v>
      </c>
      <c r="S29" s="104">
        <f ca="1">R29*$AB29</f>
        <v>0.16983623810087156</v>
      </c>
      <c r="T29" s="185"/>
      <c r="U29" s="40"/>
      <c r="V29" s="40">
        <f ca="1">N29*$I$43</f>
        <v>0.21276595744680857</v>
      </c>
      <c r="W29" s="258">
        <f t="shared" ca="1" si="19"/>
        <v>6.1895802424739811E-3</v>
      </c>
      <c r="Y29" s="430">
        <f ca="1">IF(B28="*",MATCH(LEFT(B29,3),OFFSET(CalibData!$C$78,1,0,100),0),Y28)</f>
        <v>5</v>
      </c>
      <c r="Z29" s="430">
        <v>1</v>
      </c>
      <c r="AA29" s="430">
        <v>0.7</v>
      </c>
      <c r="AB29" s="430">
        <v>0.2</v>
      </c>
      <c r="AC29" s="359">
        <f ca="1">OFFSET(TechShar,$Y29+$Z29,AC$3)</f>
        <v>0.4</v>
      </c>
      <c r="AD29" s="359">
        <f ca="1">OFFSET(TechShar,$Y29+$Z29,AD$3)</f>
        <v>0.5</v>
      </c>
    </row>
    <row r="30" spans="2:30" ht="15" customHeight="1">
      <c r="B30" s="76" t="s">
        <v>652</v>
      </c>
      <c r="C30" s="378" t="s">
        <v>1051</v>
      </c>
      <c r="D30" s="12" t="str">
        <f ca="1">IEAData!H15</f>
        <v>RESBIO</v>
      </c>
      <c r="E30" s="33">
        <f ca="1">IEAData!B87*IEAData!C58*AC30</f>
        <v>0.38345054789581245</v>
      </c>
      <c r="F30" s="33">
        <f ca="1">AuxData!B87*AuxData!C58*AD30</f>
        <v>0.29051469009678055</v>
      </c>
      <c r="G30" s="30">
        <f>G14*1.05</f>
        <v>0.71400000000000008</v>
      </c>
      <c r="H30" s="343" t="str">
        <f>RIGHT(D30,3)</f>
        <v>BIO</v>
      </c>
      <c r="I30" s="66">
        <v>1.08</v>
      </c>
      <c r="J30" s="6">
        <f t="shared" si="11"/>
        <v>0.71400000000000008</v>
      </c>
      <c r="K30" s="6">
        <f t="shared" si="12"/>
        <v>0.73204095897228749</v>
      </c>
      <c r="L30" s="38">
        <f t="shared" ca="1" si="13"/>
        <v>0.21266865233398413</v>
      </c>
      <c r="M30" s="19">
        <v>1</v>
      </c>
      <c r="N30" s="30">
        <v>0.2</v>
      </c>
      <c r="O30" s="32">
        <v>20</v>
      </c>
      <c r="P30" s="161">
        <f t="shared" ca="1" si="14"/>
        <v>1.3689184559880507</v>
      </c>
      <c r="Q30" s="104">
        <f t="shared" ca="1" si="15"/>
        <v>1.0633432616699205</v>
      </c>
      <c r="R30" s="185">
        <f ca="1">Q30*AA30</f>
        <v>0.74434028316894429</v>
      </c>
      <c r="S30" s="185">
        <f ca="1">Q30*$AB30</f>
        <v>0.21266865233398413</v>
      </c>
      <c r="T30" s="40"/>
      <c r="U30" s="40"/>
      <c r="V30" s="40">
        <f ca="1">N30*$I$44</f>
        <v>0.21276595744680857</v>
      </c>
      <c r="W30" s="258">
        <f t="shared" ca="1" si="19"/>
        <v>5.4254073946734963E-3</v>
      </c>
      <c r="Y30" s="430">
        <f ca="1">IF(B28="*",MATCH(LEFT(B30,3),OFFSET(CalibData!$C$78,1,0,100),0),Y28)</f>
        <v>5</v>
      </c>
      <c r="Z30" s="430"/>
      <c r="AA30" s="430">
        <v>0.7</v>
      </c>
      <c r="AB30" s="430">
        <v>0.2</v>
      </c>
      <c r="AC30" s="359">
        <f ca="1">1-AC29</f>
        <v>0.6</v>
      </c>
      <c r="AD30" s="359">
        <f ca="1">1-AD29</f>
        <v>0.5</v>
      </c>
    </row>
    <row r="31" spans="2:30" ht="15" customHeight="1">
      <c r="B31" s="76" t="s">
        <v>653</v>
      </c>
      <c r="C31" s="378" t="s">
        <v>121</v>
      </c>
      <c r="D31" s="12" t="s">
        <v>839</v>
      </c>
      <c r="E31" s="33">
        <f ca="1">IEAData!B88*IEAData!C59*AC31</f>
        <v>6.1934539405527111</v>
      </c>
      <c r="F31" s="33">
        <f ca="1">AuxData!B88*AuxData!C59*AD31</f>
        <v>5.4272018822163828</v>
      </c>
      <c r="G31" s="30">
        <v>0.99</v>
      </c>
      <c r="H31" s="343" t="str">
        <f>RIGHT(D31,3)</f>
        <v>ELC</v>
      </c>
      <c r="I31" s="66">
        <v>1.08</v>
      </c>
      <c r="J31" s="6">
        <f t="shared" si="11"/>
        <v>0.99</v>
      </c>
      <c r="K31" s="6">
        <f t="shared" si="12"/>
        <v>0.99073729904346342</v>
      </c>
      <c r="L31" s="38">
        <f t="shared" ca="1" si="13"/>
        <v>5.3769313341506599</v>
      </c>
      <c r="M31" s="19">
        <v>1</v>
      </c>
      <c r="N31" s="30">
        <v>0.2</v>
      </c>
      <c r="O31" s="32">
        <v>20</v>
      </c>
      <c r="P31" s="161">
        <f t="shared" ca="1" si="14"/>
        <v>30.657597005735919</v>
      </c>
      <c r="Q31" s="104">
        <f t="shared" ca="1" si="15"/>
        <v>26.884656670753298</v>
      </c>
      <c r="R31" s="185">
        <f ca="1">Q31*AA31</f>
        <v>18.819259669527309</v>
      </c>
      <c r="S31" s="185">
        <f ca="1">Q31*$AB31</f>
        <v>5.3769313341506599</v>
      </c>
      <c r="T31" s="40"/>
      <c r="U31" s="40"/>
      <c r="V31" s="40">
        <f ca="1">N31*$I$44</f>
        <v>0.21276595744680857</v>
      </c>
      <c r="W31" s="258">
        <f t="shared" ca="1" si="19"/>
        <v>0.13717133531809647</v>
      </c>
      <c r="Y31" s="430">
        <f ca="1">IF(B30="*",MATCH(LEFT(B31,3),OFFSET(CalibData!$C$78,1,0,100),0),Y30)</f>
        <v>5</v>
      </c>
      <c r="Z31" s="430">
        <v>2</v>
      </c>
      <c r="AA31" s="430">
        <v>0.7</v>
      </c>
      <c r="AB31" s="430">
        <v>0.2</v>
      </c>
      <c r="AC31" s="359">
        <f ca="1">OFFSET(TechShar,$Y31+$Z31,AC$3)</f>
        <v>0.98</v>
      </c>
      <c r="AD31" s="359">
        <f ca="1">OFFSET(TechShar,$Y31+$Z31,AD$3)</f>
        <v>0.82</v>
      </c>
    </row>
    <row r="32" spans="2:30" ht="15" customHeight="1">
      <c r="B32" s="265" t="s">
        <v>992</v>
      </c>
      <c r="C32" s="402" t="s">
        <v>271</v>
      </c>
      <c r="D32" s="12" t="s">
        <v>926</v>
      </c>
      <c r="E32" s="33">
        <f ca="1">IEAData!B88*IEAData!C59*AC32</f>
        <v>0.12639701919495339</v>
      </c>
      <c r="F32" s="33">
        <f ca="1">AuxData!B88*AuxData!C59*AD32</f>
        <v>1.1913369985353039</v>
      </c>
      <c r="G32" s="65">
        <v>2.6</v>
      </c>
      <c r="H32" s="343" t="str">
        <f>RIGHT(D32,3)</f>
        <v>ELC</v>
      </c>
      <c r="I32" s="66">
        <v>1.02</v>
      </c>
      <c r="J32" s="6">
        <f t="shared" si="11"/>
        <v>2.6</v>
      </c>
      <c r="K32" s="6">
        <f t="shared" si="12"/>
        <v>2.6501643950130953</v>
      </c>
      <c r="L32" s="38">
        <f t="shared" ca="1" si="13"/>
        <v>3.1572388959800306</v>
      </c>
      <c r="M32" s="19">
        <v>1</v>
      </c>
      <c r="N32" s="65">
        <v>0.2</v>
      </c>
      <c r="O32" s="66">
        <v>15</v>
      </c>
      <c r="P32" s="161">
        <f t="shared" ca="1" si="14"/>
        <v>1.6431612495343941</v>
      </c>
      <c r="Q32" s="104">
        <f t="shared" ca="1" si="15"/>
        <v>15.786194479900152</v>
      </c>
      <c r="R32" s="185">
        <f ca="1">Q32*AA32</f>
        <v>11.050336135930106</v>
      </c>
      <c r="S32" s="185">
        <f ca="1">Q32*$AB32</f>
        <v>3.1572388959800306</v>
      </c>
      <c r="T32" s="53"/>
      <c r="U32" s="53"/>
      <c r="V32" s="40">
        <f ca="1">N32*$I$44</f>
        <v>0.21276595744680857</v>
      </c>
      <c r="W32" s="258">
        <f t="shared" ca="1" si="19"/>
        <v>8.0544579866431057E-2</v>
      </c>
      <c r="Y32" s="430">
        <f ca="1">IF(B31="*",MATCH(LEFT(B32,3),OFFSET(CalibData!$C$78,1,0,100),0),Y31)</f>
        <v>5</v>
      </c>
      <c r="Z32" s="430">
        <v>2</v>
      </c>
      <c r="AA32" s="430">
        <v>0.7</v>
      </c>
      <c r="AB32" s="430">
        <v>0.2</v>
      </c>
      <c r="AC32" s="358">
        <f ca="1">1-AC31</f>
        <v>2.0000000000000018E-2</v>
      </c>
      <c r="AD32" s="358">
        <f ca="1">1-AD31</f>
        <v>0.18000000000000005</v>
      </c>
    </row>
    <row r="33" spans="1:30" ht="15" customHeight="1">
      <c r="B33" s="265" t="s">
        <v>155</v>
      </c>
      <c r="C33" s="402" t="s">
        <v>272</v>
      </c>
      <c r="D33" s="12" t="str">
        <f ca="1">IEAData!H17</f>
        <v>RESHET</v>
      </c>
      <c r="E33" s="33">
        <f ca="1">IEAData!B89*IEAData!C60</f>
        <v>33.810585073766134</v>
      </c>
      <c r="F33" s="33">
        <f ca="1">AuxData!B89*AuxData!C60</f>
        <v>30.353683893195004</v>
      </c>
      <c r="G33" s="65">
        <v>0.95</v>
      </c>
      <c r="H33" s="343" t="str">
        <f>RIGHT(D33,3)</f>
        <v>HET</v>
      </c>
      <c r="I33" s="66">
        <v>1.08</v>
      </c>
      <c r="J33" s="67">
        <f t="shared" si="11"/>
        <v>0.95</v>
      </c>
      <c r="K33" s="6">
        <f t="shared" si="12"/>
        <v>0.95361639402347087</v>
      </c>
      <c r="L33" s="38">
        <f t="shared" ca="1" si="13"/>
        <v>28.945770579556928</v>
      </c>
      <c r="M33" s="19">
        <v>1</v>
      </c>
      <c r="N33" s="65">
        <v>0.2</v>
      </c>
      <c r="O33" s="66">
        <v>20</v>
      </c>
      <c r="P33" s="161">
        <f t="shared" ca="1" si="14"/>
        <v>160.60027910038912</v>
      </c>
      <c r="Q33" s="104">
        <f t="shared" ca="1" si="15"/>
        <v>144.72885289778463</v>
      </c>
      <c r="R33" s="185">
        <f ca="1">Q33*0.81</f>
        <v>117.23037084720556</v>
      </c>
      <c r="S33" s="185">
        <f ca="1">Q33*0.64</f>
        <v>92.626465854582165</v>
      </c>
      <c r="T33" s="185">
        <f ca="1">Q33*0.4</f>
        <v>57.891541159113856</v>
      </c>
      <c r="U33" s="18"/>
      <c r="V33" s="53">
        <f ca="1">N33*$I$44</f>
        <v>0.21276595744680857</v>
      </c>
      <c r="W33" s="258">
        <f t="shared" ca="1" si="19"/>
        <v>0.73843792220126614</v>
      </c>
      <c r="Y33" s="430">
        <f ca="1">IF(B32="*",MATCH(LEFT(B33,3),OFFSET(CalibData!$C$78,1,0,100),0),Y32)</f>
        <v>5</v>
      </c>
      <c r="Z33" s="430"/>
      <c r="AA33" s="430">
        <v>0.81</v>
      </c>
      <c r="AB33" s="430">
        <v>0.64</v>
      </c>
      <c r="AC33" s="299"/>
      <c r="AD33" s="358"/>
    </row>
    <row r="34" spans="1:30" ht="15" customHeight="1" thickBot="1">
      <c r="B34" s="266" t="s">
        <v>654</v>
      </c>
      <c r="C34" s="403" t="s">
        <v>273</v>
      </c>
      <c r="D34" s="24" t="str">
        <f ca="1">IEAData!H$18</f>
        <v>RESGEO</v>
      </c>
      <c r="E34" s="34">
        <f ca="1">IEAData!B90*IEAData!C61</f>
        <v>0</v>
      </c>
      <c r="F34" s="34">
        <f ca="1">AuxData!B90*AuxData!C61</f>
        <v>0</v>
      </c>
      <c r="G34" s="71">
        <v>0.95</v>
      </c>
      <c r="H34" s="464" t="str">
        <f>RIGHT(D34,3)</f>
        <v>GEO</v>
      </c>
      <c r="I34" s="86">
        <v>1.08</v>
      </c>
      <c r="J34" s="21">
        <f t="shared" si="11"/>
        <v>0.95</v>
      </c>
      <c r="K34" s="21">
        <f t="shared" si="12"/>
        <v>0.95361639402347087</v>
      </c>
      <c r="L34" s="465">
        <f t="shared" ca="1" si="13"/>
        <v>0</v>
      </c>
      <c r="M34" s="73">
        <v>1</v>
      </c>
      <c r="N34" s="31">
        <v>0.2</v>
      </c>
      <c r="O34" s="72">
        <v>20</v>
      </c>
      <c r="P34" s="162">
        <f t="shared" ca="1" si="14"/>
        <v>0</v>
      </c>
      <c r="Q34" s="117">
        <f t="shared" ca="1" si="15"/>
        <v>0</v>
      </c>
      <c r="R34" s="117">
        <f ca="1">Q34*AA34</f>
        <v>0</v>
      </c>
      <c r="S34" s="352">
        <f ca="1">Q34*$AB34</f>
        <v>0</v>
      </c>
      <c r="T34" s="54"/>
      <c r="U34" s="54"/>
      <c r="V34" s="54">
        <f ca="1">N34*$I$44</f>
        <v>0.21276595744680857</v>
      </c>
      <c r="W34" s="258">
        <f t="shared" ca="1" si="19"/>
        <v>0</v>
      </c>
      <c r="Y34" s="430">
        <f ca="1">IF(B33="*",MATCH(LEFT(B34,3),OFFSET(CalibData!$C$78,1,0,100),0),Y33)</f>
        <v>5</v>
      </c>
      <c r="Z34" s="430"/>
      <c r="AA34" s="430">
        <v>0.8</v>
      </c>
      <c r="AB34" s="430">
        <v>0.5</v>
      </c>
      <c r="AC34" s="299"/>
      <c r="AD34" s="358"/>
    </row>
    <row r="35" spans="1:30" ht="15" customHeight="1">
      <c r="B35" s="575" t="s">
        <v>999</v>
      </c>
      <c r="C35" s="452" t="s">
        <v>1001</v>
      </c>
      <c r="D35" s="452"/>
      <c r="E35" s="453">
        <f ca="1">SUM(E22:E34)</f>
        <v>44.93578305476953</v>
      </c>
      <c r="F35" s="453">
        <f ca="1">SUM(F22:F34)</f>
        <v>39.148209222906772</v>
      </c>
      <c r="G35" s="453"/>
      <c r="H35" s="453">
        <f ca="1">J35</f>
        <v>42.302283215610245</v>
      </c>
      <c r="I35" s="452"/>
      <c r="J35" s="467">
        <f ca="1">SUMPRODUCT(J22:J34,E22:E34)</f>
        <v>42.302283215610245</v>
      </c>
      <c r="K35" s="467">
        <f ca="1">SUMPRODUCT(K22:K34,F22:F34)</f>
        <v>39.198651246499182</v>
      </c>
      <c r="L35" s="453">
        <f ca="1">SUM(L22:L34)</f>
        <v>39.198651246499182</v>
      </c>
      <c r="M35" s="452"/>
      <c r="N35" s="452"/>
      <c r="O35" s="453"/>
      <c r="P35" s="260">
        <f ca="1">SUM(P22:P34)</f>
        <v>211.51141607805121</v>
      </c>
      <c r="Q35" s="452"/>
      <c r="R35" s="452"/>
      <c r="S35" s="260"/>
      <c r="T35" s="452"/>
      <c r="U35" s="452"/>
      <c r="V35" s="452"/>
      <c r="W35" s="259">
        <f ca="1">SUM(W22:W34)</f>
        <v>1</v>
      </c>
    </row>
    <row r="36" spans="1:30">
      <c r="B36" s="123"/>
      <c r="C36" s="55"/>
      <c r="D36" s="55"/>
      <c r="E36" s="57"/>
      <c r="G36" s="57"/>
      <c r="H36" s="57"/>
      <c r="I36" s="55"/>
      <c r="J36" s="254"/>
      <c r="L36" s="57"/>
      <c r="M36" s="55"/>
      <c r="N36" s="55"/>
      <c r="O36" s="57"/>
      <c r="P36" s="161"/>
      <c r="Q36" s="55"/>
      <c r="R36" s="55"/>
      <c r="S36" s="161"/>
      <c r="T36" s="55"/>
      <c r="U36" s="55"/>
      <c r="V36" s="55"/>
    </row>
    <row r="37" spans="1:30">
      <c r="B37" s="123"/>
      <c r="C37" s="55"/>
      <c r="D37" s="256"/>
      <c r="E37" s="57"/>
      <c r="G37" s="57"/>
      <c r="H37" s="57"/>
      <c r="I37" s="55"/>
      <c r="J37" s="254"/>
      <c r="L37" s="57"/>
      <c r="M37" s="55"/>
      <c r="N37" s="55"/>
      <c r="O37" s="57"/>
      <c r="P37" s="161"/>
      <c r="Q37" s="55"/>
      <c r="R37" s="55"/>
      <c r="S37" s="161"/>
      <c r="T37" s="55"/>
      <c r="U37" s="55"/>
      <c r="V37" s="55"/>
      <c r="Y37" s="436"/>
      <c r="Z37" s="512">
        <v>2010</v>
      </c>
      <c r="AA37" s="512">
        <v>2017</v>
      </c>
      <c r="AB37" s="436"/>
    </row>
    <row r="38" spans="1:30">
      <c r="Y38" s="512" t="s">
        <v>1014</v>
      </c>
      <c r="Z38" s="513">
        <f ca="1">SUM(E15,E29)</f>
        <v>3.7236116779803048</v>
      </c>
      <c r="AA38" s="514">
        <f ca="1">SUM(F15,F29)</f>
        <v>3.8031517657908784</v>
      </c>
      <c r="AB38" s="436"/>
    </row>
    <row r="39" spans="1:30">
      <c r="B39" s="123"/>
      <c r="C39" s="55"/>
      <c r="D39" s="55"/>
      <c r="E39" s="57"/>
      <c r="G39" s="57"/>
      <c r="H39" s="57"/>
      <c r="I39" s="55"/>
      <c r="J39" s="254"/>
      <c r="L39" s="57"/>
      <c r="M39" s="55"/>
      <c r="N39" s="55"/>
      <c r="O39" s="57"/>
      <c r="P39" s="161"/>
      <c r="Q39" s="55"/>
      <c r="R39" s="55"/>
      <c r="S39" s="161"/>
      <c r="T39" s="55"/>
      <c r="U39" s="55"/>
      <c r="V39" s="55"/>
      <c r="X39" s="22"/>
      <c r="Z39" s="22"/>
    </row>
    <row r="40" spans="1:30">
      <c r="B40" s="123"/>
      <c r="C40" s="55"/>
      <c r="D40" s="256"/>
      <c r="E40" s="57"/>
      <c r="G40" s="57"/>
      <c r="H40" s="57"/>
      <c r="I40" s="55"/>
      <c r="J40" s="254"/>
      <c r="L40" s="57"/>
      <c r="M40" s="55"/>
      <c r="N40" s="55"/>
      <c r="O40" s="57"/>
      <c r="P40" s="161"/>
      <c r="Q40" s="55"/>
      <c r="R40" s="55"/>
      <c r="S40" s="161"/>
      <c r="T40" s="55"/>
      <c r="U40" s="55"/>
      <c r="V40" s="55"/>
      <c r="X40" s="22"/>
      <c r="Z40" s="22"/>
    </row>
    <row r="41" spans="1:30" ht="18">
      <c r="B41" s="155" t="s">
        <v>592</v>
      </c>
      <c r="C41" s="156"/>
      <c r="D41" s="252"/>
      <c r="M41" s="5"/>
      <c r="N41" s="5"/>
      <c r="O41" s="5"/>
      <c r="P41" s="5"/>
      <c r="Q41" s="5"/>
      <c r="R41" s="5"/>
      <c r="S41" s="15"/>
    </row>
    <row r="42" spans="1:30" ht="13.5" thickBot="1">
      <c r="B42" s="27" t="s">
        <v>384</v>
      </c>
      <c r="C42" s="27" t="s">
        <v>385</v>
      </c>
      <c r="D42" s="27" t="s">
        <v>243</v>
      </c>
      <c r="E42" s="344" t="s">
        <v>942</v>
      </c>
      <c r="F42" s="344" t="s">
        <v>942</v>
      </c>
      <c r="G42" s="344" t="s">
        <v>942</v>
      </c>
      <c r="H42" s="386" t="s">
        <v>974</v>
      </c>
      <c r="I42" s="386" t="s">
        <v>974</v>
      </c>
      <c r="J42" s="27"/>
      <c r="K42" s="27"/>
      <c r="M42" s="5"/>
      <c r="N42" s="5"/>
      <c r="O42" s="5"/>
      <c r="P42" s="5"/>
      <c r="Q42" s="5"/>
      <c r="R42" s="5"/>
      <c r="S42" s="3"/>
      <c r="T42" s="3"/>
    </row>
    <row r="43" spans="1:30">
      <c r="A43" s="7"/>
      <c r="B43" s="58" t="s">
        <v>253</v>
      </c>
      <c r="C43" s="28" t="str">
        <f>CONCATENATE("Residential Space Heat - ","Detached")</f>
        <v>Residential Space Heat - Detached</v>
      </c>
      <c r="D43" s="80" t="s">
        <v>249</v>
      </c>
      <c r="E43" s="342">
        <f ca="1">(H21/HT_DD+RES_Fuels!$V$47)</f>
        <v>73.416498848017014</v>
      </c>
      <c r="F43" s="342">
        <f ca="1">G47+RES_Fuels!$V47</f>
        <v>84.737690303731057</v>
      </c>
      <c r="G43" s="342">
        <f ca="1">K21/OFFSET(HT_DD,0,1)+RES_Fuels!$W$47</f>
        <v>83.228007886523883</v>
      </c>
      <c r="H43" s="342">
        <f ca="1">(F43-RES_Fuels!V47)/H21</f>
        <v>1.0765903558522107</v>
      </c>
      <c r="I43" s="342">
        <f ca="1">(G43-RES_Fuels!W47)/K21</f>
        <v>1.0638297872340428</v>
      </c>
      <c r="J43" s="18"/>
      <c r="K43" s="18"/>
      <c r="M43" s="5"/>
      <c r="N43" s="621"/>
      <c r="O43" s="5"/>
      <c r="P43" s="5"/>
      <c r="Q43" s="5"/>
      <c r="R43" s="5"/>
      <c r="S43" s="6"/>
      <c r="T43" s="6"/>
    </row>
    <row r="44" spans="1:30">
      <c r="B44" s="58" t="s">
        <v>252</v>
      </c>
      <c r="C44" s="28" t="str">
        <f>CONCATENATE("Residential Space Heat - ","Flats")</f>
        <v>Residential Space Heat - Flats</v>
      </c>
      <c r="D44" s="80" t="s">
        <v>249</v>
      </c>
      <c r="E44" s="342">
        <f ca="1">(H35/HT_DD+RES_Fuels!$V$48)</f>
        <v>42.956644955193255</v>
      </c>
      <c r="F44" s="342">
        <f ca="1">G48+RES_Fuels!$V48</f>
        <v>45.739237212256491</v>
      </c>
      <c r="G44" s="342">
        <f ca="1">K35/OFFSET(HT_DD,0,1)+RES_Fuels!$W$48</f>
        <v>44.589762700375978</v>
      </c>
      <c r="H44" s="342">
        <f ca="1">IF(H35&gt;0,(F44-RES_Fuels!V48)/H35,1)</f>
        <v>0.98577877233908784</v>
      </c>
      <c r="I44" s="342">
        <f ca="1">IF(K35&gt;0,(G44-RES_Fuels!W48)/K35,1)</f>
        <v>1.0638297872340428</v>
      </c>
      <c r="J44" s="18"/>
      <c r="K44" s="18"/>
    </row>
    <row r="47" spans="1:30" ht="18.75" customHeight="1">
      <c r="F47" s="498">
        <f ca="1">H21*H43</f>
        <v>77.835480171470152</v>
      </c>
      <c r="G47" s="498">
        <f ca="1">K21*I43</f>
        <v>77.835480171470152</v>
      </c>
      <c r="H47" s="412">
        <f ca="1">(F47+RES_Fuels!V47)</f>
        <v>84.737690303731057</v>
      </c>
      <c r="I47" s="412">
        <f ca="1">(G47+RES_Fuels!W47)</f>
        <v>83.228007886523883</v>
      </c>
      <c r="J47" s="622">
        <f ca="1">F47/H47</f>
        <v>0.91854616160151592</v>
      </c>
      <c r="K47" s="622">
        <f ca="1">G47/I47</f>
        <v>0.93520777618027218</v>
      </c>
    </row>
    <row r="48" spans="1:30">
      <c r="F48" s="498">
        <f ca="1">H35*H44</f>
        <v>41.700692815424667</v>
      </c>
      <c r="G48" s="498">
        <f ca="1">K35*I44</f>
        <v>41.700692815424667</v>
      </c>
      <c r="H48" s="412">
        <f ca="1">(F48+RES_Fuels!V48)</f>
        <v>45.739237212256491</v>
      </c>
      <c r="I48" s="412">
        <f ca="1">(G48+RES_Fuels!W48)</f>
        <v>44.589762700375978</v>
      </c>
      <c r="J48" s="622">
        <f ca="1">F48/H48</f>
        <v>0.91170503394950286</v>
      </c>
      <c r="K48" s="622">
        <f ca="1">G48/I48</f>
        <v>0.93520777618027218</v>
      </c>
    </row>
  </sheetData>
  <phoneticPr fontId="0" type="noConversion"/>
  <pageMargins left="0.75" right="0.75" top="1" bottom="1" header="0.5" footer="0.5"/>
  <pageSetup orientation="landscape" horizontalDpi="300" verticalDpi="300" r:id="rId1"/>
  <headerFooter alignWithMargins="0"/>
  <legacyDrawing r:id="rId2"/>
</worksheet>
</file>

<file path=xl/worksheets/sheet11.xml><?xml version="1.0" encoding="utf-8"?>
<worksheet xmlns="http://schemas.openxmlformats.org/spreadsheetml/2006/main" xmlns:r="http://schemas.openxmlformats.org/officeDocument/2006/relationships">
  <dimension ref="A1:Z104"/>
  <sheetViews>
    <sheetView zoomScale="75" workbookViewId="0">
      <selection activeCell="B73" sqref="B73"/>
    </sheetView>
  </sheetViews>
  <sheetFormatPr defaultColWidth="11.42578125" defaultRowHeight="12.75"/>
  <cols>
    <col min="1" max="1" width="15.85546875" customWidth="1"/>
    <col min="2" max="2" width="13.5703125" customWidth="1"/>
    <col min="3" max="3" width="33.28515625" customWidth="1"/>
    <col min="4" max="4" width="10.85546875" customWidth="1"/>
    <col min="5" max="6" width="9.7109375" bestFit="1" customWidth="1"/>
    <col min="7" max="11" width="9.140625" customWidth="1"/>
    <col min="12" max="12" width="7.85546875" customWidth="1"/>
    <col min="13" max="24" width="11.42578125" customWidth="1"/>
    <col min="25" max="26" width="8" customWidth="1"/>
  </cols>
  <sheetData>
    <row r="1" spans="1:26" ht="18">
      <c r="A1" s="10" t="s">
        <v>123</v>
      </c>
      <c r="D1" t="s">
        <v>250</v>
      </c>
    </row>
    <row r="2" spans="1:26" ht="18">
      <c r="A2" s="10"/>
      <c r="D2" s="245"/>
    </row>
    <row r="3" spans="1:26" ht="18">
      <c r="A3" s="10"/>
      <c r="B3" s="16"/>
      <c r="C3" s="17"/>
      <c r="D3" s="245"/>
      <c r="P3" s="18">
        <v>1</v>
      </c>
      <c r="Q3" t="s">
        <v>666</v>
      </c>
    </row>
    <row r="4" spans="1:26" ht="18">
      <c r="B4" s="131" t="s">
        <v>594</v>
      </c>
      <c r="C4" s="98"/>
      <c r="D4" s="252" t="str">
        <f>"~FI_T: "&amp;Region&amp;"~EUR10"</f>
        <v>~FI_T: FIN~EUR10</v>
      </c>
      <c r="E4" s="4"/>
      <c r="S4" s="4"/>
      <c r="T4" s="4"/>
    </row>
    <row r="5" spans="1:26" ht="39"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tr">
        <f ca="1">J5&amp;"~"&amp;AuxYear</f>
        <v>EFF~2017</v>
      </c>
      <c r="L5" s="52" t="s">
        <v>758</v>
      </c>
      <c r="M5" s="52" t="s">
        <v>661</v>
      </c>
      <c r="N5" s="52" t="s">
        <v>662</v>
      </c>
      <c r="O5" s="52" t="s">
        <v>88</v>
      </c>
      <c r="P5" s="52" t="s">
        <v>541</v>
      </c>
      <c r="Q5" s="52" t="str">
        <f ca="1">P5&amp;"~"&amp;AuxYear</f>
        <v>RESID~2017</v>
      </c>
      <c r="R5" s="52" t="str">
        <f ca="1">"RESID~"&amp;CEILING(AuxYear+7,5)</f>
        <v>RESID~2025</v>
      </c>
      <c r="S5" s="52" t="str">
        <f ca="1">"RESID~"&amp;CEILING(AuxYear+17,5)</f>
        <v>RESID~2035</v>
      </c>
      <c r="T5" s="52" t="str">
        <f ca="1">"RESID~"&amp;CEILING(AuxYear+29,5)</f>
        <v>RESID~2050</v>
      </c>
      <c r="U5" s="52" t="s">
        <v>1254</v>
      </c>
      <c r="V5" s="52" t="str">
        <f ca="1">"CF~"&amp;CEILING(AuxYear+2,5)</f>
        <v>CF~2020</v>
      </c>
      <c r="W5" s="257" t="s">
        <v>381</v>
      </c>
      <c r="Y5" s="427" t="s">
        <v>997</v>
      </c>
      <c r="Z5" s="427" t="s">
        <v>998</v>
      </c>
    </row>
    <row r="6" spans="1:26" ht="15" thickBot="1">
      <c r="A6" s="14"/>
      <c r="B6" s="434" t="s">
        <v>999</v>
      </c>
      <c r="C6" s="190"/>
      <c r="D6" s="190"/>
      <c r="E6" s="191"/>
      <c r="F6" s="191"/>
      <c r="G6" s="191"/>
      <c r="H6" s="191"/>
      <c r="I6" s="190"/>
      <c r="J6" s="191"/>
      <c r="K6" s="191"/>
      <c r="L6" s="191"/>
      <c r="M6" s="190"/>
      <c r="N6" s="190"/>
      <c r="O6" s="191"/>
      <c r="P6" s="192"/>
      <c r="Q6" s="190"/>
      <c r="R6" s="190"/>
      <c r="S6" s="260"/>
      <c r="T6" s="190"/>
      <c r="U6" s="190"/>
      <c r="V6" s="190"/>
      <c r="W6" s="257"/>
      <c r="Y6" s="190"/>
      <c r="Z6" s="190"/>
    </row>
    <row r="7" spans="1:26" ht="17.25" customHeight="1">
      <c r="B7" s="76" t="s">
        <v>889</v>
      </c>
      <c r="C7" s="165" t="s">
        <v>542</v>
      </c>
      <c r="D7" s="12" t="str">
        <f ca="1">IEAData!H9</f>
        <v>RESNGA</v>
      </c>
      <c r="E7" s="33">
        <f ca="1">IEAData!P81</f>
        <v>4.6639198109694302E-2</v>
      </c>
      <c r="F7" s="33">
        <f ca="1">AuxData!P81</f>
        <v>1.9223558603918289E-2</v>
      </c>
      <c r="G7" s="77">
        <v>0.75</v>
      </c>
      <c r="H7" s="343" t="str">
        <f t="shared" ref="H7:H12" si="0">RIGHT(D7,3)</f>
        <v>NGA</v>
      </c>
      <c r="I7" s="89">
        <v>1.01</v>
      </c>
      <c r="J7" s="6">
        <f t="shared" ref="J7:J17" si="1">G7</f>
        <v>0.75</v>
      </c>
      <c r="K7" s="6">
        <f t="shared" ref="K7:K17" si="2">J7^IF(J7&gt;1,I7,1/I7)</f>
        <v>0.75213929828851755</v>
      </c>
      <c r="L7" s="38">
        <f t="shared" ref="L7:L17" ca="1" si="3">F7*K7</f>
        <v>1.4458793878959295E-2</v>
      </c>
      <c r="M7" s="19">
        <v>1</v>
      </c>
      <c r="N7" s="18">
        <v>0.1</v>
      </c>
      <c r="O7" s="18">
        <v>15</v>
      </c>
      <c r="P7" s="160">
        <f t="shared" ref="P7:P17" ca="1" si="4">E7*J7/$N7</f>
        <v>0.34979398582270727</v>
      </c>
      <c r="Q7" s="185">
        <f t="shared" ref="Q7:Q17" ca="1" si="5">F7*K7/$N7</f>
        <v>0.14458793878959295</v>
      </c>
      <c r="R7" s="104"/>
      <c r="S7" s="104">
        <f t="shared" ref="S7:S17" ca="1" si="6">Q7*0.2</f>
        <v>2.8917587757918591E-2</v>
      </c>
      <c r="T7" s="40"/>
      <c r="U7" s="40"/>
      <c r="V7" s="40">
        <f t="shared" ref="V7:V17" si="7">N7*$I$40</f>
        <v>0.1</v>
      </c>
      <c r="W7" s="258">
        <f t="shared" ref="W7:W17" ca="1" si="8">IF($L$18=0,0,L7/$L$18)</f>
        <v>6.9331077704448143E-4</v>
      </c>
      <c r="Y7" s="18"/>
      <c r="Z7" s="18"/>
    </row>
    <row r="8" spans="1:26" ht="17.25" customHeight="1">
      <c r="B8" s="270" t="s">
        <v>890</v>
      </c>
      <c r="C8" s="187" t="s">
        <v>571</v>
      </c>
      <c r="D8" s="12" t="str">
        <f ca="1">IEAData!H11</f>
        <v>RESHFO</v>
      </c>
      <c r="E8" s="33">
        <f ca="1">IEAData!P83</f>
        <v>0</v>
      </c>
      <c r="F8" s="33">
        <f ca="1">AuxData!P83</f>
        <v>0</v>
      </c>
      <c r="G8" s="77">
        <v>0.68</v>
      </c>
      <c r="H8" s="343" t="str">
        <f t="shared" si="0"/>
        <v>HFO</v>
      </c>
      <c r="I8" s="81">
        <v>1.01</v>
      </c>
      <c r="J8" s="6">
        <f t="shared" si="1"/>
        <v>0.68</v>
      </c>
      <c r="K8" s="6">
        <f t="shared" si="2"/>
        <v>0.68260150315622414</v>
      </c>
      <c r="L8" s="38">
        <f t="shared" ca="1" si="3"/>
        <v>0</v>
      </c>
      <c r="M8" s="19">
        <v>1</v>
      </c>
      <c r="N8" s="18">
        <v>0.1</v>
      </c>
      <c r="O8" s="18">
        <v>15</v>
      </c>
      <c r="P8" s="161">
        <f t="shared" ca="1" si="4"/>
        <v>0</v>
      </c>
      <c r="Q8" s="185">
        <f t="shared" ca="1" si="5"/>
        <v>0</v>
      </c>
      <c r="R8" s="104"/>
      <c r="S8" s="104">
        <f t="shared" ca="1" si="6"/>
        <v>0</v>
      </c>
      <c r="T8" s="40"/>
      <c r="U8" s="40">
        <v>7.0000000000000007E-2</v>
      </c>
      <c r="V8" s="40">
        <f t="shared" si="7"/>
        <v>0.1</v>
      </c>
      <c r="W8" s="258">
        <f t="shared" ca="1" si="8"/>
        <v>0</v>
      </c>
      <c r="Y8" s="18"/>
      <c r="Z8" s="18"/>
    </row>
    <row r="9" spans="1:26" ht="17.25" customHeight="1">
      <c r="A9" s="11"/>
      <c r="B9" s="76" t="s">
        <v>891</v>
      </c>
      <c r="C9" s="37" t="s">
        <v>543</v>
      </c>
      <c r="D9" s="12" t="str">
        <f ca="1">IEAData!H10</f>
        <v>RESDST</v>
      </c>
      <c r="E9" s="33">
        <f ca="1">IEAData!P82</f>
        <v>3.833958068965825</v>
      </c>
      <c r="F9" s="33">
        <f ca="1">AuxData!P82</f>
        <v>2.7728048865789439</v>
      </c>
      <c r="G9" s="77">
        <v>0.7</v>
      </c>
      <c r="H9" s="343" t="str">
        <f t="shared" si="0"/>
        <v>DST</v>
      </c>
      <c r="I9" s="81">
        <v>1.01</v>
      </c>
      <c r="J9" s="6">
        <f t="shared" si="1"/>
        <v>0.7</v>
      </c>
      <c r="K9" s="6">
        <f t="shared" si="2"/>
        <v>0.70247637456639089</v>
      </c>
      <c r="L9" s="38">
        <f t="shared" ca="1" si="3"/>
        <v>1.9478299241039492</v>
      </c>
      <c r="M9" s="19">
        <v>1</v>
      </c>
      <c r="N9" s="18">
        <v>0.1</v>
      </c>
      <c r="O9" s="18">
        <v>15</v>
      </c>
      <c r="P9" s="161">
        <f t="shared" ca="1" si="4"/>
        <v>26.837706482760773</v>
      </c>
      <c r="Q9" s="185">
        <f t="shared" ca="1" si="5"/>
        <v>19.47829924103949</v>
      </c>
      <c r="R9" s="104"/>
      <c r="S9" s="104">
        <f t="shared" ca="1" si="6"/>
        <v>3.8956598482078983</v>
      </c>
      <c r="T9" s="40"/>
      <c r="U9" s="40"/>
      <c r="V9" s="40">
        <f t="shared" si="7"/>
        <v>0.1</v>
      </c>
      <c r="W9" s="258">
        <f t="shared" ca="1" si="8"/>
        <v>9.3400008986655819E-2</v>
      </c>
      <c r="Y9" s="18"/>
      <c r="Z9" s="18"/>
    </row>
    <row r="10" spans="1:26" ht="17.25" customHeight="1">
      <c r="A10" s="11"/>
      <c r="B10" s="76" t="s">
        <v>1027</v>
      </c>
      <c r="C10" s="37" t="s">
        <v>1041</v>
      </c>
      <c r="D10" s="12" t="str">
        <f ca="1">IEAData!H13</f>
        <v>RESCOP</v>
      </c>
      <c r="E10" s="33">
        <f ca="1">IEAData!P85</f>
        <v>0.10698315615231803</v>
      </c>
      <c r="F10" s="33">
        <f ca="1">AuxData!P85</f>
        <v>2.9818165228952274E-2</v>
      </c>
      <c r="G10" s="40">
        <v>0.6</v>
      </c>
      <c r="H10" s="343" t="str">
        <f t="shared" si="0"/>
        <v>COP</v>
      </c>
      <c r="I10" s="81">
        <v>1.01</v>
      </c>
      <c r="J10" s="6">
        <f t="shared" si="1"/>
        <v>0.6</v>
      </c>
      <c r="K10" s="6">
        <f t="shared" si="2"/>
        <v>0.6030422946563222</v>
      </c>
      <c r="L10" s="38">
        <f t="shared" ca="1" si="3"/>
        <v>1.7981614782108739E-2</v>
      </c>
      <c r="M10" s="19">
        <v>1</v>
      </c>
      <c r="N10" s="18">
        <v>0.1</v>
      </c>
      <c r="O10" s="18">
        <v>15</v>
      </c>
      <c r="P10" s="161">
        <f t="shared" ca="1" si="4"/>
        <v>0.64189893691390809</v>
      </c>
      <c r="Q10" s="185">
        <f t="shared" ca="1" si="5"/>
        <v>0.17981614782108737</v>
      </c>
      <c r="R10" s="104"/>
      <c r="S10" s="104">
        <f t="shared" ca="1" si="6"/>
        <v>3.5963229564217478E-2</v>
      </c>
      <c r="T10" s="40"/>
      <c r="U10" s="40"/>
      <c r="V10" s="40">
        <f t="shared" si="7"/>
        <v>0.1</v>
      </c>
      <c r="W10" s="258">
        <f t="shared" ca="1" si="8"/>
        <v>8.622328682090371E-4</v>
      </c>
      <c r="Y10" s="18"/>
      <c r="Z10" s="18"/>
    </row>
    <row r="11" spans="1:26" ht="17.25" customHeight="1">
      <c r="A11" s="11"/>
      <c r="B11" s="76" t="s">
        <v>892</v>
      </c>
      <c r="C11" s="37" t="s">
        <v>544</v>
      </c>
      <c r="D11" s="12" t="str">
        <f ca="1">IEAData!H14</f>
        <v>RESLPG</v>
      </c>
      <c r="E11" s="33">
        <f ca="1">IEAData!P86</f>
        <v>0.12419723519999999</v>
      </c>
      <c r="F11" s="33">
        <f ca="1">AuxData!P86</f>
        <v>5.5200449999999991E-2</v>
      </c>
      <c r="G11" s="40">
        <v>0.73</v>
      </c>
      <c r="H11" s="343" t="str">
        <f t="shared" si="0"/>
        <v>LPG</v>
      </c>
      <c r="I11" s="81">
        <v>1.01</v>
      </c>
      <c r="J11" s="6">
        <f t="shared" si="1"/>
        <v>0.73</v>
      </c>
      <c r="K11" s="6">
        <f t="shared" si="2"/>
        <v>0.73227818953391355</v>
      </c>
      <c r="L11" s="38">
        <f t="shared" ca="1" si="3"/>
        <v>4.0422085587457308E-2</v>
      </c>
      <c r="M11" s="19">
        <v>1</v>
      </c>
      <c r="N11" s="18">
        <v>0.1</v>
      </c>
      <c r="O11" s="18">
        <v>15</v>
      </c>
      <c r="P11" s="161">
        <f t="shared" ca="1" si="4"/>
        <v>0.90663981695999996</v>
      </c>
      <c r="Q11" s="185">
        <f t="shared" ca="1" si="5"/>
        <v>0.40422085587457307</v>
      </c>
      <c r="R11" s="104"/>
      <c r="S11" s="104">
        <f t="shared" ca="1" si="6"/>
        <v>8.0844171174914617E-2</v>
      </c>
      <c r="T11" s="40"/>
      <c r="U11" s="40"/>
      <c r="V11" s="40">
        <f t="shared" si="7"/>
        <v>0.1</v>
      </c>
      <c r="W11" s="258">
        <f t="shared" ca="1" si="8"/>
        <v>1.938271463236028E-3</v>
      </c>
      <c r="Y11" s="18"/>
      <c r="Z11" s="18"/>
    </row>
    <row r="12" spans="1:26" ht="17.25" customHeight="1">
      <c r="A12" s="11"/>
      <c r="B12" s="76" t="s">
        <v>893</v>
      </c>
      <c r="C12" s="37" t="s">
        <v>545</v>
      </c>
      <c r="D12" s="12" t="str">
        <f ca="1">IEAData!H15</f>
        <v>RESBIO</v>
      </c>
      <c r="E12" s="33">
        <f ca="1">IEAData!P87*Y12</f>
        <v>5.5968569888872111</v>
      </c>
      <c r="F12" s="33">
        <f ca="1">AuxData!P87*Z12</f>
        <v>5.383796077764579</v>
      </c>
      <c r="G12" s="30">
        <f ca="1">RHT!$G14</f>
        <v>0.68</v>
      </c>
      <c r="H12" s="343" t="str">
        <f t="shared" si="0"/>
        <v>BIO</v>
      </c>
      <c r="I12" s="81">
        <v>1.01</v>
      </c>
      <c r="J12" s="6">
        <f t="shared" si="1"/>
        <v>0.68</v>
      </c>
      <c r="K12" s="6">
        <f t="shared" si="2"/>
        <v>0.68260150315622414</v>
      </c>
      <c r="L12" s="38">
        <f t="shared" ca="1" si="3"/>
        <v>3.6749872953686853</v>
      </c>
      <c r="M12" s="19">
        <v>1</v>
      </c>
      <c r="N12" s="18">
        <v>0.1</v>
      </c>
      <c r="O12" s="18">
        <v>15</v>
      </c>
      <c r="P12" s="161">
        <f t="shared" ca="1" si="4"/>
        <v>38.058627524433035</v>
      </c>
      <c r="Q12" s="185">
        <f t="shared" ca="1" si="5"/>
        <v>36.749872953686854</v>
      </c>
      <c r="R12" s="104"/>
      <c r="S12" s="104">
        <f t="shared" ca="1" si="6"/>
        <v>7.3499745907373715</v>
      </c>
      <c r="T12" s="40"/>
      <c r="U12" s="40"/>
      <c r="V12" s="40">
        <f t="shared" si="7"/>
        <v>0.1</v>
      </c>
      <c r="W12" s="258">
        <f t="shared" ca="1" si="8"/>
        <v>0.17621859186252206</v>
      </c>
      <c r="Y12" s="40">
        <f ca="1">1/(1+RHT!AC15/RHT!AC14)</f>
        <v>0.78947368421052633</v>
      </c>
      <c r="Z12" s="40">
        <f ca="1">1/(1+RHT!AD15/RHT!AD14)</f>
        <v>0.76923076923076916</v>
      </c>
    </row>
    <row r="13" spans="1:26" ht="17.25" customHeight="1">
      <c r="A13" s="11"/>
      <c r="B13" s="76" t="s">
        <v>1048</v>
      </c>
      <c r="C13" s="37" t="s">
        <v>1050</v>
      </c>
      <c r="D13" s="12" t="s">
        <v>931</v>
      </c>
      <c r="E13" s="33">
        <f ca="1">IEAData!P87*Y13</f>
        <v>1.4924951970365896</v>
      </c>
      <c r="F13" s="33">
        <f ca="1">AuxData!P87*Z13</f>
        <v>1.6151388233293744</v>
      </c>
      <c r="G13" s="30">
        <f ca="1">RHT!G15</f>
        <v>0.78400000000000003</v>
      </c>
      <c r="H13" s="343" t="str">
        <f>MID(B13,4,3)</f>
        <v>BIO</v>
      </c>
      <c r="I13" s="81">
        <v>1.01</v>
      </c>
      <c r="J13" s="6">
        <f t="shared" si="1"/>
        <v>0.78400000000000003</v>
      </c>
      <c r="K13" s="6">
        <f t="shared" si="2"/>
        <v>0.78589122262711741</v>
      </c>
      <c r="L13" s="38">
        <f t="shared" ca="1" si="3"/>
        <v>1.2693234245788458</v>
      </c>
      <c r="M13" s="19">
        <v>1</v>
      </c>
      <c r="N13" s="18">
        <v>0.1</v>
      </c>
      <c r="O13" s="18">
        <v>15</v>
      </c>
      <c r="P13" s="161">
        <f t="shared" ca="1" si="4"/>
        <v>11.701162344766862</v>
      </c>
      <c r="Q13" s="185">
        <f t="shared" ca="1" si="5"/>
        <v>12.693234245788458</v>
      </c>
      <c r="R13" s="104"/>
      <c r="S13" s="104">
        <f t="shared" ca="1" si="6"/>
        <v>2.5386468491576917</v>
      </c>
      <c r="T13" s="40"/>
      <c r="U13" s="40"/>
      <c r="V13" s="40">
        <f t="shared" si="7"/>
        <v>0.1</v>
      </c>
      <c r="W13" s="258">
        <f t="shared" ca="1" si="8"/>
        <v>6.0865077487283772E-2</v>
      </c>
      <c r="Y13" s="40">
        <f ca="1">1-Y12</f>
        <v>0.21052631578947367</v>
      </c>
      <c r="Z13" s="40">
        <f ca="1">1-Z12</f>
        <v>0.23076923076923084</v>
      </c>
    </row>
    <row r="14" spans="1:26" ht="17.25" customHeight="1">
      <c r="A14" s="11"/>
      <c r="B14" s="76" t="s">
        <v>894</v>
      </c>
      <c r="C14" s="37" t="s">
        <v>546</v>
      </c>
      <c r="D14" s="12" t="s">
        <v>951</v>
      </c>
      <c r="E14" s="33">
        <f ca="1">IEAData!P88*Y14</f>
        <v>6.6730314301675113</v>
      </c>
      <c r="F14" s="33">
        <f ca="1">AuxData!P88*Z14</f>
        <v>7.4912259365873179</v>
      </c>
      <c r="G14" s="40">
        <v>0.95</v>
      </c>
      <c r="H14" s="343" t="str">
        <f>RIGHT(D14,3)</f>
        <v>ELC</v>
      </c>
      <c r="I14" s="81">
        <v>1.01</v>
      </c>
      <c r="J14" s="6">
        <f t="shared" si="1"/>
        <v>0.95</v>
      </c>
      <c r="K14" s="6">
        <f t="shared" si="2"/>
        <v>0.95048258421076803</v>
      </c>
      <c r="L14" s="38">
        <f t="shared" ca="1" si="3"/>
        <v>7.1202797871142449</v>
      </c>
      <c r="M14" s="19">
        <v>1</v>
      </c>
      <c r="N14" s="18">
        <v>0.1</v>
      </c>
      <c r="O14" s="18">
        <v>15</v>
      </c>
      <c r="P14" s="161">
        <f t="shared" ca="1" si="4"/>
        <v>63.393798586591359</v>
      </c>
      <c r="Q14" s="185">
        <f t="shared" ca="1" si="5"/>
        <v>71.202797871142451</v>
      </c>
      <c r="R14" s="104"/>
      <c r="S14" s="104">
        <f t="shared" ca="1" si="6"/>
        <v>14.240559574228492</v>
      </c>
      <c r="T14" s="40"/>
      <c r="U14" s="40"/>
      <c r="V14" s="40">
        <f t="shared" si="7"/>
        <v>0.1</v>
      </c>
      <c r="W14" s="258">
        <f t="shared" ca="1" si="8"/>
        <v>0.34142313344421316</v>
      </c>
      <c r="Y14" s="40">
        <f ca="1">RHT!AC17^0.9</f>
        <v>0.86392697230281912</v>
      </c>
      <c r="Z14" s="40">
        <f ca="1">RHT!AD17^0.9</f>
        <v>0.74404507576783274</v>
      </c>
    </row>
    <row r="15" spans="1:26" ht="17.25" customHeight="1">
      <c r="A15" s="11"/>
      <c r="B15" s="271" t="s">
        <v>1052</v>
      </c>
      <c r="C15" s="187" t="s">
        <v>570</v>
      </c>
      <c r="D15" s="36" t="s">
        <v>841</v>
      </c>
      <c r="E15" s="64">
        <f ca="1">IEAData!P88*Y15</f>
        <v>1.0510374368807971</v>
      </c>
      <c r="F15" s="64">
        <f ca="1">AuxData!P88*Z15</f>
        <v>2.5770161371292399</v>
      </c>
      <c r="G15" s="69">
        <f ca="1">RHT!G18^0.75</f>
        <v>2.065222326210828</v>
      </c>
      <c r="H15" s="343" t="str">
        <f>RIGHT(D15,3)</f>
        <v>ELC</v>
      </c>
      <c r="I15" s="81">
        <v>1.01</v>
      </c>
      <c r="J15" s="67">
        <f t="shared" si="1"/>
        <v>2.065222326210828</v>
      </c>
      <c r="K15" s="6">
        <f t="shared" si="2"/>
        <v>2.0802545447069098</v>
      </c>
      <c r="L15" s="38">
        <f t="shared" ca="1" si="3"/>
        <v>5.3608495310461466</v>
      </c>
      <c r="M15" s="57">
        <v>1</v>
      </c>
      <c r="N15" s="81">
        <v>0.1</v>
      </c>
      <c r="O15" s="81">
        <v>15</v>
      </c>
      <c r="P15" s="161">
        <f t="shared" ca="1" si="4"/>
        <v>21.706259803296259</v>
      </c>
      <c r="Q15" s="185">
        <f t="shared" ca="1" si="5"/>
        <v>53.608495310461464</v>
      </c>
      <c r="R15" s="118"/>
      <c r="S15" s="104">
        <f t="shared" ca="1" si="6"/>
        <v>10.721699062092293</v>
      </c>
      <c r="T15" s="53"/>
      <c r="U15" s="53">
        <v>0.82</v>
      </c>
      <c r="V15" s="40">
        <f t="shared" si="7"/>
        <v>0.1</v>
      </c>
      <c r="W15" s="258">
        <f t="shared" ca="1" si="8"/>
        <v>0.25705703982659361</v>
      </c>
      <c r="Y15" s="40">
        <f ca="1">1-Y14</f>
        <v>0.13607302769718088</v>
      </c>
      <c r="Z15" s="40">
        <f ca="1">1-Z14</f>
        <v>0.25595492423216726</v>
      </c>
    </row>
    <row r="16" spans="1:26" ht="17.25" customHeight="1">
      <c r="A16" s="11"/>
      <c r="B16" s="271" t="s">
        <v>895</v>
      </c>
      <c r="C16" s="187" t="s">
        <v>569</v>
      </c>
      <c r="D16" s="36" t="str">
        <f ca="1">IEAData!H17</f>
        <v>RESHET</v>
      </c>
      <c r="E16" s="64">
        <f ca="1">IEAData!P89</f>
        <v>1.4733877740265686</v>
      </c>
      <c r="F16" s="64">
        <f ca="1">AuxData!P89</f>
        <v>1.4819583951806621</v>
      </c>
      <c r="G16" s="69">
        <v>0.95</v>
      </c>
      <c r="H16" s="343" t="str">
        <f>RIGHT(D16,3)</f>
        <v>HET</v>
      </c>
      <c r="I16" s="81">
        <v>1.01</v>
      </c>
      <c r="J16" s="67">
        <f t="shared" si="1"/>
        <v>0.95</v>
      </c>
      <c r="K16" s="6">
        <f t="shared" si="2"/>
        <v>0.95048258421076803</v>
      </c>
      <c r="L16" s="38">
        <f t="shared" ca="1" si="3"/>
        <v>1.4085756451441582</v>
      </c>
      <c r="M16" s="57">
        <v>1</v>
      </c>
      <c r="N16" s="81">
        <v>0.1</v>
      </c>
      <c r="O16" s="81">
        <v>15</v>
      </c>
      <c r="P16" s="161">
        <f t="shared" ca="1" si="4"/>
        <v>13.997183853252402</v>
      </c>
      <c r="Q16" s="185">
        <f t="shared" ca="1" si="5"/>
        <v>14.085756451441581</v>
      </c>
      <c r="R16" s="118"/>
      <c r="S16" s="104">
        <f t="shared" ca="1" si="6"/>
        <v>2.8171512902883165</v>
      </c>
      <c r="T16" s="53"/>
      <c r="U16" s="53">
        <v>0.82</v>
      </c>
      <c r="V16" s="40">
        <f t="shared" si="7"/>
        <v>0.1</v>
      </c>
      <c r="W16" s="258">
        <f t="shared" ca="1" si="8"/>
        <v>6.7542333284242084E-2</v>
      </c>
      <c r="Y16" s="18"/>
      <c r="Z16" s="18"/>
    </row>
    <row r="17" spans="1:26" ht="17.25" customHeight="1" thickBot="1">
      <c r="A17" s="11"/>
      <c r="B17" s="266" t="s">
        <v>896</v>
      </c>
      <c r="C17" s="26" t="s">
        <v>547</v>
      </c>
      <c r="D17" s="24" t="str">
        <f ca="1">IEAData!H19</f>
        <v>RESSOL</v>
      </c>
      <c r="E17" s="34">
        <f ca="1">IEAData!P91</f>
        <v>0</v>
      </c>
      <c r="F17" s="34">
        <f ca="1">AuxData!P91</f>
        <v>0</v>
      </c>
      <c r="G17" s="71">
        <v>0.95</v>
      </c>
      <c r="H17" s="343" t="str">
        <f>RIGHT(D17,3)</f>
        <v>SOL</v>
      </c>
      <c r="I17" s="20">
        <v>1.01</v>
      </c>
      <c r="J17" s="21">
        <f t="shared" si="1"/>
        <v>0.95</v>
      </c>
      <c r="K17" s="6">
        <f t="shared" si="2"/>
        <v>0.95048258421076803</v>
      </c>
      <c r="L17" s="38">
        <f t="shared" ca="1" si="3"/>
        <v>0</v>
      </c>
      <c r="M17" s="73">
        <v>1</v>
      </c>
      <c r="N17" s="20">
        <v>0.1</v>
      </c>
      <c r="O17" s="20">
        <v>15</v>
      </c>
      <c r="P17" s="162">
        <f t="shared" ca="1" si="4"/>
        <v>0</v>
      </c>
      <c r="Q17" s="185">
        <f t="shared" ca="1" si="5"/>
        <v>0</v>
      </c>
      <c r="R17" s="117"/>
      <c r="S17" s="117">
        <f t="shared" ca="1" si="6"/>
        <v>0</v>
      </c>
      <c r="T17" s="54"/>
      <c r="U17" s="54"/>
      <c r="V17" s="53">
        <f t="shared" si="7"/>
        <v>0.1</v>
      </c>
      <c r="W17" s="258">
        <f t="shared" ca="1" si="8"/>
        <v>0</v>
      </c>
      <c r="Y17" s="18"/>
      <c r="Z17" s="18"/>
    </row>
    <row r="18" spans="1:26" ht="15" thickBot="1">
      <c r="B18" s="434" t="s">
        <v>999</v>
      </c>
      <c r="C18" s="190" t="s">
        <v>1001</v>
      </c>
      <c r="D18" s="190"/>
      <c r="E18" s="191">
        <f ca="1">SUM(E7:E17)</f>
        <v>20.398586485426517</v>
      </c>
      <c r="F18" s="191">
        <f ca="1">SUM(F7:F17)</f>
        <v>21.426182430402989</v>
      </c>
      <c r="G18" s="191"/>
      <c r="H18" s="191">
        <f ca="1">J18</f>
        <v>17.75930713347973</v>
      </c>
      <c r="I18" s="190"/>
      <c r="J18" s="191">
        <f ca="1">SUMPRODUCT(J7:J17,E7:E17)</f>
        <v>17.75930713347973</v>
      </c>
      <c r="K18" s="191">
        <f ca="1">SUMPRODUCT(K7:K17,F7:F17)</f>
        <v>20.854708101604555</v>
      </c>
      <c r="L18" s="191">
        <f ca="1">SUM(L7:L17)</f>
        <v>20.854708101604555</v>
      </c>
      <c r="M18" s="190"/>
      <c r="N18" s="190"/>
      <c r="O18" s="191"/>
      <c r="P18" s="192">
        <f ca="1">SUM(P7:P17)</f>
        <v>177.59307133479732</v>
      </c>
      <c r="Q18" s="190"/>
      <c r="R18" s="190"/>
      <c r="S18" s="260"/>
      <c r="T18" s="190"/>
      <c r="U18" s="190"/>
      <c r="V18" s="190"/>
      <c r="W18" s="258">
        <f ca="1">SUM(W7:W17)</f>
        <v>1</v>
      </c>
      <c r="Y18" s="190"/>
      <c r="Z18" s="190"/>
    </row>
    <row r="19" spans="1:26" ht="16.5" customHeight="1">
      <c r="B19" s="76" t="s">
        <v>897</v>
      </c>
      <c r="C19" s="431" t="s">
        <v>542</v>
      </c>
      <c r="D19" s="12" t="str">
        <f ca="1">IEAData!H9</f>
        <v>RESNGA</v>
      </c>
      <c r="E19" s="33">
        <f ca="1">IEAData!Q81</f>
        <v>0.27830331277399767</v>
      </c>
      <c r="F19" s="33">
        <f ca="1">AuxData!Q81</f>
        <v>0.11061511344678708</v>
      </c>
      <c r="G19" s="77">
        <v>0.78</v>
      </c>
      <c r="H19" s="343" t="str">
        <f t="shared" ref="H19:H24" si="9">RIGHT(D19,3)</f>
        <v>NGA</v>
      </c>
      <c r="I19" s="89">
        <v>1.01</v>
      </c>
      <c r="J19" s="6">
        <f t="shared" ref="J19:J29" si="10">G19</f>
        <v>0.78</v>
      </c>
      <c r="K19" s="6">
        <f t="shared" ref="K19:K29" si="11">J19^IF(J19&gt;1,I19,1/I19)</f>
        <v>0.78192117258390115</v>
      </c>
      <c r="L19" s="38">
        <f t="shared" ref="L19:L29" ca="1" si="12">F19*K19</f>
        <v>8.6492299211813006E-2</v>
      </c>
      <c r="M19" s="19">
        <v>1</v>
      </c>
      <c r="N19" s="18">
        <v>0.1</v>
      </c>
      <c r="O19" s="18">
        <v>15</v>
      </c>
      <c r="P19" s="160">
        <f t="shared" ref="P19:P29" ca="1" si="13">E19*J19/$N19</f>
        <v>2.1707658396371818</v>
      </c>
      <c r="Q19" s="185">
        <f t="shared" ref="Q19:Q29" ca="1" si="14">F19*K19/$N19</f>
        <v>0.86492299211813006</v>
      </c>
      <c r="R19" s="104"/>
      <c r="S19" s="104">
        <f t="shared" ref="S19:S29" ca="1" si="15">Q19*0.2</f>
        <v>0.17298459842362601</v>
      </c>
      <c r="T19" s="40"/>
      <c r="U19" s="40"/>
      <c r="V19" s="40">
        <f t="shared" ref="V19:V29" si="16">N19*$I$41</f>
        <v>0.1</v>
      </c>
      <c r="W19" s="258">
        <f t="shared" ref="W19:W29" ca="1" si="17">IF($L$30=0,0,L19/$L$30)</f>
        <v>7.3448364382625916E-3</v>
      </c>
      <c r="Y19" s="18"/>
      <c r="Z19" s="18"/>
    </row>
    <row r="20" spans="1:26" ht="16.5" customHeight="1">
      <c r="B20" s="270" t="s">
        <v>898</v>
      </c>
      <c r="C20" s="432" t="s">
        <v>571</v>
      </c>
      <c r="D20" s="12" t="str">
        <f ca="1">IEAData!H11</f>
        <v>RESHFO</v>
      </c>
      <c r="E20" s="33">
        <f ca="1">IEAData!Q83</f>
        <v>8.279564472000002E-2</v>
      </c>
      <c r="F20" s="33">
        <f ca="1">AuxData!Q83</f>
        <v>2.8800503999999998E-2</v>
      </c>
      <c r="G20" s="77">
        <v>0.72</v>
      </c>
      <c r="H20" s="343" t="str">
        <f t="shared" si="9"/>
        <v>HFO</v>
      </c>
      <c r="I20" s="81">
        <v>1.01</v>
      </c>
      <c r="J20" s="6">
        <f t="shared" si="10"/>
        <v>0.72</v>
      </c>
      <c r="K20" s="6">
        <f t="shared" si="11"/>
        <v>0.722345623691383</v>
      </c>
      <c r="L20" s="38">
        <f t="shared" ca="1" si="12"/>
        <v>2.0803918024506169E-2</v>
      </c>
      <c r="M20" s="19">
        <v>1</v>
      </c>
      <c r="N20" s="18">
        <v>0.1</v>
      </c>
      <c r="O20" s="18">
        <v>15</v>
      </c>
      <c r="P20" s="161">
        <f t="shared" ca="1" si="13"/>
        <v>0.59612864198400006</v>
      </c>
      <c r="Q20" s="185">
        <f t="shared" ca="1" si="14"/>
        <v>0.20803918024506168</v>
      </c>
      <c r="R20" s="104"/>
      <c r="S20" s="104">
        <f t="shared" ca="1" si="15"/>
        <v>4.1607836049012338E-2</v>
      </c>
      <c r="T20" s="40"/>
      <c r="U20" s="40">
        <v>7.0000000000000007E-2</v>
      </c>
      <c r="V20" s="40">
        <f t="shared" si="16"/>
        <v>0.1</v>
      </c>
      <c r="W20" s="258">
        <f t="shared" ca="1" si="17"/>
        <v>1.7666471646316394E-3</v>
      </c>
      <c r="Y20" s="18"/>
      <c r="Z20" s="18"/>
    </row>
    <row r="21" spans="1:26" ht="16.5" customHeight="1">
      <c r="A21" s="7"/>
      <c r="B21" s="76" t="s">
        <v>899</v>
      </c>
      <c r="C21" s="402" t="s">
        <v>543</v>
      </c>
      <c r="D21" s="12" t="str">
        <f ca="1">IEAData!H10</f>
        <v>RESDST</v>
      </c>
      <c r="E21" s="33">
        <f ca="1">IEAData!Q82</f>
        <v>0.88777543339710974</v>
      </c>
      <c r="F21" s="33">
        <f ca="1">AuxData!Q82</f>
        <v>0.36682590106043422</v>
      </c>
      <c r="G21" s="77">
        <v>0.77</v>
      </c>
      <c r="H21" s="343" t="str">
        <f t="shared" si="9"/>
        <v>DST</v>
      </c>
      <c r="I21" s="81">
        <v>1.01</v>
      </c>
      <c r="J21" s="6">
        <f t="shared" si="10"/>
        <v>0.77</v>
      </c>
      <c r="K21" s="6">
        <f t="shared" si="11"/>
        <v>0.77199516325363771</v>
      </c>
      <c r="L21" s="38">
        <f t="shared" ca="1" si="12"/>
        <v>0.28318782137481269</v>
      </c>
      <c r="M21" s="19">
        <v>1</v>
      </c>
      <c r="N21" s="18">
        <v>0.1</v>
      </c>
      <c r="O21" s="18">
        <v>15</v>
      </c>
      <c r="P21" s="161">
        <f t="shared" ca="1" si="13"/>
        <v>6.8358708371577448</v>
      </c>
      <c r="Q21" s="185">
        <f t="shared" ca="1" si="14"/>
        <v>2.8318782137481269</v>
      </c>
      <c r="R21" s="104"/>
      <c r="S21" s="104">
        <f t="shared" ca="1" si="15"/>
        <v>0.56637564274962537</v>
      </c>
      <c r="T21" s="40"/>
      <c r="U21" s="40"/>
      <c r="V21" s="40">
        <f t="shared" si="16"/>
        <v>0.1</v>
      </c>
      <c r="W21" s="258">
        <f t="shared" ca="1" si="17"/>
        <v>2.4048016392907299E-2</v>
      </c>
      <c r="Y21" s="18"/>
      <c r="Z21" s="18"/>
    </row>
    <row r="22" spans="1:26" ht="16.5" customHeight="1">
      <c r="B22" s="76" t="s">
        <v>1028</v>
      </c>
      <c r="C22" s="402" t="s">
        <v>1041</v>
      </c>
      <c r="D22" s="12" t="str">
        <f ca="1">IEAData!H13</f>
        <v>RESCOP</v>
      </c>
      <c r="E22" s="33">
        <f ca="1">IEAData!Q85</f>
        <v>1.1829016887681967E-2</v>
      </c>
      <c r="F22" s="33">
        <f ca="1">AuxData!Q85</f>
        <v>4.4055817710477313E-3</v>
      </c>
      <c r="G22" s="40">
        <v>0.6</v>
      </c>
      <c r="H22" s="343" t="str">
        <f t="shared" si="9"/>
        <v>COP</v>
      </c>
      <c r="I22" s="81">
        <v>1.01</v>
      </c>
      <c r="J22" s="6">
        <f t="shared" si="10"/>
        <v>0.6</v>
      </c>
      <c r="K22" s="6">
        <f t="shared" si="11"/>
        <v>0.6030422946563222</v>
      </c>
      <c r="L22" s="38">
        <f t="shared" ca="1" si="12"/>
        <v>2.6567521405086877E-3</v>
      </c>
      <c r="M22" s="19">
        <v>1</v>
      </c>
      <c r="N22" s="18">
        <v>0.1</v>
      </c>
      <c r="O22" s="18">
        <v>15</v>
      </c>
      <c r="P22" s="161">
        <f t="shared" ca="1" si="13"/>
        <v>7.097410132609179E-2</v>
      </c>
      <c r="Q22" s="185">
        <f t="shared" ca="1" si="14"/>
        <v>2.6567521405086874E-2</v>
      </c>
      <c r="R22" s="104"/>
      <c r="S22" s="104">
        <f t="shared" ca="1" si="15"/>
        <v>5.3135042810173753E-3</v>
      </c>
      <c r="T22" s="40"/>
      <c r="U22" s="40"/>
      <c r="V22" s="40">
        <f t="shared" si="16"/>
        <v>0.1</v>
      </c>
      <c r="W22" s="258">
        <f t="shared" ca="1" si="17"/>
        <v>2.2560863922987528E-4</v>
      </c>
      <c r="Y22" s="18"/>
      <c r="Z22" s="18"/>
    </row>
    <row r="23" spans="1:26" ht="16.5" customHeight="1">
      <c r="B23" s="76" t="s">
        <v>900</v>
      </c>
      <c r="C23" s="402" t="s">
        <v>544</v>
      </c>
      <c r="D23" s="12" t="str">
        <f ca="1">IEAData!H14</f>
        <v>RESLPG</v>
      </c>
      <c r="E23" s="33">
        <f ca="1">IEAData!Q86</f>
        <v>0</v>
      </c>
      <c r="F23" s="33">
        <f ca="1">AuxData!Q86</f>
        <v>0</v>
      </c>
      <c r="G23" s="40">
        <v>0.75</v>
      </c>
      <c r="H23" s="343" t="str">
        <f t="shared" si="9"/>
        <v>LPG</v>
      </c>
      <c r="I23" s="81">
        <v>1.01</v>
      </c>
      <c r="J23" s="6">
        <f t="shared" si="10"/>
        <v>0.75</v>
      </c>
      <c r="K23" s="6">
        <f t="shared" si="11"/>
        <v>0.75213929828851755</v>
      </c>
      <c r="L23" s="38">
        <f t="shared" ca="1" si="12"/>
        <v>0</v>
      </c>
      <c r="M23" s="19">
        <v>1</v>
      </c>
      <c r="N23" s="18">
        <v>0.1</v>
      </c>
      <c r="O23" s="18">
        <v>15</v>
      </c>
      <c r="P23" s="161">
        <f t="shared" ca="1" si="13"/>
        <v>0</v>
      </c>
      <c r="Q23" s="185">
        <f t="shared" ca="1" si="14"/>
        <v>0</v>
      </c>
      <c r="R23" s="104"/>
      <c r="S23" s="104">
        <f t="shared" ca="1" si="15"/>
        <v>0</v>
      </c>
      <c r="T23" s="40"/>
      <c r="U23" s="40"/>
      <c r="V23" s="40">
        <f t="shared" si="16"/>
        <v>0.1</v>
      </c>
      <c r="W23" s="258">
        <f t="shared" ca="1" si="17"/>
        <v>0</v>
      </c>
      <c r="Y23" s="18"/>
      <c r="Z23" s="18"/>
    </row>
    <row r="24" spans="1:26" ht="16.5" customHeight="1">
      <c r="B24" s="76" t="s">
        <v>901</v>
      </c>
      <c r="C24" s="402" t="s">
        <v>545</v>
      </c>
      <c r="D24" s="12" t="str">
        <f ca="1">IEAData!H15</f>
        <v>RESBIO</v>
      </c>
      <c r="E24" s="33">
        <f ca="1">IEAData!Q87*Y24</f>
        <v>0.11613792574191723</v>
      </c>
      <c r="F24" s="33">
        <f ca="1">AuxData!Q87*Z24</f>
        <v>9.3089280223490611E-2</v>
      </c>
      <c r="G24" s="30">
        <f ca="1">RHT!$G30</f>
        <v>0.71400000000000008</v>
      </c>
      <c r="H24" s="343" t="str">
        <f t="shared" si="9"/>
        <v>BIO</v>
      </c>
      <c r="I24" s="81">
        <v>1.01</v>
      </c>
      <c r="J24" s="6">
        <f t="shared" si="10"/>
        <v>0.71400000000000008</v>
      </c>
      <c r="K24" s="6">
        <f t="shared" si="11"/>
        <v>0.71638542973612929</v>
      </c>
      <c r="L24" s="38">
        <f t="shared" ca="1" si="12"/>
        <v>6.6687804016732286E-2</v>
      </c>
      <c r="M24" s="19">
        <v>1</v>
      </c>
      <c r="N24" s="18">
        <v>0.1</v>
      </c>
      <c r="O24" s="18">
        <v>15</v>
      </c>
      <c r="P24" s="161">
        <f t="shared" ca="1" si="13"/>
        <v>0.82922478979728897</v>
      </c>
      <c r="Q24" s="185">
        <f t="shared" ca="1" si="14"/>
        <v>0.66687804016732277</v>
      </c>
      <c r="R24" s="104"/>
      <c r="S24" s="104">
        <f t="shared" ca="1" si="15"/>
        <v>0.13337560803346457</v>
      </c>
      <c r="T24" s="40"/>
      <c r="U24" s="40"/>
      <c r="V24" s="40">
        <f t="shared" si="16"/>
        <v>0.1</v>
      </c>
      <c r="W24" s="258">
        <f t="shared" ca="1" si="17"/>
        <v>5.663059224848447E-3</v>
      </c>
      <c r="Y24" s="40">
        <f ca="1">1-RHT!AC29</f>
        <v>0.6</v>
      </c>
      <c r="Z24" s="40">
        <f ca="1">1-RHT!AD29</f>
        <v>0.5</v>
      </c>
    </row>
    <row r="25" spans="1:26" ht="16.5" customHeight="1">
      <c r="B25" s="76" t="s">
        <v>1049</v>
      </c>
      <c r="C25" s="37" t="s">
        <v>1050</v>
      </c>
      <c r="D25" s="12" t="s">
        <v>931</v>
      </c>
      <c r="E25" s="33">
        <f ca="1">IEAData!Q87*Y25</f>
        <v>7.7425283827944835E-2</v>
      </c>
      <c r="F25" s="33">
        <f ca="1">AuxData!Q87*Z25</f>
        <v>9.3089280223490611E-2</v>
      </c>
      <c r="G25" s="30">
        <f ca="1">RHT!$G29</f>
        <v>0.82320000000000004</v>
      </c>
      <c r="H25" s="343" t="str">
        <f>MID(B25,4,3)</f>
        <v>BIO</v>
      </c>
      <c r="I25" s="81">
        <v>1.01</v>
      </c>
      <c r="J25" s="6">
        <f t="shared" si="10"/>
        <v>0.82320000000000004</v>
      </c>
      <c r="K25" s="6">
        <f t="shared" si="11"/>
        <v>0.82478725675868869</v>
      </c>
      <c r="L25" s="38">
        <f t="shared" ca="1" si="12"/>
        <v>7.6778852069173675E-2</v>
      </c>
      <c r="M25" s="19">
        <v>1</v>
      </c>
      <c r="N25" s="18">
        <v>0.1</v>
      </c>
      <c r="O25" s="18">
        <v>15</v>
      </c>
      <c r="P25" s="161">
        <f t="shared" ca="1" si="13"/>
        <v>0.63736493647164183</v>
      </c>
      <c r="Q25" s="185">
        <f t="shared" ca="1" si="14"/>
        <v>0.76778852069173675</v>
      </c>
      <c r="R25" s="104"/>
      <c r="S25" s="104">
        <f t="shared" ca="1" si="15"/>
        <v>0.15355770413834735</v>
      </c>
      <c r="T25" s="40"/>
      <c r="U25" s="40"/>
      <c r="V25" s="40">
        <f t="shared" si="16"/>
        <v>0.1</v>
      </c>
      <c r="W25" s="258">
        <f t="shared" ca="1" si="17"/>
        <v>6.519980570578004E-3</v>
      </c>
      <c r="Y25" s="40">
        <f ca="1">1-Y24</f>
        <v>0.4</v>
      </c>
      <c r="Z25" s="40">
        <f ca="1">1-Z24</f>
        <v>0.5</v>
      </c>
    </row>
    <row r="26" spans="1:26" ht="16.5" customHeight="1">
      <c r="B26" s="76" t="s">
        <v>902</v>
      </c>
      <c r="C26" s="402" t="s">
        <v>546</v>
      </c>
      <c r="D26" s="12" t="s">
        <v>951</v>
      </c>
      <c r="E26" s="33">
        <f ca="1">IEAData!Q88</f>
        <v>1.9141304804253094</v>
      </c>
      <c r="F26" s="33">
        <f ca="1">AuxData!Q88</f>
        <v>2.1207706238025779</v>
      </c>
      <c r="G26" s="40">
        <v>0.94</v>
      </c>
      <c r="H26" s="343" t="str">
        <f>RIGHT(D26,3)</f>
        <v>ELC</v>
      </c>
      <c r="I26" s="81">
        <v>1.01</v>
      </c>
      <c r="J26" s="6">
        <f t="shared" si="10"/>
        <v>0.94</v>
      </c>
      <c r="K26" s="6">
        <f t="shared" si="11"/>
        <v>0.94057604652704008</v>
      </c>
      <c r="L26" s="38">
        <f t="shared" ca="1" si="12"/>
        <v>1.9947460489269133</v>
      </c>
      <c r="M26" s="19">
        <v>1</v>
      </c>
      <c r="N26" s="18">
        <v>0.1</v>
      </c>
      <c r="O26" s="18">
        <v>15</v>
      </c>
      <c r="P26" s="161">
        <f t="shared" ca="1" si="13"/>
        <v>17.992826515997908</v>
      </c>
      <c r="Q26" s="185">
        <f t="shared" ca="1" si="14"/>
        <v>19.947460489269133</v>
      </c>
      <c r="R26" s="104"/>
      <c r="S26" s="104">
        <f t="shared" ca="1" si="15"/>
        <v>3.9894920978538266</v>
      </c>
      <c r="T26" s="40"/>
      <c r="U26" s="40"/>
      <c r="V26" s="40">
        <f t="shared" si="16"/>
        <v>0.1</v>
      </c>
      <c r="W26" s="258">
        <f t="shared" ca="1" si="17"/>
        <v>0.16939176780766746</v>
      </c>
      <c r="Y26" s="18"/>
      <c r="Z26" s="18"/>
    </row>
    <row r="27" spans="1:26" ht="16.5" customHeight="1">
      <c r="B27" s="271" t="s">
        <v>903</v>
      </c>
      <c r="C27" s="432" t="s">
        <v>569</v>
      </c>
      <c r="D27" s="36" t="str">
        <f ca="1">IEAData!H17</f>
        <v>RESHET</v>
      </c>
      <c r="E27" s="64">
        <f ca="1">IEAData!Q89</f>
        <v>10.240411025973431</v>
      </c>
      <c r="F27" s="64">
        <f ca="1">AuxData!Q89</f>
        <v>9.726195204819339</v>
      </c>
      <c r="G27" s="69">
        <v>0.95</v>
      </c>
      <c r="H27" s="343" t="str">
        <f>RIGHT(D27,3)</f>
        <v>HET</v>
      </c>
      <c r="I27" s="81">
        <v>1.01</v>
      </c>
      <c r="J27" s="67">
        <f t="shared" si="10"/>
        <v>0.95</v>
      </c>
      <c r="K27" s="6">
        <f t="shared" si="11"/>
        <v>0.95048258421076803</v>
      </c>
      <c r="L27" s="38">
        <f t="shared" ca="1" si="12"/>
        <v>9.2445791528150654</v>
      </c>
      <c r="M27" s="57">
        <v>1</v>
      </c>
      <c r="N27" s="81">
        <v>0.1</v>
      </c>
      <c r="O27" s="81">
        <v>15</v>
      </c>
      <c r="P27" s="161">
        <f t="shared" ca="1" si="13"/>
        <v>97.283904746747581</v>
      </c>
      <c r="Q27" s="185">
        <f t="shared" ca="1" si="14"/>
        <v>92.44579152815065</v>
      </c>
      <c r="R27" s="118"/>
      <c r="S27" s="104">
        <f t="shared" ca="1" si="15"/>
        <v>18.489158305630131</v>
      </c>
      <c r="T27" s="53"/>
      <c r="U27" s="53">
        <v>0.82</v>
      </c>
      <c r="V27" s="40">
        <f t="shared" si="16"/>
        <v>0.1</v>
      </c>
      <c r="W27" s="258">
        <f t="shared" ca="1" si="17"/>
        <v>0.78504008376187473</v>
      </c>
      <c r="Y27" s="18"/>
      <c r="Z27" s="18"/>
    </row>
    <row r="28" spans="1:26" ht="16.5" customHeight="1">
      <c r="B28" s="271" t="s">
        <v>904</v>
      </c>
      <c r="C28" s="432" t="s">
        <v>570</v>
      </c>
      <c r="D28" s="36" t="str">
        <f ca="1">IEAData!H18</f>
        <v>RESGEO</v>
      </c>
      <c r="E28" s="64">
        <f ca="1">IEAData!Q90</f>
        <v>0</v>
      </c>
      <c r="F28" s="64">
        <f ca="1">AuxData!Q90</f>
        <v>0</v>
      </c>
      <c r="G28" s="69">
        <v>0.95</v>
      </c>
      <c r="H28" s="343" t="str">
        <f>RIGHT(D28,3)</f>
        <v>GEO</v>
      </c>
      <c r="I28" s="81">
        <v>1.01</v>
      </c>
      <c r="J28" s="67">
        <f t="shared" si="10"/>
        <v>0.95</v>
      </c>
      <c r="K28" s="6">
        <f t="shared" si="11"/>
        <v>0.95048258421076803</v>
      </c>
      <c r="L28" s="38">
        <f t="shared" ca="1" si="12"/>
        <v>0</v>
      </c>
      <c r="M28" s="57">
        <v>1</v>
      </c>
      <c r="N28" s="81">
        <v>0.1</v>
      </c>
      <c r="O28" s="81">
        <v>15</v>
      </c>
      <c r="P28" s="161">
        <f t="shared" ca="1" si="13"/>
        <v>0</v>
      </c>
      <c r="Q28" s="185">
        <f t="shared" ca="1" si="14"/>
        <v>0</v>
      </c>
      <c r="R28" s="118"/>
      <c r="S28" s="104">
        <f t="shared" ca="1" si="15"/>
        <v>0</v>
      </c>
      <c r="T28" s="53"/>
      <c r="U28" s="53">
        <v>0.82</v>
      </c>
      <c r="V28" s="40">
        <f t="shared" si="16"/>
        <v>0.1</v>
      </c>
      <c r="W28" s="258">
        <f t="shared" ca="1" si="17"/>
        <v>0</v>
      </c>
      <c r="Y28" s="18"/>
      <c r="Z28" s="18"/>
    </row>
    <row r="29" spans="1:26" ht="16.5" customHeight="1" thickBot="1">
      <c r="B29" s="266" t="s">
        <v>905</v>
      </c>
      <c r="C29" s="403" t="s">
        <v>547</v>
      </c>
      <c r="D29" s="24" t="str">
        <f ca="1">IEAData!H19</f>
        <v>RESSOL</v>
      </c>
      <c r="E29" s="34">
        <f ca="1">IEAData!Q91</f>
        <v>0</v>
      </c>
      <c r="F29" s="34">
        <f ca="1">AuxData!Q91</f>
        <v>0</v>
      </c>
      <c r="G29" s="71">
        <v>0.95</v>
      </c>
      <c r="H29" s="343" t="str">
        <f>RIGHT(D29,3)</f>
        <v>SOL</v>
      </c>
      <c r="I29" s="20">
        <v>1.01</v>
      </c>
      <c r="J29" s="21">
        <f t="shared" si="10"/>
        <v>0.95</v>
      </c>
      <c r="K29" s="6">
        <f t="shared" si="11"/>
        <v>0.95048258421076803</v>
      </c>
      <c r="L29" s="38">
        <f t="shared" ca="1" si="12"/>
        <v>0</v>
      </c>
      <c r="M29" s="73">
        <v>1</v>
      </c>
      <c r="N29" s="20">
        <v>0.1</v>
      </c>
      <c r="O29" s="20">
        <v>15</v>
      </c>
      <c r="P29" s="162">
        <f t="shared" ca="1" si="13"/>
        <v>0</v>
      </c>
      <c r="Q29" s="185">
        <f t="shared" ca="1" si="14"/>
        <v>0</v>
      </c>
      <c r="R29" s="117"/>
      <c r="S29" s="117">
        <f t="shared" ca="1" si="15"/>
        <v>0</v>
      </c>
      <c r="T29" s="54"/>
      <c r="U29" s="54"/>
      <c r="V29" s="53">
        <f t="shared" si="16"/>
        <v>0.1</v>
      </c>
      <c r="W29" s="258">
        <f t="shared" ca="1" si="17"/>
        <v>0</v>
      </c>
      <c r="Y29" s="18"/>
      <c r="Z29" s="18"/>
    </row>
    <row r="30" spans="1:26" ht="14.25">
      <c r="B30" s="434" t="s">
        <v>999</v>
      </c>
      <c r="C30" s="190" t="s">
        <v>1001</v>
      </c>
      <c r="D30" s="190"/>
      <c r="E30" s="191">
        <f ca="1">SUM(E19:E29)</f>
        <v>13.608808123747393</v>
      </c>
      <c r="F30" s="191">
        <f ca="1">SUM(F19:F29)</f>
        <v>12.543791489347168</v>
      </c>
      <c r="G30" s="191"/>
      <c r="H30" s="191">
        <f ca="1">J30</f>
        <v>12.641706040911945</v>
      </c>
      <c r="I30" s="190"/>
      <c r="J30" s="191">
        <f ca="1">SUMPRODUCT(J19:J29,E19:E29)</f>
        <v>12.641706040911945</v>
      </c>
      <c r="K30" s="191">
        <f ca="1">SUMPRODUCT(K19:K29,F19:F29)</f>
        <v>11.775932648579525</v>
      </c>
      <c r="L30" s="191">
        <f ca="1">SUM(L19:L29)</f>
        <v>11.775932648579525</v>
      </c>
      <c r="M30" s="190"/>
      <c r="N30" s="190"/>
      <c r="O30" s="191"/>
      <c r="P30" s="192">
        <f ca="1">SUM(P19:P29)</f>
        <v>126.41706040911944</v>
      </c>
      <c r="Q30" s="190"/>
      <c r="R30" s="190"/>
      <c r="S30" s="260"/>
      <c r="T30" s="190"/>
      <c r="U30" s="190"/>
      <c r="V30" s="190"/>
      <c r="W30" s="258">
        <f ca="1">SUM(W19:W29)</f>
        <v>1</v>
      </c>
      <c r="Y30" s="190"/>
      <c r="Z30" s="190"/>
    </row>
    <row r="31" spans="1:26">
      <c r="B31" s="123"/>
      <c r="C31" s="55"/>
      <c r="D31" s="55"/>
      <c r="E31" s="57"/>
      <c r="G31" s="57"/>
      <c r="H31" s="57"/>
      <c r="I31" s="55"/>
      <c r="J31" s="254"/>
      <c r="L31" s="57"/>
      <c r="M31" s="55"/>
      <c r="N31" s="55"/>
      <c r="O31" s="57"/>
      <c r="P31" s="161"/>
      <c r="Q31" s="55"/>
      <c r="R31" s="55"/>
      <c r="S31" s="161"/>
      <c r="T31" s="55"/>
      <c r="U31" s="55"/>
      <c r="V31" s="55"/>
    </row>
    <row r="32" spans="1:26">
      <c r="B32" s="123"/>
      <c r="C32" s="55"/>
      <c r="D32" s="55"/>
      <c r="E32" s="57"/>
      <c r="F32" s="57"/>
      <c r="G32" s="57"/>
      <c r="H32" s="55"/>
      <c r="I32" s="254"/>
      <c r="J32" s="57"/>
      <c r="L32" s="255"/>
      <c r="M32" s="55"/>
      <c r="N32" s="55"/>
      <c r="O32" s="57"/>
      <c r="P32" s="161"/>
      <c r="Q32" s="55"/>
      <c r="R32" s="55"/>
      <c r="S32" s="161"/>
      <c r="T32" s="55"/>
      <c r="U32" s="55"/>
      <c r="V32" s="55"/>
    </row>
    <row r="36" spans="2:15" ht="18">
      <c r="B36" s="155" t="s">
        <v>592</v>
      </c>
      <c r="C36" s="156"/>
      <c r="D36" s="252" t="str">
        <f>"~FI_T: "&amp;Region</f>
        <v>~FI_T: FIN</v>
      </c>
      <c r="M36" s="5"/>
    </row>
    <row r="37" spans="2:15" ht="13.5" thickBot="1">
      <c r="B37" s="27" t="s">
        <v>384</v>
      </c>
      <c r="C37" s="27" t="s">
        <v>385</v>
      </c>
      <c r="D37" s="27" t="s">
        <v>243</v>
      </c>
      <c r="E37" s="344" t="s">
        <v>942</v>
      </c>
      <c r="F37" s="344" t="s">
        <v>379</v>
      </c>
      <c r="G37" s="344" t="str">
        <f ca="1">F37&amp;"~"&amp;AuxYear</f>
        <v>DEMAND~2017</v>
      </c>
      <c r="H37" s="386" t="s">
        <v>974</v>
      </c>
      <c r="I37" s="386" t="s">
        <v>974</v>
      </c>
      <c r="M37" s="5"/>
      <c r="O37" s="427" t="s">
        <v>1053</v>
      </c>
    </row>
    <row r="38" spans="2:15">
      <c r="B38" s="58" t="s">
        <v>253</v>
      </c>
      <c r="C38" s="58" t="s">
        <v>1224</v>
      </c>
      <c r="D38" s="95" t="s">
        <v>249</v>
      </c>
      <c r="E38" s="63"/>
      <c r="F38" s="63">
        <v>0</v>
      </c>
      <c r="G38" s="63">
        <v>0</v>
      </c>
      <c r="H38" s="367"/>
      <c r="I38" s="367"/>
      <c r="M38" s="5"/>
      <c r="N38" s="5"/>
      <c r="O38" s="522">
        <f ca="1">K18+RHT!K21/CalibData!O132</f>
        <v>98.69018827307471</v>
      </c>
    </row>
    <row r="39" spans="2:15">
      <c r="B39" s="58" t="s">
        <v>252</v>
      </c>
      <c r="C39" s="58" t="s">
        <v>1225</v>
      </c>
      <c r="D39" s="95" t="s">
        <v>249</v>
      </c>
      <c r="E39" s="63"/>
      <c r="F39" s="63">
        <v>0</v>
      </c>
      <c r="G39" s="63">
        <v>0</v>
      </c>
      <c r="H39" s="367"/>
      <c r="I39" s="367"/>
      <c r="O39" s="522">
        <f ca="1">K30+RHT!K35/CalibData!O132</f>
        <v>53.476625464004194</v>
      </c>
    </row>
    <row r="40" spans="2:15">
      <c r="B40" s="80" t="s">
        <v>909</v>
      </c>
      <c r="C40" s="28" t="s">
        <v>908</v>
      </c>
      <c r="D40" s="95" t="s">
        <v>249</v>
      </c>
      <c r="E40" s="63"/>
      <c r="F40" s="63">
        <v>0</v>
      </c>
      <c r="G40" s="63">
        <v>0</v>
      </c>
      <c r="H40" s="562">
        <f ca="1">IF(K18&gt;0,K18/H18,1)</f>
        <v>1.1742973948735531</v>
      </c>
      <c r="I40" s="563">
        <v>1</v>
      </c>
    </row>
    <row r="41" spans="2:15">
      <c r="B41" s="80" t="s">
        <v>906</v>
      </c>
      <c r="C41" s="28" t="s">
        <v>907</v>
      </c>
      <c r="D41" s="95" t="s">
        <v>249</v>
      </c>
      <c r="E41" s="342"/>
      <c r="F41" s="63">
        <v>0</v>
      </c>
      <c r="G41" s="63">
        <v>0</v>
      </c>
      <c r="H41" s="562">
        <f ca="1">IF(K30&gt;0,K30/H30,1)</f>
        <v>0.93151451318907863</v>
      </c>
      <c r="I41" s="563">
        <v>1</v>
      </c>
    </row>
    <row r="42" spans="2:15">
      <c r="B42" s="80" t="s">
        <v>1132</v>
      </c>
      <c r="C42" s="28" t="s">
        <v>89</v>
      </c>
      <c r="D42" s="95" t="s">
        <v>249</v>
      </c>
      <c r="E42" s="342">
        <f ca="1">H30+H18</f>
        <v>30.401013174391675</v>
      </c>
      <c r="F42" s="342">
        <f ca="1">G42</f>
        <v>1</v>
      </c>
      <c r="G42" s="342">
        <f ca="1">(K30+K18)^0</f>
        <v>1</v>
      </c>
      <c r="H42" s="491">
        <v>1</v>
      </c>
      <c r="I42" s="297">
        <v>1</v>
      </c>
    </row>
    <row r="43" spans="2:15">
      <c r="B43" s="80" t="s">
        <v>1128</v>
      </c>
      <c r="C43" s="58" t="str">
        <f>CONCATENATE("Residential Space Heat - ","Detached")</f>
        <v>Residential Space Heat - Detached</v>
      </c>
      <c r="D43" s="95" t="s">
        <v>249</v>
      </c>
      <c r="E43" s="342"/>
      <c r="F43" s="342">
        <v>1</v>
      </c>
      <c r="G43" s="342">
        <v>1</v>
      </c>
      <c r="H43" s="491"/>
      <c r="I43" s="491"/>
    </row>
    <row r="44" spans="2:15">
      <c r="B44" s="80" t="s">
        <v>1129</v>
      </c>
      <c r="C44" s="58" t="str">
        <f>CONCATENATE("Residential Space Heat - ","Flats")</f>
        <v>Residential Space Heat - Flats</v>
      </c>
      <c r="D44" s="95" t="s">
        <v>249</v>
      </c>
      <c r="E44" s="342"/>
      <c r="F44" s="342">
        <v>1</v>
      </c>
      <c r="G44" s="342">
        <v>1</v>
      </c>
      <c r="H44" s="491"/>
      <c r="I44" s="491"/>
    </row>
    <row r="74" spans="3:24">
      <c r="C74" s="123"/>
      <c r="D74" s="123"/>
      <c r="E74" s="123"/>
      <c r="F74" s="123"/>
      <c r="G74" s="123"/>
      <c r="H74" s="123"/>
      <c r="I74" s="123"/>
      <c r="J74" s="123"/>
      <c r="K74" s="123"/>
      <c r="L74" s="123"/>
      <c r="M74" s="123"/>
      <c r="N74" s="123"/>
      <c r="O74" s="123"/>
      <c r="P74" s="123"/>
      <c r="Q74" s="123"/>
      <c r="R74" s="123"/>
      <c r="S74" s="123"/>
      <c r="T74" s="123"/>
      <c r="U74" s="123"/>
      <c r="V74" s="123"/>
      <c r="W74" s="123"/>
      <c r="X74" s="123"/>
    </row>
    <row r="83" spans="3:24">
      <c r="C83" s="120"/>
      <c r="D83" s="123"/>
      <c r="E83" s="123"/>
      <c r="F83" s="123"/>
      <c r="G83" s="123"/>
      <c r="H83" s="123"/>
      <c r="I83" s="123"/>
      <c r="J83" s="123"/>
      <c r="K83" s="123"/>
      <c r="L83" s="123"/>
      <c r="M83" s="123"/>
      <c r="N83" s="123"/>
      <c r="O83" s="123"/>
      <c r="P83" s="123"/>
      <c r="Q83" s="123"/>
      <c r="R83" s="124"/>
      <c r="S83" s="124"/>
      <c r="T83" s="123"/>
      <c r="U83" s="123"/>
      <c r="V83" s="123"/>
      <c r="W83" s="123"/>
      <c r="X83" s="123"/>
    </row>
    <row r="84" spans="3:24">
      <c r="C84" s="123"/>
      <c r="D84" s="120"/>
      <c r="E84" s="123"/>
      <c r="F84" s="123"/>
      <c r="G84" s="123"/>
      <c r="H84" s="123"/>
      <c r="I84" s="123"/>
      <c r="J84" s="123"/>
      <c r="K84" s="123"/>
      <c r="L84" s="123"/>
      <c r="M84" s="123"/>
      <c r="N84" s="123"/>
      <c r="O84" s="123"/>
      <c r="P84" s="123"/>
      <c r="Q84" s="123"/>
      <c r="R84" s="124"/>
      <c r="S84" s="124"/>
      <c r="T84" s="123"/>
      <c r="U84" s="123"/>
      <c r="V84" s="123"/>
      <c r="W84" s="123"/>
      <c r="X84" s="123"/>
    </row>
    <row r="85" spans="3:24">
      <c r="C85" s="123"/>
      <c r="D85" s="120"/>
      <c r="E85" s="123"/>
      <c r="F85" s="123"/>
      <c r="G85" s="123"/>
      <c r="H85" s="123"/>
      <c r="I85" s="123"/>
      <c r="J85" s="123"/>
      <c r="K85" s="123"/>
      <c r="L85" s="123"/>
      <c r="M85" s="123"/>
      <c r="N85" s="123"/>
      <c r="O85" s="123"/>
      <c r="P85" s="123"/>
      <c r="Q85" s="123"/>
      <c r="R85" s="124"/>
      <c r="S85" s="124"/>
      <c r="T85" s="123"/>
      <c r="U85" s="123"/>
      <c r="V85" s="123"/>
      <c r="W85" s="123"/>
      <c r="X85" s="123"/>
    </row>
    <row r="86" spans="3:24">
      <c r="C86" s="123"/>
      <c r="D86" s="120"/>
      <c r="E86" s="123"/>
      <c r="F86" s="123"/>
      <c r="G86" s="123"/>
      <c r="H86" s="123"/>
      <c r="I86" s="123"/>
      <c r="J86" s="123"/>
      <c r="K86" s="123"/>
      <c r="L86" s="123"/>
      <c r="M86" s="123"/>
      <c r="N86" s="123"/>
      <c r="O86" s="123"/>
      <c r="P86" s="123"/>
      <c r="Q86" s="123"/>
      <c r="R86" s="124"/>
      <c r="S86" s="124"/>
      <c r="T86" s="123"/>
      <c r="U86" s="123"/>
      <c r="V86" s="123"/>
      <c r="W86" s="123"/>
      <c r="X86" s="123"/>
    </row>
    <row r="87" spans="3:24">
      <c r="C87" s="123"/>
      <c r="D87" s="120"/>
      <c r="E87" s="123"/>
      <c r="F87" s="123"/>
      <c r="G87" s="123"/>
      <c r="H87" s="123"/>
      <c r="I87" s="123"/>
      <c r="J87" s="123"/>
      <c r="K87" s="123"/>
      <c r="L87" s="123"/>
      <c r="M87" s="123"/>
      <c r="N87" s="123"/>
      <c r="O87" s="123"/>
      <c r="P87" s="123"/>
      <c r="Q87" s="123"/>
      <c r="R87" s="124"/>
      <c r="S87" s="124"/>
      <c r="T87" s="123"/>
      <c r="U87" s="123"/>
      <c r="V87" s="123"/>
      <c r="W87" s="123"/>
      <c r="X87" s="123"/>
    </row>
    <row r="88" spans="3:24">
      <c r="C88" s="123"/>
      <c r="D88" s="120"/>
      <c r="E88" s="123"/>
      <c r="F88" s="123"/>
      <c r="G88" s="123"/>
      <c r="H88" s="123"/>
      <c r="I88" s="123"/>
      <c r="J88" s="123"/>
      <c r="K88" s="123"/>
      <c r="L88" s="123"/>
      <c r="M88" s="123"/>
      <c r="N88" s="123"/>
      <c r="O88" s="123"/>
      <c r="P88" s="123"/>
      <c r="Q88" s="123"/>
      <c r="R88" s="124"/>
      <c r="S88" s="124"/>
      <c r="T88" s="123"/>
      <c r="U88" s="123"/>
      <c r="V88" s="123"/>
      <c r="W88" s="123"/>
      <c r="X88" s="123"/>
    </row>
    <row r="89" spans="3:24">
      <c r="C89" s="123"/>
      <c r="D89" s="120"/>
      <c r="E89" s="123"/>
      <c r="F89" s="123"/>
      <c r="G89" s="123"/>
      <c r="H89" s="123"/>
      <c r="I89" s="123"/>
      <c r="J89" s="123"/>
      <c r="K89" s="123"/>
      <c r="L89" s="123"/>
      <c r="M89" s="123"/>
      <c r="N89" s="123"/>
      <c r="O89" s="123"/>
      <c r="P89" s="123"/>
      <c r="Q89" s="123"/>
      <c r="R89" s="124"/>
      <c r="S89" s="124"/>
      <c r="T89" s="123"/>
      <c r="U89" s="123"/>
      <c r="V89" s="123"/>
      <c r="W89" s="123"/>
      <c r="X89" s="123"/>
    </row>
    <row r="90" spans="3:24">
      <c r="C90" s="123"/>
      <c r="D90" s="120"/>
      <c r="E90" s="123"/>
      <c r="F90" s="123"/>
      <c r="G90" s="123"/>
      <c r="H90" s="123"/>
      <c r="I90" s="123"/>
      <c r="J90" s="123"/>
      <c r="K90" s="123"/>
      <c r="L90" s="123"/>
      <c r="M90" s="123"/>
      <c r="N90" s="123"/>
      <c r="O90" s="123"/>
      <c r="P90" s="123"/>
      <c r="Q90" s="123"/>
      <c r="R90" s="124"/>
      <c r="S90" s="124"/>
      <c r="T90" s="123"/>
      <c r="U90" s="123"/>
      <c r="V90" s="123"/>
      <c r="W90" s="123"/>
      <c r="X90" s="123"/>
    </row>
    <row r="91" spans="3:24">
      <c r="C91" s="123"/>
      <c r="D91" s="120"/>
      <c r="E91" s="123"/>
      <c r="F91" s="123"/>
      <c r="G91" s="123"/>
      <c r="H91" s="123"/>
      <c r="I91" s="123"/>
      <c r="J91" s="123"/>
      <c r="K91" s="123"/>
      <c r="L91" s="123"/>
      <c r="M91" s="123"/>
      <c r="N91" s="123"/>
      <c r="O91" s="123"/>
      <c r="P91" s="123"/>
      <c r="Q91" s="123"/>
      <c r="R91" s="124"/>
      <c r="S91" s="124"/>
      <c r="T91" s="123"/>
      <c r="U91" s="123"/>
      <c r="V91" s="123"/>
      <c r="W91" s="123"/>
      <c r="X91" s="123"/>
    </row>
    <row r="92" spans="3:24">
      <c r="C92" s="123"/>
      <c r="D92" s="120"/>
      <c r="E92" s="123"/>
      <c r="F92" s="123"/>
      <c r="G92" s="123"/>
      <c r="H92" s="123"/>
      <c r="I92" s="123"/>
      <c r="J92" s="123"/>
      <c r="K92" s="123"/>
      <c r="L92" s="123"/>
      <c r="M92" s="123"/>
      <c r="N92" s="123"/>
      <c r="O92" s="123"/>
      <c r="P92" s="123"/>
      <c r="Q92" s="123"/>
      <c r="R92" s="124"/>
      <c r="S92" s="124"/>
      <c r="T92" s="123"/>
      <c r="U92" s="123"/>
      <c r="V92" s="123"/>
      <c r="W92" s="123"/>
      <c r="X92" s="123"/>
    </row>
    <row r="93" spans="3:24">
      <c r="C93" s="123"/>
      <c r="D93" s="120"/>
      <c r="E93" s="123"/>
      <c r="F93" s="123"/>
      <c r="G93" s="123"/>
      <c r="H93" s="123"/>
      <c r="I93" s="123"/>
      <c r="J93" s="123"/>
      <c r="K93" s="123"/>
      <c r="L93" s="123"/>
      <c r="M93" s="123"/>
      <c r="N93" s="123"/>
      <c r="O93" s="123"/>
      <c r="P93" s="123"/>
      <c r="Q93" s="123"/>
      <c r="R93" s="124"/>
      <c r="S93" s="124"/>
      <c r="T93" s="123"/>
      <c r="U93" s="123"/>
      <c r="V93" s="123"/>
      <c r="W93" s="123"/>
      <c r="X93" s="123"/>
    </row>
    <row r="94" spans="3:24">
      <c r="C94" s="123"/>
      <c r="D94" s="120"/>
      <c r="E94" s="123"/>
      <c r="F94" s="123"/>
      <c r="G94" s="123"/>
      <c r="H94" s="123"/>
      <c r="I94" s="123"/>
      <c r="J94" s="123"/>
      <c r="K94" s="123"/>
      <c r="L94" s="123"/>
      <c r="M94" s="123"/>
      <c r="N94" s="123"/>
      <c r="O94" s="123"/>
      <c r="P94" s="123"/>
      <c r="Q94" s="123"/>
      <c r="R94" s="124"/>
      <c r="S94" s="124"/>
      <c r="T94" s="123"/>
      <c r="U94" s="123"/>
      <c r="V94" s="123"/>
      <c r="W94" s="123"/>
      <c r="X94" s="123"/>
    </row>
    <row r="95" spans="3:24">
      <c r="C95" s="123"/>
      <c r="D95" s="120"/>
      <c r="E95" s="123"/>
      <c r="F95" s="123"/>
      <c r="G95" s="123"/>
      <c r="H95" s="123"/>
      <c r="I95" s="123"/>
      <c r="J95" s="123"/>
      <c r="K95" s="123"/>
      <c r="L95" s="123"/>
      <c r="M95" s="123"/>
      <c r="N95" s="123"/>
      <c r="O95" s="123"/>
      <c r="P95" s="123"/>
      <c r="Q95" s="123"/>
      <c r="R95" s="124"/>
      <c r="S95" s="124"/>
      <c r="T95" s="123"/>
      <c r="U95" s="123"/>
      <c r="V95" s="123"/>
      <c r="W95" s="123"/>
      <c r="X95" s="123"/>
    </row>
    <row r="96" spans="3:24">
      <c r="C96" s="123"/>
      <c r="D96" s="120"/>
      <c r="E96" s="123"/>
      <c r="F96" s="123"/>
      <c r="G96" s="123"/>
      <c r="H96" s="123"/>
      <c r="I96" s="123"/>
      <c r="J96" s="123"/>
      <c r="K96" s="123"/>
      <c r="L96" s="123"/>
      <c r="M96" s="123"/>
      <c r="N96" s="123"/>
      <c r="O96" s="123"/>
      <c r="P96" s="123"/>
      <c r="Q96" s="123"/>
      <c r="R96" s="124"/>
      <c r="S96" s="124"/>
      <c r="T96" s="123"/>
      <c r="U96" s="123"/>
      <c r="V96" s="123"/>
      <c r="W96" s="123"/>
      <c r="X96" s="123"/>
    </row>
    <row r="97" spans="3:24">
      <c r="C97" s="123"/>
      <c r="D97" s="120"/>
      <c r="E97" s="123"/>
      <c r="F97" s="123"/>
      <c r="G97" s="123"/>
      <c r="H97" s="123"/>
      <c r="I97" s="123"/>
      <c r="J97" s="123"/>
      <c r="K97" s="123"/>
      <c r="L97" s="123"/>
      <c r="M97" s="123"/>
      <c r="N97" s="123"/>
      <c r="O97" s="123"/>
      <c r="P97" s="123"/>
      <c r="Q97" s="123"/>
      <c r="R97" s="124"/>
      <c r="S97" s="124"/>
      <c r="T97" s="123"/>
      <c r="U97" s="123"/>
      <c r="V97" s="123"/>
      <c r="W97" s="123"/>
      <c r="X97" s="123"/>
    </row>
    <row r="98" spans="3:24">
      <c r="C98" s="123"/>
      <c r="D98" s="120"/>
      <c r="E98" s="123"/>
      <c r="F98" s="123"/>
      <c r="G98" s="123"/>
      <c r="H98" s="123"/>
      <c r="I98" s="123"/>
      <c r="J98" s="123"/>
      <c r="K98" s="123"/>
      <c r="L98" s="123"/>
      <c r="M98" s="123"/>
      <c r="N98" s="123"/>
      <c r="O98" s="123"/>
      <c r="P98" s="123"/>
      <c r="Q98" s="123"/>
      <c r="R98" s="124"/>
      <c r="S98" s="124"/>
      <c r="T98" s="123"/>
      <c r="U98" s="123"/>
      <c r="V98" s="123"/>
      <c r="W98" s="123"/>
      <c r="X98" s="123"/>
    </row>
    <row r="99" spans="3:24">
      <c r="C99" s="123"/>
      <c r="D99" s="120"/>
      <c r="E99" s="123"/>
      <c r="F99" s="123"/>
      <c r="G99" s="123"/>
      <c r="H99" s="123"/>
      <c r="I99" s="123"/>
      <c r="J99" s="123"/>
      <c r="K99" s="123"/>
      <c r="L99" s="123"/>
      <c r="M99" s="123"/>
      <c r="N99" s="123"/>
      <c r="O99" s="123"/>
      <c r="P99" s="123"/>
      <c r="Q99" s="123"/>
      <c r="R99" s="124"/>
      <c r="S99" s="124"/>
      <c r="T99" s="123"/>
      <c r="U99" s="123"/>
      <c r="V99" s="123"/>
      <c r="W99" s="123"/>
      <c r="X99" s="123"/>
    </row>
    <row r="100" spans="3:24">
      <c r="C100" s="123"/>
      <c r="D100" s="120"/>
      <c r="E100" s="123"/>
      <c r="F100" s="123"/>
      <c r="G100" s="123"/>
      <c r="H100" s="123"/>
      <c r="I100" s="123"/>
      <c r="J100" s="123"/>
      <c r="K100" s="123"/>
      <c r="L100" s="123"/>
      <c r="M100" s="123"/>
      <c r="N100" s="123"/>
      <c r="O100" s="123"/>
      <c r="P100" s="123"/>
      <c r="Q100" s="123"/>
      <c r="R100" s="124"/>
      <c r="S100" s="124"/>
      <c r="T100" s="123"/>
      <c r="U100" s="123"/>
      <c r="V100" s="123"/>
      <c r="W100" s="123"/>
      <c r="X100" s="123"/>
    </row>
    <row r="101" spans="3:24">
      <c r="C101" s="123"/>
      <c r="D101" s="120"/>
      <c r="E101" s="123"/>
      <c r="F101" s="123"/>
      <c r="G101" s="123"/>
      <c r="H101" s="123"/>
      <c r="I101" s="123"/>
      <c r="J101" s="123"/>
      <c r="K101" s="123"/>
      <c r="L101" s="123"/>
      <c r="M101" s="123"/>
      <c r="N101" s="123"/>
      <c r="O101" s="123"/>
      <c r="P101" s="123"/>
      <c r="Q101" s="123"/>
      <c r="R101" s="124"/>
      <c r="S101" s="124"/>
      <c r="T101" s="123"/>
      <c r="U101" s="123"/>
      <c r="V101" s="123"/>
      <c r="W101" s="123"/>
      <c r="X101" s="123"/>
    </row>
    <row r="102" spans="3:24">
      <c r="C102" s="123"/>
      <c r="D102" s="120"/>
      <c r="E102" s="123"/>
      <c r="F102" s="123"/>
      <c r="G102" s="123"/>
      <c r="H102" s="123"/>
      <c r="I102" s="123"/>
      <c r="J102" s="123"/>
      <c r="K102" s="123"/>
      <c r="L102" s="123"/>
      <c r="M102" s="123"/>
      <c r="N102" s="123"/>
      <c r="O102" s="123"/>
      <c r="P102" s="123"/>
      <c r="Q102" s="123"/>
      <c r="R102" s="124"/>
      <c r="S102" s="124"/>
      <c r="T102" s="123"/>
      <c r="U102" s="123"/>
      <c r="V102" s="123"/>
      <c r="W102" s="123"/>
      <c r="X102" s="123"/>
    </row>
    <row r="103" spans="3:24">
      <c r="C103" s="123"/>
      <c r="D103" s="120"/>
      <c r="E103" s="123"/>
      <c r="F103" s="123"/>
      <c r="G103" s="123"/>
      <c r="H103" s="123"/>
      <c r="I103" s="123"/>
      <c r="J103" s="123"/>
      <c r="K103" s="123"/>
      <c r="L103" s="123"/>
      <c r="M103" s="123"/>
      <c r="N103" s="123"/>
      <c r="O103" s="123"/>
      <c r="P103" s="123"/>
      <c r="Q103" s="123"/>
      <c r="R103" s="124"/>
      <c r="S103" s="124"/>
      <c r="T103" s="123"/>
      <c r="U103" s="123"/>
      <c r="V103" s="123"/>
      <c r="W103" s="123"/>
      <c r="X103" s="123"/>
    </row>
    <row r="104" spans="3:24">
      <c r="C104" s="123"/>
      <c r="D104" s="120"/>
      <c r="E104" s="123"/>
      <c r="F104" s="123"/>
      <c r="G104" s="123"/>
      <c r="H104" s="123"/>
      <c r="I104" s="123"/>
      <c r="J104" s="123"/>
      <c r="K104" s="123"/>
      <c r="L104" s="123"/>
      <c r="M104" s="123"/>
      <c r="N104" s="123"/>
      <c r="O104" s="123"/>
      <c r="P104" s="123"/>
      <c r="Q104" s="123"/>
      <c r="R104" s="124"/>
      <c r="S104" s="124"/>
      <c r="T104" s="123"/>
      <c r="U104" s="123"/>
      <c r="V104" s="123"/>
      <c r="W104" s="123"/>
      <c r="X104"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dimension ref="A1:AB109"/>
  <sheetViews>
    <sheetView zoomScale="75" workbookViewId="0">
      <selection activeCell="B73" sqref="B73"/>
    </sheetView>
  </sheetViews>
  <sheetFormatPr defaultColWidth="11.42578125" defaultRowHeight="12.75"/>
  <cols>
    <col min="1" max="1" width="15.85546875" customWidth="1"/>
    <col min="2" max="2" width="13.5703125" customWidth="1"/>
    <col min="3" max="3" width="52" customWidth="1"/>
    <col min="4" max="4" width="13.85546875" customWidth="1"/>
    <col min="5" max="5" width="11.7109375" bestFit="1" customWidth="1"/>
    <col min="6" max="6" width="10.7109375" customWidth="1"/>
    <col min="7" max="23" width="11.42578125" customWidth="1"/>
    <col min="24" max="24" width="13.7109375" customWidth="1"/>
  </cols>
  <sheetData>
    <row r="1" spans="1:27" ht="18">
      <c r="A1" s="10" t="s">
        <v>599</v>
      </c>
      <c r="D1" t="s">
        <v>250</v>
      </c>
    </row>
    <row r="2" spans="1:27" ht="18">
      <c r="A2" s="10"/>
      <c r="D2" s="245"/>
      <c r="F2" s="9"/>
    </row>
    <row r="3" spans="1:27" ht="18">
      <c r="A3" s="10"/>
      <c r="B3" s="16"/>
      <c r="C3" s="17"/>
      <c r="D3" s="245"/>
      <c r="O3" s="18">
        <v>1</v>
      </c>
      <c r="P3" t="s">
        <v>666</v>
      </c>
      <c r="Z3" s="463">
        <v>0</v>
      </c>
      <c r="AA3" s="463">
        <v>1</v>
      </c>
    </row>
    <row r="4" spans="1:27" ht="18">
      <c r="B4" s="131" t="s">
        <v>594</v>
      </c>
      <c r="C4" s="98"/>
      <c r="D4" s="252" t="str">
        <f>"~FI_T: "&amp;Region&amp;"~EUR10"</f>
        <v>~FI_T: FIN~EUR10</v>
      </c>
      <c r="E4" s="4"/>
      <c r="R4" s="4"/>
      <c r="S4" s="4"/>
    </row>
    <row r="5" spans="1:27" ht="53.25" customHeight="1"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537</v>
      </c>
      <c r="U5" s="52" t="s">
        <v>471</v>
      </c>
      <c r="V5" s="52" t="s">
        <v>778</v>
      </c>
      <c r="W5" s="257" t="s">
        <v>381</v>
      </c>
      <c r="X5" s="14"/>
      <c r="Y5" s="427" t="s">
        <v>993</v>
      </c>
      <c r="Z5" s="427" t="s">
        <v>997</v>
      </c>
      <c r="AA5" s="427" t="s">
        <v>998</v>
      </c>
    </row>
    <row r="6" spans="1:27" ht="15.75" customHeight="1" thickBot="1">
      <c r="A6" s="14"/>
      <c r="B6" s="434" t="s">
        <v>999</v>
      </c>
      <c r="C6" s="190"/>
      <c r="D6" s="190"/>
      <c r="E6" s="191"/>
      <c r="F6" s="191"/>
      <c r="G6" s="191"/>
      <c r="H6" s="191"/>
      <c r="I6" s="190"/>
      <c r="J6" s="193"/>
      <c r="K6" s="191"/>
      <c r="L6" s="190"/>
      <c r="M6" s="190"/>
      <c r="N6" s="191"/>
      <c r="O6" s="192"/>
      <c r="P6" s="192"/>
      <c r="Q6" s="190"/>
      <c r="R6" s="192"/>
      <c r="S6" s="190"/>
      <c r="T6" s="190"/>
      <c r="U6" s="190"/>
      <c r="V6" s="190"/>
      <c r="W6" s="257"/>
      <c r="X6" s="14"/>
      <c r="Y6" s="190"/>
      <c r="Z6" s="190"/>
      <c r="AA6" s="190"/>
    </row>
    <row r="7" spans="1:27" ht="15.75" customHeight="1">
      <c r="A7" s="100"/>
      <c r="B7" s="267" t="s">
        <v>262</v>
      </c>
      <c r="C7" s="408" t="s">
        <v>509</v>
      </c>
      <c r="D7" s="99" t="str">
        <f ca="1">IEAData!H9</f>
        <v>RESNGA</v>
      </c>
      <c r="E7" s="163">
        <f ca="1">IEAData!C81*IEAData!B66</f>
        <v>0</v>
      </c>
      <c r="F7" s="163">
        <f ca="1">AuxData!C81*AuxData!B66</f>
        <v>0</v>
      </c>
      <c r="G7" s="101">
        <v>1.5</v>
      </c>
      <c r="H7" s="343" t="str">
        <f>RIGHT(D7,3)</f>
        <v>NGA</v>
      </c>
      <c r="I7" s="184">
        <v>1</v>
      </c>
      <c r="J7" s="6">
        <f>G7*I7</f>
        <v>1.5</v>
      </c>
      <c r="K7" s="38">
        <f ca="1">F7*J7</f>
        <v>0</v>
      </c>
      <c r="L7" s="19">
        <v>1</v>
      </c>
      <c r="M7" s="18">
        <v>0.13</v>
      </c>
      <c r="N7" s="18">
        <v>20</v>
      </c>
      <c r="O7" s="160">
        <f ca="1">E7*J7/$M7</f>
        <v>0</v>
      </c>
      <c r="P7" s="104">
        <f ca="1">F7*$J7/$M7</f>
        <v>0</v>
      </c>
      <c r="Q7" s="104"/>
      <c r="R7" s="104">
        <v>0</v>
      </c>
      <c r="S7" s="40"/>
      <c r="T7" s="40"/>
      <c r="U7" s="40"/>
      <c r="V7" s="40"/>
      <c r="W7" s="258">
        <f ca="1">IF($E$12=0,0,E7/$E$12)</f>
        <v>0</v>
      </c>
      <c r="X7" s="100"/>
      <c r="Y7" s="436">
        <f ca="1">IF(B6="*",MATCH(LEFT(B7,3),OFFSET(CalibData!$C$78,1,0,100),0),Y6)</f>
        <v>12</v>
      </c>
    </row>
    <row r="8" spans="1:27" ht="15.75" customHeight="1">
      <c r="A8" s="100" t="s">
        <v>250</v>
      </c>
      <c r="B8" s="267" t="s">
        <v>178</v>
      </c>
      <c r="C8" s="408" t="s">
        <v>510</v>
      </c>
      <c r="D8" s="82" t="s">
        <v>835</v>
      </c>
      <c r="E8" s="163">
        <f ca="1">IEAData!C90*IEAData!B75</f>
        <v>0</v>
      </c>
      <c r="F8" s="163">
        <f ca="1">AuxData!C90*AuxData!B75</f>
        <v>0</v>
      </c>
      <c r="G8" s="521">
        <v>3.7</v>
      </c>
      <c r="H8" s="343" t="str">
        <f>RIGHT(D8,3)</f>
        <v>ELC</v>
      </c>
      <c r="I8" s="53">
        <v>1</v>
      </c>
      <c r="J8" s="6">
        <f>G8*I8</f>
        <v>3.7</v>
      </c>
      <c r="K8" s="38">
        <f ca="1">F8*J8</f>
        <v>0</v>
      </c>
      <c r="L8" s="19">
        <v>1</v>
      </c>
      <c r="M8" s="18">
        <v>0.13</v>
      </c>
      <c r="N8" s="18">
        <v>20</v>
      </c>
      <c r="O8" s="161">
        <f ca="1">E8*J8/$M8</f>
        <v>0</v>
      </c>
      <c r="P8" s="104">
        <f ca="1">F8*J8/M8</f>
        <v>0</v>
      </c>
      <c r="Q8" s="104"/>
      <c r="R8" s="104">
        <v>0</v>
      </c>
      <c r="S8" s="40"/>
      <c r="T8" s="40"/>
      <c r="U8" s="40"/>
      <c r="V8" s="40"/>
      <c r="W8" s="258">
        <f ca="1">IF($E$12=0,0,E8/$E$12)</f>
        <v>0</v>
      </c>
      <c r="X8" s="100" t="s">
        <v>250</v>
      </c>
      <c r="Y8" s="436">
        <f ca="1">IF(B7="*",MATCH(LEFT(B8,3),OFFSET(CalibData!$C$78,1,0,100),0),Y7)</f>
        <v>12</v>
      </c>
    </row>
    <row r="9" spans="1:27" ht="15.75" customHeight="1">
      <c r="B9" s="268" t="s">
        <v>616</v>
      </c>
      <c r="C9" s="378" t="s">
        <v>511</v>
      </c>
      <c r="D9" s="82" t="s">
        <v>835</v>
      </c>
      <c r="E9" s="163">
        <f ca="1">IEAData!$C$88*IEAData!$B$73*Z9</f>
        <v>0.11157404799456394</v>
      </c>
      <c r="F9" s="163">
        <f ca="1">AuxData!$C$88*AuxData!$B$73*AA9</f>
        <v>0.3419449049575416</v>
      </c>
      <c r="G9" s="77">
        <v>2.9</v>
      </c>
      <c r="H9" s="343" t="str">
        <f>RIGHT(D9,3)</f>
        <v>ELC</v>
      </c>
      <c r="I9" s="53">
        <v>1</v>
      </c>
      <c r="J9" s="6">
        <f>G9*I9</f>
        <v>2.9</v>
      </c>
      <c r="K9" s="38">
        <f ca="1">F9*J9</f>
        <v>0.9916402243768706</v>
      </c>
      <c r="L9" s="19">
        <v>1</v>
      </c>
      <c r="M9" s="18">
        <v>0.13</v>
      </c>
      <c r="N9" s="18">
        <v>20</v>
      </c>
      <c r="O9" s="161">
        <f ca="1">E9*J9/$M9</f>
        <v>2.488959532186426</v>
      </c>
      <c r="P9" s="104">
        <f ca="1">F9*J9/M9</f>
        <v>7.6280017259759276</v>
      </c>
      <c r="Q9" s="104"/>
      <c r="R9" s="104">
        <v>0</v>
      </c>
      <c r="S9" s="40"/>
      <c r="T9" s="40"/>
      <c r="U9" s="40"/>
      <c r="V9" s="40"/>
      <c r="W9" s="258">
        <f ca="1">IF($E$12=0,0,E9/$E$12)</f>
        <v>0.53749999999999987</v>
      </c>
      <c r="Y9" s="436">
        <f ca="1">IF(B8="*",MATCH(LEFT(B9,3),OFFSET(CalibData!$C$78,1,0,100),0),Y8)</f>
        <v>12</v>
      </c>
      <c r="Z9" s="363">
        <f t="array" aca="1" ref="Z9:Z10" ca="1">OFFSET(TechShar,$Y9,Z$3,2)</f>
        <v>0.53749999999999998</v>
      </c>
      <c r="AA9" s="363">
        <f t="array" aca="1" ref="AA9:AA10" ca="1">OFFSET(TechShar,$Y9,AA$3,2)</f>
        <v>0.53749999999999998</v>
      </c>
    </row>
    <row r="10" spans="1:27" ht="15.75" customHeight="1">
      <c r="B10" s="268" t="s">
        <v>605</v>
      </c>
      <c r="C10" s="378" t="s">
        <v>512</v>
      </c>
      <c r="D10" s="82" t="s">
        <v>835</v>
      </c>
      <c r="E10" s="163">
        <f ca="1">IEAData!$C$88*IEAData!$B$73*Z10</f>
        <v>8.6768282905539951E-3</v>
      </c>
      <c r="F10" s="163">
        <f ca="1">AuxData!$C$88*AuxData!$B$73*AA10</f>
        <v>2.6592180515767883E-2</v>
      </c>
      <c r="G10" s="77">
        <v>3</v>
      </c>
      <c r="H10" s="343" t="str">
        <f>RIGHT(D10,3)</f>
        <v>ELC</v>
      </c>
      <c r="I10" s="53">
        <v>1</v>
      </c>
      <c r="J10" s="6">
        <f>G10*I10</f>
        <v>3</v>
      </c>
      <c r="K10" s="38">
        <f ca="1">F10*J10</f>
        <v>7.9776541547303653E-2</v>
      </c>
      <c r="L10" s="19">
        <v>1</v>
      </c>
      <c r="M10" s="18">
        <v>0.13</v>
      </c>
      <c r="N10" s="18">
        <v>15</v>
      </c>
      <c r="O10" s="161">
        <f ca="1">E10*J10/$M10</f>
        <v>0.20023449901278451</v>
      </c>
      <c r="P10" s="104">
        <f ca="1">F10*J10/M10</f>
        <v>0.61366570421002808</v>
      </c>
      <c r="Q10" s="104"/>
      <c r="R10" s="104">
        <v>0</v>
      </c>
      <c r="S10" s="40"/>
      <c r="T10" s="53"/>
      <c r="U10" s="53"/>
      <c r="V10" s="40"/>
      <c r="W10" s="258">
        <f ca="1">IF($E$12=0,0,E10/$E$12)</f>
        <v>4.179999999999999E-2</v>
      </c>
      <c r="Y10" s="436">
        <f ca="1">IF(B9="*",MATCH(LEFT(B10,3),OFFSET(CalibData!$C$78,1,0,100),0),Y9)</f>
        <v>12</v>
      </c>
      <c r="Z10" s="363">
        <f ca="1"/>
        <v>4.1799999999999997E-2</v>
      </c>
      <c r="AA10" s="363">
        <f ca="1"/>
        <v>4.1799999999999997E-2</v>
      </c>
    </row>
    <row r="11" spans="1:27" ht="15.75" customHeight="1" thickBot="1">
      <c r="B11" s="269" t="s">
        <v>617</v>
      </c>
      <c r="C11" s="403" t="s">
        <v>513</v>
      </c>
      <c r="D11" s="82" t="s">
        <v>835</v>
      </c>
      <c r="E11" s="164">
        <f ca="1">IEAData!$C$88*IEAData!$B$73*Z11</f>
        <v>8.7328747890815003E-2</v>
      </c>
      <c r="F11" s="164">
        <f ca="1">AuxData!$C$88*AuxData!$B$73*AA11</f>
        <v>0.26763948188955866</v>
      </c>
      <c r="G11" s="78">
        <v>3</v>
      </c>
      <c r="H11" s="343" t="str">
        <f>RIGHT(D11,3)</f>
        <v>ELC</v>
      </c>
      <c r="I11" s="54">
        <v>1</v>
      </c>
      <c r="J11" s="21">
        <f>G11*I11</f>
        <v>3</v>
      </c>
      <c r="K11" s="38">
        <f ca="1">F11*J11</f>
        <v>0.80291844566867598</v>
      </c>
      <c r="L11" s="73">
        <v>1</v>
      </c>
      <c r="M11" s="20">
        <v>0.13</v>
      </c>
      <c r="N11" s="20">
        <v>15</v>
      </c>
      <c r="O11" s="162">
        <f ca="1">E11*J11/$M11</f>
        <v>2.0152787974803461</v>
      </c>
      <c r="P11" s="104">
        <f ca="1">F11*J11/M11</f>
        <v>6.176295735912892</v>
      </c>
      <c r="Q11" s="117"/>
      <c r="R11" s="117">
        <v>0</v>
      </c>
      <c r="S11" s="54"/>
      <c r="T11" s="54"/>
      <c r="U11" s="54"/>
      <c r="V11" s="54"/>
      <c r="W11" s="258">
        <f ca="1">IF($E$12=0,0,E11/$E$12)</f>
        <v>0.42070000000000007</v>
      </c>
      <c r="Y11" s="436">
        <f ca="1">IF(B10="*",MATCH(LEFT(B11,3),OFFSET(CalibData!$C$78,1,0,100),0),Y10)</f>
        <v>12</v>
      </c>
      <c r="Z11" s="363">
        <f ca="1">1-SUM(Z9:Z10)</f>
        <v>0.42070000000000007</v>
      </c>
      <c r="AA11" s="363">
        <f ca="1">1-SUM(AA9:AA10)</f>
        <v>0.42070000000000007</v>
      </c>
    </row>
    <row r="12" spans="1:27" ht="15.75" customHeight="1" thickBot="1">
      <c r="B12" s="434" t="s">
        <v>999</v>
      </c>
      <c r="C12" s="190" t="s">
        <v>1001</v>
      </c>
      <c r="D12" s="190"/>
      <c r="E12" s="191">
        <f ca="1">SUM(E7:E11)</f>
        <v>0.20757962417593295</v>
      </c>
      <c r="F12" s="191"/>
      <c r="G12" s="191"/>
      <c r="H12" s="191">
        <f ca="1">SUMPRODUCT(E7:E11,J7:J11)</f>
        <v>0.61158146772834243</v>
      </c>
      <c r="I12" s="190"/>
      <c r="J12" s="193"/>
      <c r="K12" s="191">
        <f ca="1">SUM(K7:K11)</f>
        <v>1.8743352115928502</v>
      </c>
      <c r="L12" s="190"/>
      <c r="M12" s="190"/>
      <c r="N12" s="191"/>
      <c r="O12" s="192">
        <f ca="1">SUM(O7:O11)</f>
        <v>4.7044728286795561</v>
      </c>
      <c r="P12" s="192"/>
      <c r="Q12" s="190"/>
      <c r="R12" s="192"/>
      <c r="S12" s="190"/>
      <c r="T12" s="190"/>
      <c r="U12" s="190"/>
      <c r="V12" s="190"/>
      <c r="W12" s="258">
        <f ca="1">SUM(W7:W11)</f>
        <v>0.99999999999999989</v>
      </c>
      <c r="Y12" s="190"/>
      <c r="Z12" s="190"/>
      <c r="AA12" s="190"/>
    </row>
    <row r="13" spans="1:27" ht="15.75" customHeight="1">
      <c r="B13" s="267" t="s">
        <v>611</v>
      </c>
      <c r="C13" s="408" t="s">
        <v>514</v>
      </c>
      <c r="D13" s="99" t="str">
        <f ca="1">IEAData!H9</f>
        <v>RESNGA</v>
      </c>
      <c r="E13" s="163">
        <f ca="1">IEAData!C81*IEAData!C66</f>
        <v>0</v>
      </c>
      <c r="F13" s="163">
        <f ca="1">AuxData!C81*AuxData!C66</f>
        <v>0</v>
      </c>
      <c r="G13" s="101">
        <v>1.5</v>
      </c>
      <c r="H13" s="343" t="str">
        <f>RIGHT(D13,3)</f>
        <v>NGA</v>
      </c>
      <c r="I13" s="184">
        <v>1</v>
      </c>
      <c r="J13" s="6">
        <f>G13*I13</f>
        <v>1.5</v>
      </c>
      <c r="K13" s="38">
        <f ca="1">F13*J13</f>
        <v>0</v>
      </c>
      <c r="L13" s="19">
        <v>1</v>
      </c>
      <c r="M13" s="18">
        <v>0.13</v>
      </c>
      <c r="N13" s="18">
        <v>20</v>
      </c>
      <c r="O13" s="160">
        <f ca="1">E13*J13/$M13</f>
        <v>0</v>
      </c>
      <c r="P13" s="104">
        <f ca="1">F13*J13/M13</f>
        <v>0</v>
      </c>
      <c r="Q13" s="104"/>
      <c r="R13" s="104">
        <v>0</v>
      </c>
      <c r="S13" s="40"/>
      <c r="T13" s="40">
        <v>6</v>
      </c>
      <c r="U13" s="40">
        <v>6</v>
      </c>
      <c r="V13" s="40"/>
      <c r="W13" s="258">
        <f ca="1">IF($E$18=0,0,E13/$E$18)</f>
        <v>0</v>
      </c>
      <c r="Y13" s="436">
        <f ca="1">IF(B12="*",MATCH(LEFT(B13,3),OFFSET(CalibData!$C$78,1,0,100),0),Y12)</f>
        <v>14</v>
      </c>
    </row>
    <row r="14" spans="1:27" ht="15.75" customHeight="1">
      <c r="B14" s="267" t="s">
        <v>604</v>
      </c>
      <c r="C14" s="408" t="s">
        <v>515</v>
      </c>
      <c r="D14" s="82" t="s">
        <v>835</v>
      </c>
      <c r="E14" s="163">
        <f ca="1">IEAData!C90*IEAData!C75</f>
        <v>0</v>
      </c>
      <c r="F14" s="163">
        <f ca="1">AuxData!C90*AuxData!C75</f>
        <v>0</v>
      </c>
      <c r="G14" s="521">
        <v>3.7</v>
      </c>
      <c r="H14" s="343" t="str">
        <f>RIGHT(D14,3)</f>
        <v>ELC</v>
      </c>
      <c r="I14" s="53">
        <v>1</v>
      </c>
      <c r="J14" s="6">
        <f>G14*I14</f>
        <v>3.7</v>
      </c>
      <c r="K14" s="38">
        <f ca="1">F14*J14</f>
        <v>0</v>
      </c>
      <c r="L14" s="19">
        <v>1</v>
      </c>
      <c r="M14" s="18">
        <v>0.13</v>
      </c>
      <c r="N14" s="18">
        <v>20</v>
      </c>
      <c r="O14" s="161">
        <f ca="1">E14*J14/$M14</f>
        <v>0</v>
      </c>
      <c r="P14" s="104">
        <f ca="1">F14*J14/M14</f>
        <v>0</v>
      </c>
      <c r="Q14" s="104"/>
      <c r="R14" s="104">
        <v>0</v>
      </c>
      <c r="S14" s="40"/>
      <c r="T14" s="40">
        <v>6</v>
      </c>
      <c r="U14" s="40">
        <v>6</v>
      </c>
      <c r="V14" s="40"/>
      <c r="W14" s="258">
        <f ca="1">IF($E$18=0,0,E14/$E$18)</f>
        <v>0</v>
      </c>
      <c r="Y14" s="436">
        <f ca="1">IF(B13="*",MATCH(LEFT(B14,3),OFFSET(CalibData!$C$78,1,0,100),0),Y13)</f>
        <v>14</v>
      </c>
    </row>
    <row r="15" spans="1:27" ht="15.75" customHeight="1">
      <c r="B15" s="268" t="s">
        <v>618</v>
      </c>
      <c r="C15" s="378" t="s">
        <v>516</v>
      </c>
      <c r="D15" s="82" t="s">
        <v>835</v>
      </c>
      <c r="E15" s="163">
        <f ca="1">IEAData!$C$88*IEAData!$C$73*Z15</f>
        <v>0</v>
      </c>
      <c r="F15" s="163">
        <f ca="1">AuxData!$C$88*AuxData!$C$73*AA15</f>
        <v>0</v>
      </c>
      <c r="G15" s="77">
        <v>2.9</v>
      </c>
      <c r="H15" s="343" t="str">
        <f>RIGHT(D15,3)</f>
        <v>ELC</v>
      </c>
      <c r="I15" s="53">
        <v>1</v>
      </c>
      <c r="J15" s="6">
        <f>G15*I15</f>
        <v>2.9</v>
      </c>
      <c r="K15" s="38">
        <f ca="1">F15*J15</f>
        <v>0</v>
      </c>
      <c r="L15" s="19">
        <v>1</v>
      </c>
      <c r="M15" s="18">
        <v>0.13</v>
      </c>
      <c r="N15" s="18">
        <v>20</v>
      </c>
      <c r="O15" s="161">
        <f ca="1">E15*J15/$M15</f>
        <v>0</v>
      </c>
      <c r="P15" s="104">
        <f ca="1">F15*J15/M15</f>
        <v>0</v>
      </c>
      <c r="Q15" s="104"/>
      <c r="R15" s="104">
        <v>0</v>
      </c>
      <c r="S15" s="40"/>
      <c r="T15" s="40">
        <v>6</v>
      </c>
      <c r="U15" s="40">
        <v>6</v>
      </c>
      <c r="V15" s="40"/>
      <c r="W15" s="258">
        <f ca="1">IF($E$18=0,0,E15/$E$18)</f>
        <v>0</v>
      </c>
      <c r="Y15" s="436">
        <f ca="1">IF(B14="*",MATCH(LEFT(B15,3),OFFSET(CalibData!$C$78,1,0,100),0),Y14)</f>
        <v>14</v>
      </c>
      <c r="Z15" s="363">
        <f t="array" aca="1" ref="Z15:Z16" ca="1">OFFSET(TechShar,$Y15,Z$3,2)</f>
        <v>0.53749999999999998</v>
      </c>
      <c r="AA15" s="363">
        <f t="array" aca="1" ref="AA15:AA16" ca="1">OFFSET(TechShar,$Y15,AA$3,2)</f>
        <v>0.53749999999999998</v>
      </c>
    </row>
    <row r="16" spans="1:27" ht="15.75" customHeight="1">
      <c r="B16" s="268" t="s">
        <v>606</v>
      </c>
      <c r="C16" s="378" t="s">
        <v>531</v>
      </c>
      <c r="D16" s="82" t="s">
        <v>835</v>
      </c>
      <c r="E16" s="163">
        <f ca="1">IEAData!$C$88*IEAData!$C$73*Z16</f>
        <v>0</v>
      </c>
      <c r="F16" s="163">
        <f ca="1">AuxData!$C$88*AuxData!$C$73*AA16</f>
        <v>0</v>
      </c>
      <c r="G16" s="77">
        <v>3</v>
      </c>
      <c r="H16" s="343" t="str">
        <f>RIGHT(D16,3)</f>
        <v>ELC</v>
      </c>
      <c r="I16" s="53">
        <v>1</v>
      </c>
      <c r="J16" s="6">
        <f>G16*I16</f>
        <v>3</v>
      </c>
      <c r="K16" s="38">
        <f ca="1">F16*J16</f>
        <v>0</v>
      </c>
      <c r="L16" s="19">
        <v>1</v>
      </c>
      <c r="M16" s="18">
        <v>0.13</v>
      </c>
      <c r="N16" s="18">
        <v>15</v>
      </c>
      <c r="O16" s="161">
        <f ca="1">E16*J16/$M16</f>
        <v>0</v>
      </c>
      <c r="P16" s="104">
        <f ca="1">F16*J16/M16</f>
        <v>0</v>
      </c>
      <c r="Q16" s="104"/>
      <c r="R16" s="104">
        <v>0</v>
      </c>
      <c r="S16" s="40"/>
      <c r="T16" s="53">
        <v>7</v>
      </c>
      <c r="U16" s="53">
        <v>7</v>
      </c>
      <c r="V16" s="40"/>
      <c r="W16" s="258">
        <f ca="1">IF($E$18=0,0,E16/$E$18)</f>
        <v>0</v>
      </c>
      <c r="Y16" s="436">
        <f ca="1">IF(B15="*",MATCH(LEFT(B16,3),OFFSET(CalibData!$C$78,1,0,100),0),Y15)</f>
        <v>14</v>
      </c>
      <c r="Z16" s="363">
        <f ca="1"/>
        <v>4.1799999999999997E-2</v>
      </c>
      <c r="AA16" s="363">
        <f ca="1"/>
        <v>4.1799999999999997E-2</v>
      </c>
    </row>
    <row r="17" spans="1:27" ht="15.75" customHeight="1" thickBot="1">
      <c r="B17" s="269" t="s">
        <v>619</v>
      </c>
      <c r="C17" s="403" t="s">
        <v>532</v>
      </c>
      <c r="D17" s="82" t="s">
        <v>835</v>
      </c>
      <c r="E17" s="164">
        <f ca="1">IEAData!$C$88*IEAData!$C$73*Z17</f>
        <v>0</v>
      </c>
      <c r="F17" s="164">
        <f ca="1">AuxData!$C$88*AuxData!$C$73*AA17</f>
        <v>0</v>
      </c>
      <c r="G17" s="78">
        <v>3</v>
      </c>
      <c r="H17" s="343" t="str">
        <f>RIGHT(D17,3)</f>
        <v>ELC</v>
      </c>
      <c r="I17" s="54">
        <v>1</v>
      </c>
      <c r="J17" s="21">
        <f>G17*I17</f>
        <v>3</v>
      </c>
      <c r="K17" s="38">
        <f ca="1">F17*J17</f>
        <v>0</v>
      </c>
      <c r="L17" s="73">
        <v>1</v>
      </c>
      <c r="M17" s="20">
        <v>0.13</v>
      </c>
      <c r="N17" s="20">
        <v>15</v>
      </c>
      <c r="O17" s="162">
        <f ca="1">E17*J17/$M17</f>
        <v>0</v>
      </c>
      <c r="P17" s="104">
        <f ca="1">F17*J17/M17</f>
        <v>0</v>
      </c>
      <c r="Q17" s="117"/>
      <c r="R17" s="117">
        <v>0</v>
      </c>
      <c r="S17" s="54"/>
      <c r="T17" s="54">
        <v>7</v>
      </c>
      <c r="U17" s="54">
        <v>7</v>
      </c>
      <c r="V17" s="54"/>
      <c r="W17" s="258">
        <f ca="1">IF($E$18=0,0,E17/$E$18)</f>
        <v>0</v>
      </c>
      <c r="Y17" s="436">
        <f ca="1">IF(B16="*",MATCH(LEFT(B17,3),OFFSET(CalibData!$C$78,1,0,100),0),Y16)</f>
        <v>14</v>
      </c>
      <c r="Z17" s="363">
        <f ca="1">1-SUM(Z15:Z16)</f>
        <v>0.42070000000000007</v>
      </c>
      <c r="AA17" s="363">
        <f ca="1">1-SUM(AA15:AA16)</f>
        <v>0.42070000000000007</v>
      </c>
    </row>
    <row r="18" spans="1:27" ht="15.75" customHeight="1">
      <c r="B18" s="434" t="s">
        <v>999</v>
      </c>
      <c r="C18" s="190" t="s">
        <v>1001</v>
      </c>
      <c r="D18" s="190"/>
      <c r="E18" s="191">
        <f ca="1">SUM(E13:E17)</f>
        <v>0</v>
      </c>
      <c r="F18" s="191">
        <f ca="1">SUM(F13:F17)</f>
        <v>0</v>
      </c>
      <c r="G18" s="191"/>
      <c r="H18" s="191">
        <f ca="1">SUMPRODUCT(E13:E17,J13:J17)</f>
        <v>0</v>
      </c>
      <c r="I18" s="190"/>
      <c r="J18" s="193"/>
      <c r="K18" s="191">
        <f ca="1">SUM(K13:K17)</f>
        <v>0</v>
      </c>
      <c r="L18" s="190"/>
      <c r="M18" s="190"/>
      <c r="N18" s="191"/>
      <c r="O18" s="192">
        <f ca="1">SUM(O13:O17)</f>
        <v>0</v>
      </c>
      <c r="P18" s="192"/>
      <c r="Q18" s="190"/>
      <c r="R18" s="192"/>
      <c r="S18" s="190"/>
      <c r="T18" s="190"/>
      <c r="U18" s="190"/>
      <c r="V18" s="190"/>
      <c r="W18" s="258">
        <f ca="1">SUM(W13:W17)</f>
        <v>0</v>
      </c>
      <c r="Y18" s="190"/>
      <c r="Z18" s="190"/>
      <c r="AA18" s="190"/>
    </row>
    <row r="19" spans="1:27">
      <c r="B19" s="123"/>
      <c r="C19" s="55"/>
      <c r="D19" s="55"/>
      <c r="E19" s="57"/>
      <c r="G19" s="57"/>
      <c r="H19" s="57"/>
      <c r="I19" s="55"/>
      <c r="J19" s="254"/>
      <c r="K19" s="57"/>
      <c r="L19" s="55"/>
      <c r="M19" s="55"/>
      <c r="N19" s="57"/>
      <c r="O19" s="161"/>
      <c r="P19" s="55"/>
      <c r="Q19" s="55"/>
      <c r="R19" s="161"/>
      <c r="S19" s="55"/>
      <c r="T19" s="55"/>
      <c r="U19" s="55"/>
      <c r="V19" s="55"/>
    </row>
    <row r="20" spans="1:27">
      <c r="B20" s="123"/>
      <c r="C20" s="55"/>
      <c r="D20" s="256"/>
      <c r="E20" s="57"/>
      <c r="F20" s="57"/>
      <c r="G20" s="57"/>
      <c r="H20" s="55"/>
      <c r="I20" s="254"/>
      <c r="J20" s="57"/>
      <c r="K20" s="255"/>
      <c r="L20" s="55"/>
      <c r="M20" s="55"/>
      <c r="N20" s="57"/>
      <c r="O20" s="161"/>
      <c r="P20" s="55"/>
      <c r="Q20" s="55"/>
      <c r="R20" s="161"/>
      <c r="S20" s="55"/>
      <c r="T20" s="55"/>
      <c r="U20" s="55"/>
      <c r="V20" s="55"/>
    </row>
    <row r="21" spans="1:27">
      <c r="B21" s="123"/>
      <c r="C21" s="55"/>
      <c r="D21" s="55"/>
      <c r="E21" s="57"/>
      <c r="G21" s="57"/>
      <c r="H21" s="57"/>
      <c r="I21" s="55"/>
      <c r="J21" s="254"/>
      <c r="K21" s="57"/>
      <c r="L21" s="55"/>
      <c r="M21" s="55"/>
      <c r="N21" s="57"/>
      <c r="O21" s="161"/>
      <c r="P21" s="55"/>
      <c r="Q21" s="55"/>
      <c r="R21" s="161"/>
      <c r="S21" s="55"/>
      <c r="T21" s="55"/>
      <c r="U21" s="55"/>
      <c r="V21" s="55"/>
    </row>
    <row r="22" spans="1:27">
      <c r="B22" s="123"/>
      <c r="C22" s="55"/>
      <c r="D22" s="55"/>
      <c r="E22" s="57"/>
      <c r="F22" s="57"/>
      <c r="G22" s="55"/>
      <c r="H22" s="55"/>
      <c r="I22" s="57"/>
      <c r="K22" s="161"/>
      <c r="L22" s="55"/>
      <c r="M22" s="55"/>
      <c r="R22" s="161"/>
      <c r="S22" s="55"/>
      <c r="T22" s="55"/>
      <c r="U22" s="55"/>
      <c r="V22" s="55"/>
    </row>
    <row r="23" spans="1:27">
      <c r="B23" s="123"/>
      <c r="C23" s="55"/>
      <c r="D23" s="256"/>
      <c r="E23" s="57"/>
      <c r="F23" s="57"/>
      <c r="G23" s="55"/>
      <c r="H23" s="55"/>
      <c r="I23" s="57"/>
      <c r="K23" s="161"/>
      <c r="L23" s="55"/>
      <c r="M23" s="55"/>
      <c r="R23" s="161"/>
      <c r="S23" s="55"/>
      <c r="T23" s="55"/>
      <c r="U23" s="55"/>
      <c r="V23" s="55"/>
    </row>
    <row r="24" spans="1:27" ht="18">
      <c r="B24" s="155" t="s">
        <v>592</v>
      </c>
      <c r="C24" s="156"/>
      <c r="D24" s="252"/>
    </row>
    <row r="25" spans="1:27" ht="13.5" thickBot="1">
      <c r="B25" s="27" t="s">
        <v>384</v>
      </c>
      <c r="C25" s="27" t="s">
        <v>385</v>
      </c>
      <c r="D25" s="27" t="s">
        <v>243</v>
      </c>
      <c r="E25" s="344" t="s">
        <v>942</v>
      </c>
      <c r="F25" s="344" t="s">
        <v>942</v>
      </c>
      <c r="G25" s="27"/>
    </row>
    <row r="26" spans="1:27">
      <c r="A26" s="7"/>
      <c r="B26" s="58" t="s">
        <v>255</v>
      </c>
      <c r="C26" s="28" t="str">
        <f ca="1">CONCATENATE("Residential Cooling - ",IEAData!B49)</f>
        <v>Residential Cooling - Region1</v>
      </c>
      <c r="D26" s="80" t="s">
        <v>249</v>
      </c>
      <c r="E26" s="63">
        <f ca="1">H12</f>
        <v>0.61158146772834243</v>
      </c>
      <c r="F26" s="63">
        <f ca="1">SUMPRODUCT(F7:F11,J7:J11)</f>
        <v>1.8743352115928502</v>
      </c>
      <c r="G26" s="18"/>
    </row>
    <row r="27" spans="1:27">
      <c r="B27" s="58" t="s">
        <v>254</v>
      </c>
      <c r="C27" s="28" t="str">
        <f ca="1">CONCATENATE("Residential Cooling - ",IEAData!C49)</f>
        <v>Residential Cooling - Region2</v>
      </c>
      <c r="D27" s="80" t="s">
        <v>249</v>
      </c>
      <c r="E27" s="63">
        <f ca="1">H18</f>
        <v>0</v>
      </c>
      <c r="F27" s="63">
        <f ca="1">SUMPRODUCT(F13:F17,J13:J17)</f>
        <v>0</v>
      </c>
      <c r="G27" s="18"/>
    </row>
    <row r="30" spans="1:27" ht="30.6" customHeight="1"/>
    <row r="50" spans="3:28">
      <c r="D50" s="123"/>
      <c r="E50" s="123"/>
      <c r="F50" s="123"/>
      <c r="G50" s="123"/>
      <c r="H50" s="122"/>
      <c r="I50" s="123"/>
      <c r="J50" s="123"/>
      <c r="K50" s="123"/>
      <c r="L50" s="123"/>
      <c r="M50" s="123"/>
      <c r="N50" s="123"/>
      <c r="O50" s="123"/>
      <c r="P50" s="123"/>
      <c r="Q50" s="123"/>
      <c r="R50" s="123"/>
      <c r="S50" s="124"/>
      <c r="T50" s="124"/>
      <c r="U50" s="123"/>
      <c r="V50" s="123"/>
      <c r="W50" s="123"/>
      <c r="X50" s="123"/>
      <c r="Y50" s="123"/>
      <c r="Z50" s="123"/>
      <c r="AA50" s="123"/>
      <c r="AB50" s="123"/>
    </row>
    <row r="51" spans="3:28">
      <c r="D51" s="123"/>
      <c r="E51" s="123"/>
      <c r="F51" s="123"/>
      <c r="G51" s="123"/>
      <c r="H51" s="122"/>
      <c r="I51" s="123"/>
      <c r="J51" s="123"/>
      <c r="K51" s="123"/>
      <c r="L51" s="123"/>
      <c r="M51" s="123"/>
      <c r="N51" s="123"/>
      <c r="O51" s="123"/>
      <c r="P51" s="123"/>
      <c r="Q51" s="123"/>
      <c r="R51" s="123"/>
      <c r="S51" s="124"/>
      <c r="T51" s="124"/>
      <c r="U51" s="123"/>
      <c r="V51" s="123"/>
      <c r="W51" s="123"/>
      <c r="X51" s="123"/>
      <c r="Y51" s="123"/>
      <c r="Z51" s="123"/>
      <c r="AA51" s="123"/>
      <c r="AB51" s="123"/>
    </row>
    <row r="52" spans="3:28">
      <c r="D52" s="123"/>
      <c r="E52" s="123"/>
      <c r="F52" s="123"/>
      <c r="G52" s="123"/>
      <c r="H52" s="122"/>
      <c r="I52" s="123"/>
      <c r="J52" s="123"/>
      <c r="K52" s="123"/>
      <c r="L52" s="123"/>
      <c r="M52" s="123"/>
      <c r="N52" s="123"/>
      <c r="O52" s="123"/>
      <c r="P52" s="123"/>
      <c r="Q52" s="123"/>
      <c r="R52" s="123"/>
      <c r="S52" s="124"/>
      <c r="T52" s="124"/>
      <c r="U52" s="123"/>
      <c r="V52" s="123"/>
      <c r="W52" s="123"/>
      <c r="X52" s="123"/>
      <c r="Y52" s="123"/>
      <c r="Z52" s="123"/>
      <c r="AA52" s="123"/>
      <c r="AB52" s="123"/>
    </row>
    <row r="53" spans="3:28">
      <c r="D53" s="123"/>
      <c r="E53" s="123"/>
      <c r="F53" s="123"/>
      <c r="G53" s="123"/>
      <c r="H53" s="122"/>
      <c r="I53" s="123"/>
      <c r="J53" s="123"/>
      <c r="K53" s="123"/>
      <c r="L53" s="123"/>
      <c r="M53" s="123"/>
      <c r="N53" s="123"/>
      <c r="O53" s="123"/>
      <c r="P53" s="123"/>
      <c r="Q53" s="123"/>
      <c r="R53" s="123"/>
      <c r="S53" s="124"/>
      <c r="T53" s="124"/>
      <c r="U53" s="123"/>
      <c r="V53" s="123"/>
      <c r="W53" s="123"/>
      <c r="X53" s="123"/>
      <c r="Y53" s="123"/>
      <c r="Z53" s="123"/>
      <c r="AA53" s="123"/>
      <c r="AB53" s="123"/>
    </row>
    <row r="54" spans="3:28">
      <c r="D54" s="123"/>
      <c r="E54" s="123"/>
      <c r="F54" s="123"/>
      <c r="G54" s="123"/>
      <c r="H54" s="122"/>
      <c r="I54" s="123"/>
      <c r="J54" s="123"/>
      <c r="K54" s="123"/>
      <c r="L54" s="123"/>
      <c r="M54" s="123"/>
      <c r="N54" s="123"/>
      <c r="O54" s="123"/>
      <c r="P54" s="123"/>
      <c r="Q54" s="123"/>
      <c r="R54" s="123"/>
      <c r="S54" s="124"/>
      <c r="T54" s="124"/>
      <c r="U54" s="123"/>
      <c r="V54" s="123"/>
      <c r="W54" s="123"/>
      <c r="X54" s="123"/>
      <c r="Y54" s="123"/>
      <c r="Z54" s="123"/>
      <c r="AA54" s="123"/>
      <c r="AB54" s="123"/>
    </row>
    <row r="55" spans="3:28">
      <c r="D55" s="123"/>
      <c r="E55" s="123"/>
      <c r="F55" s="123"/>
      <c r="G55" s="123"/>
      <c r="H55" s="122"/>
      <c r="I55" s="123"/>
      <c r="J55" s="123"/>
      <c r="K55" s="123"/>
      <c r="L55" s="123"/>
      <c r="M55" s="123"/>
      <c r="N55" s="123"/>
      <c r="O55" s="123"/>
      <c r="P55" s="123"/>
      <c r="Q55" s="123"/>
      <c r="R55" s="123"/>
      <c r="S55" s="124"/>
      <c r="T55" s="124"/>
      <c r="U55" s="123"/>
      <c r="V55" s="123"/>
      <c r="W55" s="123"/>
      <c r="X55" s="123"/>
      <c r="Y55" s="123"/>
      <c r="Z55" s="123"/>
      <c r="AA55" s="123"/>
      <c r="AB55" s="123"/>
    </row>
    <row r="56" spans="3:28">
      <c r="D56" s="123"/>
      <c r="E56" s="123"/>
      <c r="F56" s="123"/>
      <c r="G56" s="123"/>
      <c r="H56" s="122"/>
      <c r="I56" s="123"/>
      <c r="J56" s="123"/>
      <c r="K56" s="123"/>
      <c r="L56" s="123"/>
      <c r="M56" s="123"/>
      <c r="N56" s="123"/>
      <c r="O56" s="123"/>
      <c r="P56" s="123"/>
      <c r="Q56" s="123"/>
      <c r="R56" s="123"/>
      <c r="S56" s="124"/>
      <c r="T56" s="124"/>
      <c r="U56" s="123"/>
      <c r="V56" s="123"/>
      <c r="W56" s="123"/>
      <c r="X56" s="123"/>
      <c r="Y56" s="123"/>
      <c r="Z56" s="123"/>
      <c r="AA56" s="123"/>
      <c r="AB56" s="123"/>
    </row>
    <row r="57" spans="3:28">
      <c r="D57" s="123"/>
      <c r="E57" s="123"/>
      <c r="F57" s="123"/>
      <c r="G57" s="123"/>
      <c r="H57" s="122"/>
      <c r="I57" s="123"/>
      <c r="J57" s="123"/>
      <c r="K57" s="123"/>
      <c r="L57" s="123"/>
      <c r="M57" s="123"/>
      <c r="N57" s="123"/>
      <c r="O57" s="123"/>
      <c r="P57" s="123"/>
      <c r="Q57" s="123"/>
      <c r="R57" s="123"/>
      <c r="S57" s="124"/>
      <c r="T57" s="124"/>
      <c r="U57" s="123"/>
      <c r="V57" s="123"/>
      <c r="W57" s="123"/>
      <c r="X57" s="123"/>
      <c r="Y57" s="123"/>
      <c r="Z57" s="123"/>
      <c r="AA57" s="123"/>
      <c r="AB57" s="123"/>
    </row>
    <row r="58" spans="3:28">
      <c r="D58" s="123"/>
      <c r="E58" s="123"/>
      <c r="F58" s="123"/>
      <c r="G58" s="123"/>
      <c r="H58" s="122"/>
      <c r="I58" s="123"/>
      <c r="J58" s="123"/>
      <c r="K58" s="123"/>
      <c r="L58" s="123"/>
      <c r="M58" s="123"/>
      <c r="N58" s="123"/>
      <c r="O58" s="123"/>
      <c r="P58" s="123"/>
      <c r="Q58" s="123"/>
      <c r="R58" s="123"/>
      <c r="S58" s="124"/>
      <c r="T58" s="124"/>
      <c r="U58" s="123"/>
      <c r="V58" s="123"/>
      <c r="W58" s="123"/>
      <c r="X58" s="123"/>
      <c r="Y58" s="123"/>
      <c r="Z58" s="123"/>
      <c r="AA58" s="123"/>
      <c r="AB58" s="123"/>
    </row>
    <row r="59" spans="3:28">
      <c r="D59" s="123"/>
      <c r="E59" s="123"/>
      <c r="F59" s="123"/>
      <c r="G59" s="123"/>
      <c r="H59" s="122"/>
      <c r="I59" s="123"/>
      <c r="J59" s="123"/>
      <c r="K59" s="123"/>
      <c r="L59" s="123"/>
      <c r="M59" s="123"/>
      <c r="N59" s="123"/>
      <c r="O59" s="123"/>
      <c r="P59" s="123"/>
      <c r="Q59" s="123"/>
      <c r="R59" s="123"/>
      <c r="S59" s="124"/>
      <c r="T59" s="124"/>
      <c r="U59" s="123"/>
      <c r="V59" s="123"/>
      <c r="W59" s="123"/>
      <c r="X59" s="123"/>
      <c r="Y59" s="123"/>
      <c r="Z59" s="123"/>
      <c r="AA59" s="123"/>
      <c r="AB59" s="123"/>
    </row>
    <row r="60" spans="3:28">
      <c r="D60" s="123"/>
      <c r="E60" s="123"/>
      <c r="F60" s="123"/>
      <c r="G60" s="123"/>
      <c r="H60" s="122"/>
      <c r="I60" s="123"/>
      <c r="J60" s="123"/>
      <c r="K60" s="123"/>
      <c r="L60" s="123"/>
      <c r="M60" s="123"/>
      <c r="N60" s="123"/>
      <c r="O60" s="123"/>
      <c r="P60" s="123"/>
      <c r="Q60" s="123"/>
      <c r="R60" s="123"/>
      <c r="S60" s="123"/>
      <c r="T60" s="123"/>
      <c r="U60" s="123"/>
      <c r="V60" s="123"/>
      <c r="W60" s="123"/>
      <c r="X60" s="123"/>
      <c r="Y60" s="123"/>
      <c r="Z60" s="123"/>
      <c r="AA60" s="123"/>
      <c r="AB60" s="123"/>
    </row>
    <row r="61" spans="3:28">
      <c r="D61" s="123"/>
      <c r="E61" s="123"/>
      <c r="F61" s="123"/>
      <c r="G61" s="123"/>
      <c r="H61" s="122"/>
      <c r="I61" s="123"/>
      <c r="J61" s="123"/>
      <c r="K61" s="123"/>
      <c r="L61" s="123"/>
      <c r="M61" s="123"/>
      <c r="N61" s="123"/>
      <c r="O61" s="123"/>
      <c r="P61" s="123"/>
      <c r="Q61" s="123"/>
      <c r="R61" s="123"/>
      <c r="S61" s="124"/>
      <c r="T61" s="124"/>
      <c r="U61" s="123"/>
      <c r="V61" s="123"/>
      <c r="W61" s="123"/>
      <c r="X61" s="123"/>
      <c r="Y61" s="123"/>
      <c r="Z61" s="123"/>
      <c r="AA61" s="123"/>
      <c r="AB61" s="123"/>
    </row>
    <row r="62" spans="3:28">
      <c r="D62" s="123"/>
      <c r="E62" s="123"/>
      <c r="F62" s="123"/>
      <c r="G62" s="123"/>
      <c r="H62" s="122"/>
      <c r="I62" s="123"/>
      <c r="J62" s="123"/>
      <c r="K62" s="123"/>
      <c r="L62" s="123"/>
      <c r="M62" s="123"/>
      <c r="N62" s="123"/>
      <c r="O62" s="123"/>
      <c r="P62" s="123"/>
      <c r="Q62" s="123"/>
      <c r="R62" s="123"/>
      <c r="S62" s="123"/>
      <c r="T62" s="123"/>
      <c r="U62" s="123"/>
      <c r="V62" s="123"/>
      <c r="W62" s="123"/>
      <c r="X62" s="123"/>
      <c r="Y62" s="123"/>
      <c r="Z62" s="123"/>
      <c r="AA62" s="123"/>
      <c r="AB62" s="123"/>
    </row>
    <row r="63" spans="3:28">
      <c r="D63" s="123"/>
      <c r="E63" s="123"/>
      <c r="F63" s="123"/>
      <c r="G63" s="123"/>
      <c r="H63" s="122"/>
      <c r="I63" s="123"/>
      <c r="J63" s="123"/>
      <c r="K63" s="123"/>
      <c r="L63" s="123"/>
      <c r="M63" s="123"/>
      <c r="N63" s="123"/>
      <c r="O63" s="123"/>
      <c r="P63" s="123"/>
      <c r="Q63" s="123"/>
      <c r="R63" s="123"/>
      <c r="S63" s="124"/>
      <c r="T63" s="124"/>
      <c r="U63" s="123"/>
      <c r="V63" s="123"/>
      <c r="W63" s="123"/>
      <c r="X63" s="123"/>
      <c r="Y63" s="123"/>
      <c r="Z63" s="123"/>
      <c r="AA63" s="123"/>
      <c r="AB63" s="123"/>
    </row>
    <row r="64" spans="3:28">
      <c r="C64" t="s">
        <v>603</v>
      </c>
      <c r="D64" s="123" t="s">
        <v>603</v>
      </c>
      <c r="E64" s="123" t="s">
        <v>603</v>
      </c>
      <c r="F64" s="123" t="s">
        <v>250</v>
      </c>
      <c r="G64" s="123" t="s">
        <v>603</v>
      </c>
      <c r="H64" s="122" t="s">
        <v>603</v>
      </c>
      <c r="I64" s="123" t="s">
        <v>603</v>
      </c>
      <c r="J64" s="123" t="s">
        <v>603</v>
      </c>
      <c r="K64" s="123" t="s">
        <v>603</v>
      </c>
      <c r="L64" s="123" t="s">
        <v>603</v>
      </c>
      <c r="M64" s="123" t="s">
        <v>603</v>
      </c>
      <c r="N64" s="123" t="s">
        <v>603</v>
      </c>
      <c r="O64" s="123" t="s">
        <v>603</v>
      </c>
      <c r="P64" s="123" t="s">
        <v>603</v>
      </c>
      <c r="Q64" s="123" t="s">
        <v>603</v>
      </c>
      <c r="R64" s="123" t="s">
        <v>603</v>
      </c>
      <c r="S64" s="123" t="s">
        <v>603</v>
      </c>
      <c r="T64" s="123" t="s">
        <v>603</v>
      </c>
      <c r="U64" s="123" t="s">
        <v>603</v>
      </c>
      <c r="V64" s="123"/>
      <c r="W64" s="123"/>
      <c r="X64" s="123"/>
      <c r="Y64" s="123"/>
      <c r="Z64" s="123"/>
      <c r="AA64" s="123"/>
      <c r="AB64" s="123"/>
    </row>
    <row r="65" spans="4:28">
      <c r="D65" s="123"/>
      <c r="E65" s="123"/>
      <c r="F65" s="123"/>
      <c r="G65" s="123"/>
      <c r="H65" s="122"/>
      <c r="I65" s="123"/>
      <c r="J65" s="123"/>
      <c r="K65" s="123"/>
      <c r="L65" s="123"/>
      <c r="M65" s="123"/>
      <c r="N65" s="123"/>
      <c r="O65" s="123"/>
      <c r="P65" s="123"/>
      <c r="Q65" s="123"/>
      <c r="R65" s="123"/>
      <c r="S65" s="124"/>
      <c r="T65" s="124"/>
      <c r="U65" s="123"/>
      <c r="V65" s="123"/>
      <c r="W65" s="123"/>
      <c r="X65" s="123"/>
      <c r="Y65" s="123"/>
      <c r="Z65" s="123"/>
      <c r="AA65" s="123"/>
      <c r="AB65" s="123"/>
    </row>
    <row r="66" spans="4:28">
      <c r="D66" s="123"/>
      <c r="E66" s="123"/>
      <c r="F66" s="123"/>
      <c r="G66" s="123"/>
      <c r="H66" s="122"/>
      <c r="I66" s="123"/>
      <c r="J66" s="123"/>
      <c r="K66" s="123"/>
      <c r="L66" s="123"/>
      <c r="M66" s="123"/>
      <c r="N66" s="123"/>
      <c r="O66" s="123"/>
      <c r="P66" s="123"/>
      <c r="Q66" s="123"/>
      <c r="R66" s="123"/>
      <c r="S66" s="123"/>
      <c r="T66" s="123"/>
      <c r="U66" s="123"/>
      <c r="V66" s="123"/>
      <c r="W66" s="123"/>
      <c r="X66" s="123"/>
      <c r="Y66" s="123"/>
      <c r="Z66" s="123"/>
      <c r="AA66" s="123"/>
      <c r="AB66" s="123"/>
    </row>
    <row r="67" spans="4:28">
      <c r="D67" s="123"/>
      <c r="E67" s="123"/>
      <c r="F67" s="123"/>
      <c r="G67" s="123"/>
      <c r="H67" s="122"/>
      <c r="I67" s="123"/>
      <c r="J67" s="123"/>
      <c r="K67" s="123"/>
      <c r="L67" s="123"/>
      <c r="M67" s="123"/>
      <c r="N67" s="123"/>
      <c r="O67" s="123"/>
      <c r="P67" s="123"/>
      <c r="Q67" s="123"/>
      <c r="R67" s="123"/>
      <c r="S67" s="124"/>
      <c r="T67" s="124"/>
      <c r="U67" s="123"/>
      <c r="V67" s="123"/>
      <c r="W67" s="123"/>
      <c r="X67" s="123"/>
      <c r="Y67" s="123"/>
      <c r="Z67" s="123"/>
      <c r="AA67" s="123"/>
      <c r="AB67" s="123"/>
    </row>
    <row r="68" spans="4:28">
      <c r="D68" s="123"/>
      <c r="E68" s="123"/>
      <c r="F68" s="123"/>
      <c r="G68" s="123"/>
      <c r="H68" s="122"/>
      <c r="I68" s="123"/>
      <c r="J68" s="123"/>
      <c r="K68" s="123"/>
      <c r="L68" s="123"/>
      <c r="M68" s="123"/>
      <c r="N68" s="123"/>
      <c r="O68" s="123"/>
      <c r="P68" s="123"/>
      <c r="Q68" s="123"/>
      <c r="R68" s="123"/>
      <c r="S68" s="124"/>
      <c r="T68" s="124"/>
      <c r="U68" s="123"/>
      <c r="V68" s="123"/>
      <c r="W68" s="123"/>
      <c r="X68" s="123"/>
      <c r="Y68" s="123"/>
      <c r="Z68" s="123"/>
      <c r="AA68" s="123"/>
      <c r="AB68" s="123"/>
    </row>
    <row r="69" spans="4:28">
      <c r="D69" s="123"/>
      <c r="E69" s="123"/>
      <c r="F69" s="123"/>
      <c r="G69" s="123"/>
      <c r="H69" s="122"/>
      <c r="I69" s="123"/>
      <c r="J69" s="123"/>
      <c r="K69" s="123"/>
      <c r="L69" s="123"/>
      <c r="M69" s="123"/>
      <c r="N69" s="123"/>
      <c r="O69" s="123"/>
      <c r="P69" s="123"/>
      <c r="Q69" s="123"/>
      <c r="R69" s="123"/>
      <c r="S69" s="124"/>
      <c r="T69" s="124"/>
      <c r="U69" s="123"/>
      <c r="V69" s="123"/>
      <c r="W69" s="123"/>
      <c r="X69" s="123"/>
      <c r="Y69" s="123"/>
      <c r="Z69" s="123"/>
      <c r="AA69" s="123"/>
      <c r="AB69" s="123"/>
    </row>
    <row r="70" spans="4:28">
      <c r="D70" s="123"/>
      <c r="E70" s="123"/>
      <c r="F70" s="123"/>
      <c r="G70" s="120"/>
      <c r="H70" s="122"/>
      <c r="I70" s="123"/>
      <c r="J70" s="123"/>
      <c r="K70" s="123"/>
      <c r="L70" s="123"/>
      <c r="M70" s="123"/>
      <c r="N70" s="123"/>
      <c r="O70" s="123"/>
      <c r="P70" s="123"/>
      <c r="Q70" s="123"/>
      <c r="R70" s="123"/>
      <c r="S70" s="124"/>
      <c r="T70" s="124"/>
      <c r="U70" s="123"/>
      <c r="V70" s="123"/>
      <c r="W70" s="123"/>
      <c r="X70" s="123"/>
      <c r="Y70" s="123"/>
      <c r="Z70" s="123"/>
      <c r="AA70" s="123"/>
      <c r="AB70" s="123"/>
    </row>
    <row r="71" spans="4:28">
      <c r="D71" s="123"/>
      <c r="E71" s="123"/>
      <c r="F71" s="123"/>
      <c r="G71" s="120"/>
      <c r="H71" s="122"/>
      <c r="I71" s="123"/>
      <c r="J71" s="123"/>
      <c r="K71" s="123"/>
      <c r="L71" s="123"/>
      <c r="M71" s="123"/>
      <c r="N71" s="123"/>
      <c r="O71" s="123"/>
      <c r="P71" s="123"/>
      <c r="Q71" s="123"/>
      <c r="R71" s="123"/>
      <c r="S71" s="124"/>
      <c r="T71" s="124"/>
      <c r="U71" s="123"/>
      <c r="V71" s="123"/>
      <c r="W71" s="123"/>
      <c r="X71" s="123"/>
      <c r="Y71" s="123"/>
      <c r="Z71" s="123"/>
      <c r="AA71" s="123"/>
      <c r="AB71" s="123"/>
    </row>
    <row r="72" spans="4:28">
      <c r="D72" s="123"/>
      <c r="E72" s="123"/>
      <c r="F72" s="123"/>
      <c r="G72" s="120"/>
      <c r="H72" s="122"/>
      <c r="I72" s="123"/>
      <c r="J72" s="123"/>
      <c r="K72" s="123"/>
      <c r="L72" s="123"/>
      <c r="M72" s="123"/>
      <c r="N72" s="123"/>
      <c r="O72" s="123"/>
      <c r="P72" s="123"/>
      <c r="Q72" s="123"/>
      <c r="R72" s="123"/>
      <c r="S72" s="124"/>
      <c r="T72" s="124"/>
      <c r="U72" s="123"/>
      <c r="V72" s="123"/>
      <c r="W72" s="123"/>
      <c r="X72" s="123"/>
      <c r="Y72" s="123"/>
      <c r="Z72" s="123"/>
      <c r="AA72" s="123"/>
      <c r="AB72" s="123"/>
    </row>
    <row r="73" spans="4:28">
      <c r="D73" s="123"/>
      <c r="E73" s="123"/>
      <c r="F73" s="123"/>
      <c r="G73" s="120"/>
      <c r="H73" s="122"/>
      <c r="I73" s="123"/>
      <c r="J73" s="123"/>
      <c r="K73" s="123"/>
      <c r="L73" s="123"/>
      <c r="M73" s="123"/>
      <c r="N73" s="123"/>
      <c r="O73" s="123"/>
      <c r="P73" s="123"/>
      <c r="Q73" s="123"/>
      <c r="R73" s="123"/>
      <c r="S73" s="124"/>
      <c r="T73" s="124"/>
      <c r="U73" s="123"/>
      <c r="V73" s="123"/>
      <c r="W73" s="123"/>
      <c r="X73" s="123"/>
      <c r="Y73" s="123"/>
      <c r="Z73" s="123"/>
      <c r="AA73" s="123"/>
      <c r="AB73" s="123"/>
    </row>
    <row r="74" spans="4:28">
      <c r="D74" s="123"/>
      <c r="E74" s="123"/>
      <c r="F74" s="123"/>
      <c r="G74" s="123"/>
      <c r="H74" s="122"/>
      <c r="I74" s="123"/>
      <c r="J74" s="123"/>
      <c r="K74" s="123"/>
      <c r="L74" s="123"/>
      <c r="M74" s="123"/>
      <c r="N74" s="123"/>
      <c r="O74" s="123"/>
      <c r="P74" s="123"/>
      <c r="Q74" s="123"/>
      <c r="R74" s="123"/>
      <c r="S74" s="124"/>
      <c r="T74" s="124"/>
      <c r="U74" s="123"/>
      <c r="V74" s="123"/>
      <c r="W74" s="123"/>
      <c r="X74" s="123"/>
      <c r="Y74" s="123"/>
      <c r="Z74" s="123"/>
      <c r="AA74" s="123"/>
      <c r="AB74" s="123"/>
    </row>
    <row r="75" spans="4:28">
      <c r="D75" s="123"/>
      <c r="E75" s="123"/>
      <c r="F75" s="123"/>
      <c r="G75" s="123"/>
      <c r="H75" s="122"/>
      <c r="I75" s="123"/>
      <c r="J75" s="123"/>
      <c r="K75" s="123"/>
      <c r="L75" s="123"/>
      <c r="M75" s="123"/>
      <c r="N75" s="123"/>
      <c r="O75" s="123"/>
      <c r="P75" s="123"/>
      <c r="Q75" s="123"/>
      <c r="R75" s="123"/>
      <c r="S75" s="124"/>
      <c r="T75" s="124"/>
      <c r="U75" s="123"/>
      <c r="V75" s="123"/>
      <c r="W75" s="123"/>
      <c r="X75" s="123"/>
      <c r="Y75" s="123"/>
      <c r="Z75" s="123"/>
      <c r="AA75" s="123"/>
      <c r="AB75" s="123"/>
    </row>
    <row r="76" spans="4:28">
      <c r="D76" s="123"/>
      <c r="E76" s="123"/>
      <c r="F76" s="123"/>
      <c r="G76" s="120"/>
      <c r="H76" s="122"/>
      <c r="I76" s="123"/>
      <c r="J76" s="123"/>
      <c r="K76" s="123"/>
      <c r="L76" s="123"/>
      <c r="M76" s="123"/>
      <c r="N76" s="123"/>
      <c r="O76" s="123"/>
      <c r="P76" s="123"/>
      <c r="Q76" s="123"/>
      <c r="R76" s="123"/>
      <c r="S76" s="124"/>
      <c r="T76" s="124"/>
      <c r="U76" s="123"/>
      <c r="V76" s="123"/>
      <c r="W76" s="123"/>
      <c r="X76" s="123"/>
      <c r="Y76" s="123"/>
      <c r="Z76" s="123"/>
      <c r="AA76" s="123"/>
      <c r="AB76" s="123"/>
    </row>
    <row r="77" spans="4:28">
      <c r="D77" s="123"/>
      <c r="E77" s="123"/>
      <c r="F77" s="123"/>
      <c r="G77" s="120"/>
      <c r="H77" s="122"/>
      <c r="I77" s="123"/>
      <c r="J77" s="123"/>
      <c r="K77" s="123"/>
      <c r="L77" s="123"/>
      <c r="M77" s="123"/>
      <c r="N77" s="123"/>
      <c r="O77" s="123"/>
      <c r="P77" s="123"/>
      <c r="Q77" s="123"/>
      <c r="R77" s="123"/>
      <c r="S77" s="124"/>
      <c r="T77" s="124"/>
      <c r="U77" s="123"/>
      <c r="V77" s="123"/>
      <c r="W77" s="123"/>
      <c r="X77" s="123"/>
      <c r="Y77" s="123"/>
      <c r="Z77" s="123"/>
      <c r="AA77" s="123"/>
      <c r="AB77" s="123"/>
    </row>
    <row r="78" spans="4:28">
      <c r="D78" s="123"/>
      <c r="E78" s="123"/>
      <c r="F78" s="123"/>
      <c r="G78" s="120"/>
      <c r="H78" s="122"/>
      <c r="I78" s="123"/>
      <c r="J78" s="123"/>
      <c r="K78" s="123"/>
      <c r="L78" s="123"/>
      <c r="M78" s="123"/>
      <c r="N78" s="123"/>
      <c r="O78" s="123"/>
      <c r="P78" s="123"/>
      <c r="Q78" s="123"/>
      <c r="R78" s="123"/>
      <c r="S78" s="124"/>
      <c r="T78" s="124"/>
      <c r="U78" s="123"/>
      <c r="V78" s="123"/>
      <c r="W78" s="123"/>
      <c r="X78" s="123"/>
      <c r="Y78" s="123"/>
      <c r="Z78" s="123"/>
      <c r="AA78" s="123"/>
      <c r="AB78" s="123"/>
    </row>
    <row r="79" spans="4:28">
      <c r="D79" s="123"/>
      <c r="E79" s="123"/>
      <c r="F79" s="123"/>
      <c r="G79" s="120"/>
      <c r="H79" s="122"/>
      <c r="I79" s="123"/>
      <c r="J79" s="123"/>
      <c r="K79" s="123"/>
      <c r="L79" s="123"/>
      <c r="M79" s="123"/>
      <c r="N79" s="123"/>
      <c r="O79" s="123"/>
      <c r="P79" s="123"/>
      <c r="Q79" s="123"/>
      <c r="R79" s="123"/>
      <c r="S79" s="124"/>
      <c r="T79" s="124"/>
      <c r="U79" s="123"/>
      <c r="V79" s="123"/>
      <c r="W79" s="123"/>
      <c r="X79" s="123"/>
      <c r="Y79" s="123"/>
      <c r="Z79" s="123"/>
      <c r="AA79" s="123"/>
      <c r="AB79" s="123"/>
    </row>
    <row r="80" spans="4:28">
      <c r="D80" s="123"/>
      <c r="E80" s="123"/>
      <c r="F80" s="123"/>
      <c r="G80" s="120"/>
      <c r="H80" s="122"/>
      <c r="I80" s="123"/>
      <c r="J80" s="123"/>
      <c r="K80" s="123"/>
      <c r="L80" s="123"/>
      <c r="M80" s="123"/>
      <c r="N80" s="123"/>
      <c r="O80" s="123"/>
      <c r="P80" s="123"/>
      <c r="Q80" s="123"/>
      <c r="R80" s="123"/>
      <c r="S80" s="124"/>
      <c r="T80" s="124"/>
      <c r="U80" s="123"/>
      <c r="V80" s="123"/>
      <c r="W80" s="123"/>
      <c r="X80" s="123"/>
      <c r="Y80" s="123"/>
      <c r="Z80" s="123"/>
      <c r="AA80" s="123"/>
      <c r="AB80" s="123"/>
    </row>
    <row r="81" spans="4:28">
      <c r="D81" s="123"/>
      <c r="E81" s="123"/>
      <c r="F81" s="123"/>
      <c r="G81" s="120"/>
      <c r="H81" s="122"/>
      <c r="I81" s="123"/>
      <c r="J81" s="123"/>
      <c r="K81" s="123"/>
      <c r="L81" s="123"/>
      <c r="M81" s="123"/>
      <c r="N81" s="123"/>
      <c r="O81" s="123"/>
      <c r="P81" s="123"/>
      <c r="Q81" s="123"/>
      <c r="R81" s="123"/>
      <c r="S81" s="124"/>
      <c r="T81" s="124"/>
      <c r="U81" s="123"/>
      <c r="V81" s="123"/>
      <c r="W81" s="123"/>
      <c r="X81" s="123"/>
      <c r="Y81" s="123"/>
      <c r="Z81" s="123"/>
      <c r="AA81" s="123"/>
      <c r="AB81" s="123"/>
    </row>
    <row r="82" spans="4:28">
      <c r="D82" s="123"/>
      <c r="E82" s="123"/>
      <c r="F82" s="123"/>
      <c r="G82" s="123"/>
      <c r="H82" s="122"/>
      <c r="I82" s="123"/>
      <c r="J82" s="123"/>
      <c r="K82" s="123"/>
      <c r="L82" s="123"/>
      <c r="M82" s="123"/>
      <c r="N82" s="123"/>
      <c r="O82" s="123"/>
      <c r="P82" s="123"/>
      <c r="Q82" s="123"/>
      <c r="R82" s="123"/>
      <c r="S82" s="123"/>
      <c r="T82" s="123"/>
      <c r="U82" s="123"/>
      <c r="V82" s="123"/>
      <c r="W82" s="123"/>
      <c r="X82" s="123"/>
      <c r="Y82" s="123"/>
      <c r="Z82" s="123"/>
      <c r="AA82" s="123"/>
      <c r="AB82" s="123"/>
    </row>
    <row r="83" spans="4:28">
      <c r="D83" s="123"/>
      <c r="E83" s="123"/>
      <c r="F83" s="123"/>
      <c r="G83" s="123"/>
      <c r="H83" s="122"/>
      <c r="I83" s="123"/>
      <c r="J83" s="123"/>
      <c r="K83" s="123"/>
      <c r="L83" s="123"/>
      <c r="M83" s="123"/>
      <c r="N83" s="123"/>
      <c r="O83" s="123"/>
      <c r="P83" s="123"/>
      <c r="Q83" s="123"/>
      <c r="R83" s="123"/>
      <c r="S83" s="124"/>
      <c r="T83" s="124"/>
      <c r="U83" s="123"/>
      <c r="V83" s="123"/>
      <c r="W83" s="123"/>
      <c r="X83" s="123"/>
      <c r="Y83" s="123"/>
      <c r="Z83" s="123"/>
      <c r="AA83" s="123"/>
      <c r="AB83" s="123"/>
    </row>
    <row r="84" spans="4:28">
      <c r="D84" s="123"/>
      <c r="E84" s="123"/>
      <c r="F84" s="123"/>
      <c r="G84" s="123"/>
      <c r="H84" s="122"/>
      <c r="I84" s="123"/>
      <c r="J84" s="123"/>
      <c r="K84" s="123"/>
      <c r="L84" s="123"/>
      <c r="M84" s="123"/>
      <c r="N84" s="123"/>
      <c r="O84" s="123"/>
      <c r="P84" s="123"/>
      <c r="Q84" s="123"/>
      <c r="R84" s="123"/>
      <c r="S84" s="123"/>
      <c r="T84" s="123"/>
      <c r="U84" s="123"/>
      <c r="V84" s="123"/>
      <c r="W84" s="123"/>
      <c r="X84" s="123"/>
      <c r="Y84" s="123"/>
      <c r="Z84" s="123"/>
      <c r="AA84" s="123"/>
      <c r="AB84" s="123"/>
    </row>
    <row r="85" spans="4:28">
      <c r="D85" s="123"/>
      <c r="E85" s="123"/>
      <c r="F85" s="123"/>
      <c r="G85" s="123"/>
      <c r="H85" s="122"/>
      <c r="I85" s="123"/>
      <c r="J85" s="123"/>
      <c r="K85" s="123"/>
      <c r="L85" s="123"/>
      <c r="M85" s="123"/>
      <c r="N85" s="123"/>
      <c r="O85" s="123"/>
      <c r="P85" s="123"/>
      <c r="Q85" s="123"/>
      <c r="R85" s="123"/>
      <c r="S85" s="124"/>
      <c r="T85" s="124"/>
      <c r="U85" s="123"/>
      <c r="V85" s="123"/>
      <c r="W85" s="123"/>
      <c r="X85" s="123"/>
      <c r="Y85" s="123"/>
      <c r="Z85" s="123"/>
      <c r="AA85" s="123"/>
      <c r="AB85" s="123"/>
    </row>
    <row r="86" spans="4:28">
      <c r="D86" s="123"/>
      <c r="E86" s="123"/>
      <c r="F86" s="123"/>
      <c r="G86" s="123"/>
      <c r="H86" s="122"/>
      <c r="I86" s="123"/>
      <c r="J86" s="123"/>
      <c r="K86" s="123"/>
      <c r="L86" s="123"/>
      <c r="M86" s="123"/>
      <c r="N86" s="123"/>
      <c r="O86" s="123"/>
      <c r="P86" s="123"/>
      <c r="Q86" s="123"/>
      <c r="R86" s="123"/>
      <c r="S86" s="124"/>
      <c r="T86" s="124"/>
      <c r="U86" s="123"/>
      <c r="V86" s="123"/>
      <c r="W86" s="123"/>
      <c r="X86" s="123"/>
      <c r="Y86" s="123"/>
      <c r="Z86" s="123"/>
      <c r="AA86" s="123"/>
      <c r="AB86" s="123"/>
    </row>
    <row r="87" spans="4:28">
      <c r="D87" s="123"/>
      <c r="E87" s="123"/>
      <c r="F87" s="123"/>
      <c r="G87" s="123"/>
      <c r="H87" s="122"/>
      <c r="I87" s="123"/>
      <c r="J87" s="123"/>
      <c r="K87" s="123"/>
      <c r="L87" s="123"/>
      <c r="M87" s="123"/>
      <c r="N87" s="123"/>
      <c r="O87" s="123"/>
      <c r="P87" s="123"/>
      <c r="Q87" s="123"/>
      <c r="R87" s="123"/>
      <c r="S87" s="124"/>
      <c r="T87" s="124"/>
      <c r="U87" s="123"/>
      <c r="V87" s="123"/>
      <c r="W87" s="123"/>
      <c r="X87" s="123"/>
      <c r="Y87" s="123"/>
      <c r="Z87" s="123"/>
      <c r="AA87" s="123"/>
      <c r="AB87" s="123"/>
    </row>
    <row r="88" spans="4:28">
      <c r="D88" s="123"/>
      <c r="E88" s="123"/>
      <c r="F88" s="123"/>
      <c r="G88" s="123"/>
      <c r="H88" s="122"/>
      <c r="I88" s="123"/>
      <c r="J88" s="123"/>
      <c r="K88" s="123"/>
      <c r="L88" s="123"/>
      <c r="M88" s="123"/>
      <c r="N88" s="123"/>
      <c r="O88" s="123"/>
      <c r="P88" s="123"/>
      <c r="Q88" s="123"/>
      <c r="R88" s="123"/>
      <c r="S88" s="124"/>
      <c r="T88" s="124"/>
      <c r="U88" s="123"/>
      <c r="V88" s="123"/>
      <c r="W88" s="123"/>
      <c r="X88" s="123"/>
      <c r="Y88" s="123"/>
      <c r="Z88" s="123"/>
      <c r="AA88" s="123"/>
      <c r="AB88" s="123"/>
    </row>
    <row r="89" spans="4:28">
      <c r="D89" s="123"/>
      <c r="E89" s="123"/>
      <c r="F89" s="123"/>
      <c r="G89" s="123"/>
      <c r="H89" s="122"/>
      <c r="I89" s="123"/>
      <c r="J89" s="123"/>
      <c r="K89" s="123"/>
      <c r="L89" s="123"/>
      <c r="M89" s="123"/>
      <c r="N89" s="123"/>
      <c r="O89" s="123"/>
      <c r="P89" s="123"/>
      <c r="Q89" s="123"/>
      <c r="R89" s="123"/>
      <c r="S89" s="124"/>
      <c r="T89" s="124"/>
      <c r="U89" s="123"/>
      <c r="V89" s="123"/>
      <c r="W89" s="123"/>
      <c r="X89" s="123"/>
      <c r="Y89" s="123"/>
      <c r="Z89" s="123"/>
      <c r="AA89" s="123"/>
      <c r="AB89" s="123"/>
    </row>
    <row r="90" spans="4:28">
      <c r="D90" s="123"/>
      <c r="E90" s="123"/>
      <c r="F90" s="123"/>
      <c r="G90" s="123"/>
      <c r="H90" s="122"/>
      <c r="I90" s="123"/>
      <c r="J90" s="123"/>
      <c r="K90" s="123"/>
      <c r="L90" s="123"/>
      <c r="M90" s="123"/>
      <c r="N90" s="123"/>
      <c r="O90" s="123"/>
      <c r="P90" s="123"/>
      <c r="Q90" s="123"/>
      <c r="R90" s="123"/>
      <c r="S90" s="124"/>
      <c r="T90" s="124"/>
      <c r="U90" s="123"/>
      <c r="V90" s="123"/>
      <c r="W90" s="123"/>
      <c r="X90" s="123"/>
      <c r="Y90" s="123"/>
      <c r="Z90" s="123"/>
      <c r="AA90" s="123"/>
      <c r="AB90" s="123"/>
    </row>
    <row r="91" spans="4:28">
      <c r="D91" s="123"/>
      <c r="E91" s="123"/>
      <c r="F91" s="123"/>
      <c r="G91" s="123"/>
      <c r="H91" s="122"/>
      <c r="I91" s="123"/>
      <c r="J91" s="123"/>
      <c r="K91" s="123"/>
      <c r="L91" s="123"/>
      <c r="M91" s="123"/>
      <c r="N91" s="123"/>
      <c r="O91" s="123"/>
      <c r="P91" s="123"/>
      <c r="Q91" s="123"/>
      <c r="R91" s="123"/>
      <c r="S91" s="124"/>
      <c r="T91" s="124"/>
      <c r="U91" s="123"/>
      <c r="V91" s="123"/>
      <c r="W91" s="123"/>
      <c r="X91" s="123"/>
      <c r="Y91" s="123"/>
      <c r="Z91" s="123"/>
      <c r="AA91" s="123"/>
      <c r="AB91" s="123"/>
    </row>
    <row r="92" spans="4:28">
      <c r="D92" s="123"/>
      <c r="E92" s="123"/>
      <c r="F92" s="123"/>
      <c r="G92" s="123"/>
      <c r="H92" s="122"/>
      <c r="I92" s="123"/>
      <c r="J92" s="123"/>
      <c r="K92" s="123"/>
      <c r="L92" s="123"/>
      <c r="M92" s="123"/>
      <c r="N92" s="123"/>
      <c r="O92" s="123"/>
      <c r="P92" s="123"/>
      <c r="Q92" s="123"/>
      <c r="R92" s="123"/>
      <c r="S92" s="124"/>
      <c r="T92" s="124"/>
      <c r="U92" s="123"/>
      <c r="V92" s="123"/>
      <c r="W92" s="123"/>
      <c r="X92" s="123"/>
      <c r="Y92" s="123"/>
      <c r="Z92" s="123"/>
      <c r="AA92" s="123"/>
      <c r="AB92" s="123"/>
    </row>
    <row r="93" spans="4:28">
      <c r="D93" s="123"/>
      <c r="E93" s="123"/>
      <c r="F93" s="123"/>
      <c r="G93" s="123"/>
      <c r="H93" s="122"/>
      <c r="I93" s="123"/>
      <c r="J93" s="123"/>
      <c r="K93" s="123"/>
      <c r="L93" s="123"/>
      <c r="M93" s="123"/>
      <c r="N93" s="123"/>
      <c r="O93" s="123"/>
      <c r="P93" s="123"/>
      <c r="Q93" s="123"/>
      <c r="R93" s="123"/>
      <c r="S93" s="124"/>
      <c r="T93" s="124"/>
      <c r="U93" s="123"/>
      <c r="V93" s="123"/>
      <c r="W93" s="123"/>
      <c r="X93" s="123"/>
      <c r="Y93" s="123"/>
      <c r="Z93" s="123"/>
      <c r="AA93" s="123"/>
      <c r="AB93" s="123"/>
    </row>
    <row r="94" spans="4:28" ht="15">
      <c r="D94" s="125"/>
      <c r="E94" s="123"/>
      <c r="F94" s="126"/>
      <c r="G94" s="126"/>
      <c r="H94" s="175"/>
      <c r="I94" s="126"/>
      <c r="J94" s="126"/>
      <c r="K94" s="126"/>
      <c r="L94" s="126"/>
      <c r="M94" s="126"/>
      <c r="N94" s="126"/>
      <c r="O94" s="126"/>
      <c r="P94" s="126"/>
      <c r="Q94" s="126"/>
      <c r="R94" s="126"/>
      <c r="S94" s="126"/>
      <c r="T94" s="126"/>
      <c r="U94" s="126"/>
      <c r="V94" s="126"/>
      <c r="W94" s="126"/>
      <c r="X94" s="126"/>
      <c r="Y94" s="126"/>
      <c r="Z94" s="126"/>
      <c r="AA94" s="126"/>
      <c r="AB94" s="126"/>
    </row>
    <row r="95" spans="4:28" ht="15">
      <c r="D95" s="125"/>
      <c r="E95" s="123"/>
      <c r="F95" s="126"/>
      <c r="G95" s="126"/>
      <c r="H95" s="175"/>
      <c r="I95" s="126"/>
      <c r="J95" s="126"/>
      <c r="K95" s="126"/>
      <c r="L95" s="126"/>
      <c r="M95" s="126"/>
      <c r="N95" s="126"/>
      <c r="O95" s="126"/>
      <c r="P95" s="126"/>
      <c r="Q95" s="126"/>
      <c r="R95" s="126"/>
      <c r="S95" s="126"/>
      <c r="T95" s="126"/>
      <c r="U95" s="126"/>
      <c r="V95" s="126"/>
      <c r="W95" s="126"/>
      <c r="X95" s="126"/>
      <c r="Y95" s="126"/>
      <c r="Z95" s="126"/>
      <c r="AA95" s="126"/>
      <c r="AB95" s="126"/>
    </row>
    <row r="96" spans="4:28">
      <c r="D96" s="123"/>
      <c r="E96" s="120"/>
      <c r="F96" s="123"/>
      <c r="G96" s="123"/>
      <c r="H96" s="122"/>
      <c r="I96" s="123"/>
      <c r="J96" s="123"/>
      <c r="K96" s="123"/>
      <c r="L96" s="123"/>
      <c r="M96" s="123"/>
      <c r="N96" s="123"/>
      <c r="O96" s="123"/>
      <c r="P96" s="123"/>
      <c r="Q96" s="123"/>
      <c r="R96" s="123"/>
      <c r="S96" s="124"/>
      <c r="T96" s="124"/>
      <c r="U96" s="123"/>
      <c r="V96" s="123"/>
      <c r="W96" s="123"/>
      <c r="X96" s="123"/>
      <c r="Y96" s="123"/>
      <c r="Z96" s="123"/>
      <c r="AA96" s="123"/>
      <c r="AB96" s="123"/>
    </row>
    <row r="97" spans="4:28">
      <c r="D97" s="123"/>
      <c r="E97" s="120"/>
      <c r="F97" s="123"/>
      <c r="G97" s="120"/>
      <c r="H97" s="122"/>
      <c r="I97" s="123"/>
      <c r="J97" s="123"/>
      <c r="K97" s="123"/>
      <c r="L97" s="123"/>
      <c r="M97" s="123"/>
      <c r="N97" s="123"/>
      <c r="O97" s="123"/>
      <c r="P97" s="123"/>
      <c r="Q97" s="123"/>
      <c r="R97" s="123"/>
      <c r="S97" s="124"/>
      <c r="T97" s="124"/>
      <c r="U97" s="123"/>
      <c r="V97" s="123"/>
      <c r="W97" s="123"/>
      <c r="X97" s="123"/>
      <c r="Y97" s="123"/>
      <c r="Z97" s="123"/>
      <c r="AA97" s="123"/>
      <c r="AB97" s="123"/>
    </row>
    <row r="98" spans="4:28">
      <c r="D98" s="123"/>
      <c r="E98" s="120"/>
      <c r="F98" s="123"/>
      <c r="G98" s="120"/>
      <c r="H98" s="122"/>
      <c r="I98" s="123"/>
      <c r="J98" s="123"/>
      <c r="K98" s="123"/>
      <c r="L98" s="123"/>
      <c r="M98" s="123"/>
      <c r="N98" s="123"/>
      <c r="O98" s="123"/>
      <c r="P98" s="123"/>
      <c r="Q98" s="123"/>
      <c r="R98" s="123"/>
      <c r="S98" s="124"/>
      <c r="T98" s="124"/>
      <c r="U98" s="123"/>
      <c r="V98" s="123"/>
      <c r="W98" s="123"/>
      <c r="X98" s="123"/>
      <c r="Y98" s="123"/>
      <c r="Z98" s="123"/>
      <c r="AA98" s="123"/>
      <c r="AB98" s="123"/>
    </row>
    <row r="99" spans="4:28">
      <c r="D99" s="123"/>
      <c r="E99" s="120"/>
      <c r="F99" s="123"/>
      <c r="G99" s="123"/>
      <c r="H99" s="122"/>
      <c r="I99" s="123"/>
      <c r="J99" s="123"/>
      <c r="K99" s="123"/>
      <c r="L99" s="123"/>
      <c r="M99" s="123"/>
      <c r="N99" s="123"/>
      <c r="O99" s="123"/>
      <c r="P99" s="123"/>
      <c r="Q99" s="123"/>
      <c r="R99" s="123"/>
      <c r="S99" s="124"/>
      <c r="T99" s="124"/>
      <c r="U99" s="123"/>
      <c r="V99" s="123"/>
      <c r="W99" s="123"/>
      <c r="X99" s="123"/>
      <c r="Y99" s="123"/>
      <c r="Z99" s="123"/>
      <c r="AA99" s="123"/>
      <c r="AB99" s="123"/>
    </row>
    <row r="100" spans="4:28">
      <c r="D100" s="123"/>
      <c r="E100" s="120"/>
      <c r="F100" s="123"/>
      <c r="G100" s="123"/>
      <c r="H100" s="122"/>
      <c r="I100" s="123"/>
      <c r="J100" s="123"/>
      <c r="K100" s="123"/>
      <c r="L100" s="123"/>
      <c r="M100" s="123"/>
      <c r="N100" s="123"/>
      <c r="O100" s="123"/>
      <c r="P100" s="123"/>
      <c r="Q100" s="123"/>
      <c r="R100" s="123"/>
      <c r="S100" s="124"/>
      <c r="T100" s="124"/>
      <c r="U100" s="123"/>
      <c r="V100" s="123"/>
      <c r="W100" s="123"/>
      <c r="X100" s="123"/>
      <c r="Y100" s="123"/>
      <c r="Z100" s="123"/>
      <c r="AA100" s="123"/>
      <c r="AB100" s="123"/>
    </row>
    <row r="101" spans="4:28">
      <c r="D101" s="123"/>
      <c r="E101" s="120"/>
      <c r="F101" s="123"/>
      <c r="G101" s="123"/>
      <c r="H101" s="122"/>
      <c r="I101" s="123"/>
      <c r="J101" s="123"/>
      <c r="K101" s="123"/>
      <c r="L101" s="123"/>
      <c r="M101" s="123"/>
      <c r="N101" s="123"/>
      <c r="O101" s="123"/>
      <c r="P101" s="123"/>
      <c r="Q101" s="123"/>
      <c r="R101" s="123"/>
      <c r="S101" s="123"/>
      <c r="T101" s="123"/>
      <c r="U101" s="123"/>
      <c r="V101" s="123"/>
      <c r="W101" s="123"/>
      <c r="X101" s="123"/>
      <c r="Y101" s="123"/>
      <c r="Z101" s="123"/>
      <c r="AA101" s="123"/>
      <c r="AB101" s="123"/>
    </row>
    <row r="102" spans="4:28">
      <c r="D102" s="123"/>
      <c r="E102" s="120"/>
      <c r="F102" s="123"/>
      <c r="G102" s="123"/>
      <c r="H102" s="122"/>
      <c r="I102" s="123"/>
      <c r="J102" s="123"/>
      <c r="K102" s="123"/>
      <c r="L102" s="123"/>
      <c r="M102" s="123"/>
      <c r="N102" s="123"/>
      <c r="O102" s="123"/>
      <c r="P102" s="123"/>
      <c r="Q102" s="123"/>
      <c r="R102" s="123"/>
      <c r="S102" s="124"/>
      <c r="T102" s="124"/>
      <c r="U102" s="123"/>
      <c r="V102" s="123"/>
      <c r="W102" s="123"/>
      <c r="X102" s="123"/>
      <c r="Y102" s="123"/>
      <c r="Z102" s="123"/>
      <c r="AA102" s="123"/>
      <c r="AB102" s="123"/>
    </row>
    <row r="103" spans="4:28">
      <c r="D103" s="123"/>
      <c r="E103" s="120"/>
      <c r="F103" s="123"/>
      <c r="G103" s="123"/>
      <c r="H103" s="122"/>
      <c r="I103" s="123"/>
      <c r="J103" s="123"/>
      <c r="K103" s="123"/>
      <c r="L103" s="123"/>
      <c r="M103" s="123"/>
      <c r="N103" s="123"/>
      <c r="O103" s="123"/>
      <c r="P103" s="123"/>
      <c r="Q103" s="123"/>
      <c r="R103" s="123"/>
      <c r="S103" s="123"/>
      <c r="T103" s="123"/>
      <c r="U103" s="123"/>
      <c r="V103" s="123"/>
      <c r="W103" s="123"/>
      <c r="X103" s="123"/>
      <c r="Y103" s="123"/>
      <c r="Z103" s="123"/>
      <c r="AA103" s="123"/>
      <c r="AB103" s="123"/>
    </row>
    <row r="104" spans="4:28">
      <c r="D104" s="123"/>
      <c r="E104" s="120"/>
      <c r="F104" s="123"/>
      <c r="G104" s="123"/>
      <c r="H104" s="122"/>
      <c r="I104" s="123"/>
      <c r="J104" s="123"/>
      <c r="K104" s="123"/>
      <c r="L104" s="123"/>
      <c r="M104" s="123"/>
      <c r="N104" s="123"/>
      <c r="O104" s="123"/>
      <c r="P104" s="123"/>
      <c r="Q104" s="123"/>
      <c r="R104" s="123"/>
      <c r="S104" s="124"/>
      <c r="T104" s="124"/>
      <c r="U104" s="123"/>
      <c r="V104" s="123"/>
      <c r="W104" s="123"/>
      <c r="X104" s="123"/>
      <c r="Y104" s="123"/>
      <c r="Z104" s="123"/>
      <c r="AA104" s="123"/>
      <c r="AB104" s="123"/>
    </row>
    <row r="105" spans="4:28">
      <c r="D105" s="123"/>
      <c r="E105" s="123"/>
      <c r="F105" s="123"/>
      <c r="G105" s="120"/>
      <c r="H105" s="122"/>
      <c r="I105" s="123"/>
      <c r="J105" s="123"/>
      <c r="K105" s="123"/>
      <c r="L105" s="123"/>
      <c r="M105" s="123"/>
      <c r="N105" s="123"/>
      <c r="O105" s="123"/>
      <c r="P105" s="123"/>
      <c r="Q105" s="123"/>
      <c r="R105" s="123"/>
      <c r="S105" s="124"/>
      <c r="T105" s="124"/>
      <c r="U105" s="123"/>
      <c r="V105" s="123"/>
      <c r="W105" s="123"/>
      <c r="X105" s="123"/>
      <c r="Y105" s="123"/>
      <c r="Z105" s="123"/>
      <c r="AA105" s="123"/>
      <c r="AB105" s="123"/>
    </row>
    <row r="106" spans="4:28">
      <c r="D106" s="123"/>
      <c r="E106" s="123"/>
      <c r="F106" s="123"/>
      <c r="G106" s="120"/>
      <c r="H106" s="122"/>
      <c r="I106" s="123"/>
      <c r="J106" s="123"/>
      <c r="K106" s="123"/>
      <c r="L106" s="123"/>
      <c r="M106" s="123"/>
      <c r="N106" s="123"/>
      <c r="O106" s="123"/>
      <c r="P106" s="123"/>
      <c r="Q106" s="123"/>
      <c r="R106" s="123"/>
      <c r="S106" s="124"/>
      <c r="T106" s="124"/>
      <c r="U106" s="123"/>
      <c r="V106" s="123"/>
      <c r="W106" s="123"/>
      <c r="X106" s="123"/>
      <c r="Y106" s="123"/>
      <c r="Z106" s="123"/>
      <c r="AA106" s="123"/>
      <c r="AB106" s="123"/>
    </row>
    <row r="107" spans="4:28">
      <c r="D107" s="123"/>
      <c r="E107" s="123"/>
      <c r="F107" s="123"/>
      <c r="G107" s="120"/>
      <c r="H107" s="122"/>
      <c r="I107" s="123"/>
      <c r="J107" s="123"/>
      <c r="K107" s="123"/>
      <c r="L107" s="123"/>
      <c r="M107" s="123"/>
      <c r="N107" s="123"/>
      <c r="O107" s="123"/>
      <c r="P107" s="123"/>
      <c r="Q107" s="123"/>
      <c r="R107" s="123"/>
      <c r="S107" s="124"/>
      <c r="T107" s="124"/>
      <c r="U107" s="123"/>
      <c r="V107" s="123"/>
      <c r="W107" s="123"/>
      <c r="X107" s="123"/>
      <c r="Y107" s="123"/>
      <c r="Z107" s="123"/>
      <c r="AA107" s="123"/>
      <c r="AB107" s="123"/>
    </row>
    <row r="108" spans="4:28">
      <c r="D108" s="123"/>
      <c r="E108" s="123"/>
      <c r="F108" s="123"/>
      <c r="G108" s="120"/>
      <c r="H108" s="122"/>
      <c r="I108" s="123"/>
      <c r="J108" s="123"/>
      <c r="K108" s="123"/>
      <c r="L108" s="123"/>
      <c r="M108" s="123"/>
      <c r="N108" s="123"/>
      <c r="O108" s="123"/>
      <c r="P108" s="123"/>
      <c r="Q108" s="123"/>
      <c r="R108" s="123"/>
      <c r="S108" s="124"/>
      <c r="T108" s="124"/>
      <c r="U108" s="123"/>
      <c r="V108" s="123"/>
      <c r="W108" s="123"/>
      <c r="X108" s="123"/>
      <c r="Y108" s="123"/>
      <c r="Z108" s="123"/>
      <c r="AA108" s="123"/>
      <c r="AB108" s="123"/>
    </row>
    <row r="109" spans="4:28">
      <c r="D109" s="123"/>
      <c r="E109" s="123"/>
      <c r="F109" s="123"/>
      <c r="G109" s="120"/>
      <c r="H109" s="122"/>
      <c r="I109" s="123"/>
      <c r="J109" s="123"/>
      <c r="K109" s="123"/>
      <c r="L109" s="123"/>
      <c r="M109" s="123"/>
      <c r="N109" s="123"/>
      <c r="O109" s="123"/>
      <c r="P109" s="123"/>
      <c r="Q109" s="123"/>
      <c r="R109" s="123"/>
      <c r="S109" s="124"/>
      <c r="T109" s="124"/>
      <c r="U109" s="123"/>
      <c r="V109" s="123"/>
      <c r="W109" s="123"/>
      <c r="X109" s="123"/>
      <c r="Y109" s="123"/>
      <c r="Z109" s="123"/>
      <c r="AA109" s="123"/>
      <c r="AB109"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13.xml><?xml version="1.0" encoding="utf-8"?>
<worksheet xmlns="http://schemas.openxmlformats.org/spreadsheetml/2006/main" xmlns:r="http://schemas.openxmlformats.org/officeDocument/2006/relationships">
  <dimension ref="A1:HI92"/>
  <sheetViews>
    <sheetView zoomScale="75" workbookViewId="0">
      <selection activeCell="B73" sqref="B73"/>
    </sheetView>
  </sheetViews>
  <sheetFormatPr defaultColWidth="11.42578125" defaultRowHeight="12.75"/>
  <cols>
    <col min="1" max="1" width="15.85546875" customWidth="1"/>
    <col min="2" max="2" width="13.5703125" customWidth="1"/>
    <col min="3" max="3" width="37.5703125" customWidth="1"/>
    <col min="4" max="4" width="10.85546875" customWidth="1"/>
    <col min="5" max="6" width="9.7109375" bestFit="1" customWidth="1"/>
  </cols>
  <sheetData>
    <row r="1" spans="1:217" ht="18">
      <c r="A1" s="10" t="s">
        <v>12</v>
      </c>
      <c r="D1" t="s">
        <v>250</v>
      </c>
    </row>
    <row r="2" spans="1:217" ht="18">
      <c r="A2" s="10"/>
      <c r="D2" s="245"/>
    </row>
    <row r="3" spans="1:217" ht="18">
      <c r="A3" s="10"/>
      <c r="B3" s="16"/>
      <c r="C3" s="17"/>
      <c r="D3" s="245"/>
      <c r="O3" s="18">
        <v>1</v>
      </c>
      <c r="P3" t="s">
        <v>666</v>
      </c>
    </row>
    <row r="4" spans="1:217" ht="29.25" customHeight="1">
      <c r="B4" s="131" t="s">
        <v>594</v>
      </c>
      <c r="C4" s="98"/>
      <c r="D4" s="252" t="str">
        <f>"~FI_T: "&amp;Region</f>
        <v>~FI_T: FIN</v>
      </c>
      <c r="E4" s="4" t="s">
        <v>250</v>
      </c>
      <c r="R4" s="4"/>
      <c r="S4" s="4"/>
    </row>
    <row r="5" spans="1:217" ht="39"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537</v>
      </c>
      <c r="U5" s="52" t="s">
        <v>471</v>
      </c>
      <c r="V5" s="52" t="s">
        <v>778</v>
      </c>
      <c r="W5" s="257" t="s">
        <v>381</v>
      </c>
    </row>
    <row r="6" spans="1:217" ht="15" thickBot="1">
      <c r="A6" s="14"/>
      <c r="B6" s="434" t="s">
        <v>999</v>
      </c>
      <c r="C6" s="190"/>
      <c r="D6" s="190"/>
      <c r="E6" s="191"/>
      <c r="F6" s="191"/>
      <c r="G6" s="191"/>
      <c r="H6" s="191"/>
      <c r="I6" s="190"/>
      <c r="J6" s="193"/>
      <c r="K6" s="191"/>
      <c r="L6" s="190"/>
      <c r="M6" s="190"/>
      <c r="N6" s="191"/>
      <c r="O6" s="315"/>
      <c r="P6" s="190"/>
      <c r="Q6" s="190"/>
      <c r="R6" s="192"/>
      <c r="S6" s="190"/>
      <c r="T6" s="190"/>
      <c r="U6" s="190"/>
      <c r="V6" s="190"/>
      <c r="W6" s="257"/>
    </row>
    <row r="7" spans="1:217" ht="15" customHeight="1">
      <c r="B7" s="76" t="s">
        <v>304</v>
      </c>
      <c r="C7" s="25" t="s">
        <v>281</v>
      </c>
      <c r="D7" s="12" t="str">
        <f ca="1">IEAData!H9</f>
        <v>RESNGA</v>
      </c>
      <c r="E7" s="33">
        <f ca="1">IEAData!G81*IEAData!H52</f>
        <v>9.1051084837461452E-2</v>
      </c>
      <c r="F7" s="33">
        <f ca="1">AuxData!G81*AuxData!H52</f>
        <v>6.3806433122060913E-2</v>
      </c>
      <c r="G7" s="40">
        <v>0.95</v>
      </c>
      <c r="H7" s="343" t="str">
        <f t="shared" ref="H7:H13" si="0">RIGHT(D7,3)</f>
        <v>NGA</v>
      </c>
      <c r="I7" s="81">
        <v>1</v>
      </c>
      <c r="J7" s="6">
        <f t="shared" ref="J7:J13" si="1">G7*I7</f>
        <v>0.95</v>
      </c>
      <c r="K7" s="38">
        <f t="shared" ref="K7:K13" ca="1" si="2">F7*J7</f>
        <v>6.0616111465957863E-2</v>
      </c>
      <c r="L7" s="19">
        <v>1</v>
      </c>
      <c r="M7" s="18">
        <v>1</v>
      </c>
      <c r="N7" s="18">
        <v>15</v>
      </c>
      <c r="O7" s="400">
        <f t="shared" ref="O7:O13" ca="1" si="3">E7*J7/$M7</f>
        <v>8.6498530595588374E-2</v>
      </c>
      <c r="P7" s="185">
        <f t="shared" ref="P7:P13" ca="1" si="4">F7*J7/$M7</f>
        <v>6.0616111465957863E-2</v>
      </c>
      <c r="Q7" s="104"/>
      <c r="R7" s="40">
        <v>0</v>
      </c>
      <c r="S7" s="40"/>
      <c r="T7" s="40"/>
      <c r="U7" s="40"/>
      <c r="V7" s="40"/>
      <c r="W7" s="258">
        <f t="shared" ref="W7:W13" ca="1" si="5">IF($E$14=0,0,E7/$E$14)</f>
        <v>3.4777663658160089E-2</v>
      </c>
    </row>
    <row r="8" spans="1:217" ht="15" customHeight="1">
      <c r="B8" s="76" t="s">
        <v>305</v>
      </c>
      <c r="C8" s="25" t="s">
        <v>344</v>
      </c>
      <c r="D8" s="12" t="str">
        <f ca="1">IEAData!H12</f>
        <v>RESKER</v>
      </c>
      <c r="E8" s="33">
        <f ca="1">IEAData!G84*IEAData!H55</f>
        <v>0</v>
      </c>
      <c r="F8" s="33">
        <f ca="1">AuxData!G84*AuxData!H55</f>
        <v>0</v>
      </c>
      <c r="G8" s="40">
        <v>0.85</v>
      </c>
      <c r="H8" s="343" t="str">
        <f t="shared" si="0"/>
        <v>KER</v>
      </c>
      <c r="I8" s="81">
        <v>1</v>
      </c>
      <c r="J8" s="6">
        <f t="shared" si="1"/>
        <v>0.85</v>
      </c>
      <c r="K8" s="38">
        <f t="shared" ca="1" si="2"/>
        <v>0</v>
      </c>
      <c r="L8" s="19">
        <v>1</v>
      </c>
      <c r="M8" s="18">
        <v>1</v>
      </c>
      <c r="N8" s="18">
        <v>15</v>
      </c>
      <c r="O8" s="373">
        <f t="shared" ca="1" si="3"/>
        <v>0</v>
      </c>
      <c r="P8" s="185">
        <f t="shared" ca="1" si="4"/>
        <v>0</v>
      </c>
      <c r="Q8" s="104"/>
      <c r="R8" s="40">
        <v>0</v>
      </c>
      <c r="S8" s="40"/>
      <c r="T8" s="40"/>
      <c r="U8" s="40"/>
      <c r="V8" s="18"/>
      <c r="W8" s="258">
        <f t="shared" ca="1" si="5"/>
        <v>0</v>
      </c>
    </row>
    <row r="9" spans="1:217" ht="15" customHeight="1">
      <c r="B9" s="270" t="s">
        <v>559</v>
      </c>
      <c r="C9" s="183" t="s">
        <v>560</v>
      </c>
      <c r="D9" s="12" t="str">
        <f ca="1">IEAData!H10</f>
        <v>RESDST</v>
      </c>
      <c r="E9" s="33">
        <f ca="1">IEAData!G82*IEAData!H53</f>
        <v>0</v>
      </c>
      <c r="F9" s="33">
        <f ca="1">AuxData!G82*AuxData!H53</f>
        <v>0</v>
      </c>
      <c r="G9" s="40">
        <v>0.85</v>
      </c>
      <c r="H9" s="343" t="str">
        <f t="shared" si="0"/>
        <v>DST</v>
      </c>
      <c r="I9" s="81">
        <v>1</v>
      </c>
      <c r="J9" s="6">
        <f t="shared" si="1"/>
        <v>0.85</v>
      </c>
      <c r="K9" s="38">
        <f t="shared" ca="1" si="2"/>
        <v>0</v>
      </c>
      <c r="L9" s="19">
        <v>1</v>
      </c>
      <c r="M9" s="18">
        <v>1</v>
      </c>
      <c r="N9" s="18">
        <v>15</v>
      </c>
      <c r="O9" s="373">
        <f t="shared" ca="1" si="3"/>
        <v>0</v>
      </c>
      <c r="P9" s="185">
        <f t="shared" ca="1" si="4"/>
        <v>0</v>
      </c>
      <c r="Q9" s="104"/>
      <c r="R9" s="40">
        <v>0</v>
      </c>
      <c r="S9" s="40"/>
      <c r="T9" s="40"/>
      <c r="U9" s="40"/>
      <c r="V9" s="18"/>
      <c r="W9" s="258">
        <f t="shared" ca="1" si="5"/>
        <v>0</v>
      </c>
    </row>
    <row r="10" spans="1:217" ht="15" customHeight="1">
      <c r="B10" s="76" t="s">
        <v>330</v>
      </c>
      <c r="C10" s="25" t="s">
        <v>345</v>
      </c>
      <c r="D10" s="12" t="str">
        <f ca="1">IEAData!H14</f>
        <v>RESLPG</v>
      </c>
      <c r="E10" s="33">
        <f ca="1">IEAData!G86*IEAData!H57</f>
        <v>6.9660759324470786E-2</v>
      </c>
      <c r="F10" s="33">
        <f ca="1">AuxData!G86*AuxData!H57</f>
        <v>5.5742389168492022E-2</v>
      </c>
      <c r="G10" s="40">
        <v>0.95</v>
      </c>
      <c r="H10" s="343" t="str">
        <f t="shared" si="0"/>
        <v>LPG</v>
      </c>
      <c r="I10" s="81">
        <v>1</v>
      </c>
      <c r="J10" s="6">
        <f t="shared" si="1"/>
        <v>0.95</v>
      </c>
      <c r="K10" s="38">
        <f t="shared" ca="1" si="2"/>
        <v>5.2955269710067421E-2</v>
      </c>
      <c r="L10" s="19">
        <v>1</v>
      </c>
      <c r="M10" s="18">
        <v>1</v>
      </c>
      <c r="N10" s="18">
        <v>15</v>
      </c>
      <c r="O10" s="373">
        <f t="shared" ca="1" si="3"/>
        <v>6.6177721358247246E-2</v>
      </c>
      <c r="P10" s="185">
        <f t="shared" ca="1" si="4"/>
        <v>5.2955269710067421E-2</v>
      </c>
      <c r="Q10" s="104"/>
      <c r="R10" s="40">
        <v>0</v>
      </c>
      <c r="S10" s="40"/>
      <c r="T10" s="40"/>
      <c r="U10" s="40"/>
      <c r="V10" s="18"/>
      <c r="W10" s="258">
        <f t="shared" ca="1" si="5"/>
        <v>2.6607463955901491E-2</v>
      </c>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row>
    <row r="11" spans="1:217" s="39" customFormat="1" ht="15" customHeight="1">
      <c r="B11" s="265" t="s">
        <v>306</v>
      </c>
      <c r="C11" s="37" t="s">
        <v>346</v>
      </c>
      <c r="D11" s="12" t="s">
        <v>838</v>
      </c>
      <c r="E11" s="64">
        <f ca="1">IEAData!G88*IEAData!H59</f>
        <v>1.8747458268086352</v>
      </c>
      <c r="F11" s="64">
        <f ca="1">AuxData!G88*AuxData!H59</f>
        <v>1.6327171298038781</v>
      </c>
      <c r="G11" s="69">
        <v>1</v>
      </c>
      <c r="H11" s="343" t="str">
        <f t="shared" si="0"/>
        <v>ELC</v>
      </c>
      <c r="I11" s="81">
        <v>1</v>
      </c>
      <c r="J11" s="6">
        <f t="shared" si="1"/>
        <v>1</v>
      </c>
      <c r="K11" s="38">
        <f t="shared" ca="1" si="2"/>
        <v>1.6327171298038781</v>
      </c>
      <c r="L11" s="19">
        <v>1</v>
      </c>
      <c r="M11" s="81">
        <v>1</v>
      </c>
      <c r="N11" s="81">
        <v>15</v>
      </c>
      <c r="O11" s="373">
        <f t="shared" ca="1" si="3"/>
        <v>1.8747458268086352</v>
      </c>
      <c r="P11" s="185">
        <f t="shared" ca="1" si="4"/>
        <v>1.6327171298038781</v>
      </c>
      <c r="Q11" s="104"/>
      <c r="R11" s="53">
        <v>0</v>
      </c>
      <c r="S11" s="53"/>
      <c r="T11" s="53"/>
      <c r="U11" s="53"/>
      <c r="V11" s="81"/>
      <c r="W11" s="258">
        <f t="shared" ca="1" si="5"/>
        <v>0.71607361873479636</v>
      </c>
    </row>
    <row r="12" spans="1:217" s="39" customFormat="1" ht="15" customHeight="1">
      <c r="B12" s="265" t="s">
        <v>25</v>
      </c>
      <c r="C12" s="37" t="s">
        <v>347</v>
      </c>
      <c r="D12" s="12" t="str">
        <f ca="1">IEAData!H15</f>
        <v>RESBIO</v>
      </c>
      <c r="E12" s="64">
        <f ca="1">IEAData!G87*IEAData!H58</f>
        <v>0.58263323163949299</v>
      </c>
      <c r="F12" s="64">
        <f ca="1">AuxData!G87*AuxData!H58</f>
        <v>0.50561909544176942</v>
      </c>
      <c r="G12" s="69">
        <v>0.7</v>
      </c>
      <c r="H12" s="343" t="str">
        <f t="shared" si="0"/>
        <v>BIO</v>
      </c>
      <c r="I12" s="81">
        <v>1</v>
      </c>
      <c r="J12" s="6">
        <f t="shared" si="1"/>
        <v>0.7</v>
      </c>
      <c r="K12" s="38">
        <f t="shared" ca="1" si="2"/>
        <v>0.35393336680923859</v>
      </c>
      <c r="L12" s="19">
        <v>1</v>
      </c>
      <c r="M12" s="81">
        <v>1</v>
      </c>
      <c r="N12" s="81">
        <v>15</v>
      </c>
      <c r="O12" s="373">
        <f t="shared" ca="1" si="3"/>
        <v>0.40784326214764505</v>
      </c>
      <c r="P12" s="185">
        <f t="shared" ca="1" si="4"/>
        <v>0.35393336680923859</v>
      </c>
      <c r="Q12" s="104"/>
      <c r="R12" s="53">
        <v>0</v>
      </c>
      <c r="S12" s="53"/>
      <c r="T12" s="53"/>
      <c r="U12" s="53"/>
      <c r="V12" s="81"/>
      <c r="W12" s="258">
        <f t="shared" ca="1" si="5"/>
        <v>0.22254125365114208</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row>
    <row r="13" spans="1:217" ht="15" customHeight="1" thickBot="1">
      <c r="B13" s="266" t="s">
        <v>307</v>
      </c>
      <c r="C13" s="26" t="s">
        <v>348</v>
      </c>
      <c r="D13" s="24" t="str">
        <f ca="1">IEAData!H19</f>
        <v>RESSOL</v>
      </c>
      <c r="E13" s="34">
        <f ca="1">IEAData!G91*IEAData!H62</f>
        <v>0</v>
      </c>
      <c r="F13" s="34">
        <f ca="1">AuxData!G91*AuxData!H62</f>
        <v>0</v>
      </c>
      <c r="G13" s="71">
        <v>1</v>
      </c>
      <c r="H13" s="343" t="str">
        <f t="shared" si="0"/>
        <v>SOL</v>
      </c>
      <c r="I13" s="81">
        <v>1</v>
      </c>
      <c r="J13" s="6">
        <f t="shared" si="1"/>
        <v>1</v>
      </c>
      <c r="K13" s="38">
        <f t="shared" ca="1" si="2"/>
        <v>0</v>
      </c>
      <c r="L13" s="73">
        <v>1</v>
      </c>
      <c r="M13" s="20">
        <v>1</v>
      </c>
      <c r="N13" s="20">
        <v>15</v>
      </c>
      <c r="O13" s="401">
        <f t="shared" ca="1" si="3"/>
        <v>0</v>
      </c>
      <c r="P13" s="185">
        <f t="shared" ca="1" si="4"/>
        <v>0</v>
      </c>
      <c r="Q13" s="117"/>
      <c r="R13" s="54">
        <v>0</v>
      </c>
      <c r="S13" s="54"/>
      <c r="T13" s="54"/>
      <c r="U13" s="54"/>
      <c r="V13" s="54"/>
      <c r="W13" s="258">
        <f t="shared" ca="1" si="5"/>
        <v>0</v>
      </c>
    </row>
    <row r="14" spans="1:217" ht="15" customHeight="1" thickBot="1">
      <c r="B14" s="434" t="s">
        <v>999</v>
      </c>
      <c r="C14" s="190" t="s">
        <v>1001</v>
      </c>
      <c r="D14" s="190"/>
      <c r="E14" s="191">
        <f ca="1">SUM(E7:E13)</f>
        <v>2.6180909026100605</v>
      </c>
      <c r="F14" s="191">
        <f ca="1">SUM(F7:F13)</f>
        <v>2.2578850475362007</v>
      </c>
      <c r="G14" s="191"/>
      <c r="H14" s="191">
        <f ca="1">SUMPRODUCT(E$7:E13,J$7:J13)</f>
        <v>2.4352653409101159</v>
      </c>
      <c r="I14" s="190"/>
      <c r="J14" s="193"/>
      <c r="K14" s="191">
        <f ca="1">SUM(K7:K13)</f>
        <v>2.1002218777891422</v>
      </c>
      <c r="L14" s="190"/>
      <c r="M14" s="190"/>
      <c r="N14" s="191"/>
      <c r="O14" s="315">
        <f ca="1">SUM(O7:O13)</f>
        <v>2.4352653409101159</v>
      </c>
      <c r="P14" s="190"/>
      <c r="Q14" s="190"/>
      <c r="R14" s="192"/>
      <c r="S14" s="190"/>
      <c r="T14" s="190"/>
      <c r="U14" s="190"/>
      <c r="V14" s="190"/>
      <c r="W14" s="259">
        <f ca="1">SUM(W7:W13)</f>
        <v>1</v>
      </c>
    </row>
    <row r="15" spans="1:217" ht="15" customHeight="1">
      <c r="B15" s="76" t="s">
        <v>309</v>
      </c>
      <c r="C15" s="25" t="s">
        <v>349</v>
      </c>
      <c r="D15" s="12" t="str">
        <f ca="1">IEAData!H9</f>
        <v>RESNGA</v>
      </c>
      <c r="E15" s="33">
        <f ca="1">IEAData!G81*IEAData!I52</f>
        <v>0</v>
      </c>
      <c r="F15" s="33">
        <f ca="1">AuxData!G81*AuxData!I52</f>
        <v>0</v>
      </c>
      <c r="G15" s="40">
        <v>0.95</v>
      </c>
      <c r="H15" s="343" t="str">
        <f t="shared" ref="H15:H21" si="6">RIGHT(D15,3)</f>
        <v>NGA</v>
      </c>
      <c r="I15" s="81">
        <v>1</v>
      </c>
      <c r="J15" s="6">
        <f t="shared" ref="J15:J21" si="7">G15*I15</f>
        <v>0.95</v>
      </c>
      <c r="K15" s="38">
        <f t="shared" ref="K15:K21" ca="1" si="8">F15*J15</f>
        <v>0</v>
      </c>
      <c r="L15" s="19">
        <v>1</v>
      </c>
      <c r="M15" s="18">
        <v>1</v>
      </c>
      <c r="N15" s="18">
        <v>15</v>
      </c>
      <c r="O15" s="160">
        <f t="shared" ref="O15:O21" ca="1" si="9">E15*J15/$M15</f>
        <v>0</v>
      </c>
      <c r="P15" s="104">
        <f t="shared" ref="P15:P21" ca="1" si="10">F15*J15/$M15</f>
        <v>0</v>
      </c>
      <c r="Q15" s="104"/>
      <c r="R15" s="40">
        <v>0</v>
      </c>
      <c r="S15" s="40"/>
      <c r="T15" s="40"/>
      <c r="U15" s="40"/>
      <c r="V15" s="40"/>
      <c r="W15" s="258">
        <f t="shared" ref="W15:W21" ca="1" si="11">IF($E$22=0,0,E15/$E$22)</f>
        <v>0</v>
      </c>
    </row>
    <row r="16" spans="1:217" ht="15" customHeight="1">
      <c r="B16" s="76" t="s">
        <v>310</v>
      </c>
      <c r="C16" s="25" t="s">
        <v>350</v>
      </c>
      <c r="D16" s="12" t="str">
        <f ca="1">IEAData!H12</f>
        <v>RESKER</v>
      </c>
      <c r="E16" s="33">
        <f ca="1">IEAData!G84*IEAData!I55</f>
        <v>0</v>
      </c>
      <c r="F16" s="33">
        <f ca="1">AuxData!G84*AuxData!I55</f>
        <v>0</v>
      </c>
      <c r="G16" s="40">
        <v>0.85</v>
      </c>
      <c r="H16" s="343" t="str">
        <f t="shared" si="6"/>
        <v>KER</v>
      </c>
      <c r="I16" s="81">
        <v>1</v>
      </c>
      <c r="J16" s="6">
        <f t="shared" si="7"/>
        <v>0.85</v>
      </c>
      <c r="K16" s="38">
        <f t="shared" ca="1" si="8"/>
        <v>0</v>
      </c>
      <c r="L16" s="19">
        <v>1</v>
      </c>
      <c r="M16" s="18">
        <v>1</v>
      </c>
      <c r="N16" s="18">
        <v>15</v>
      </c>
      <c r="O16" s="161">
        <f t="shared" ca="1" si="9"/>
        <v>0</v>
      </c>
      <c r="P16" s="104">
        <f t="shared" ca="1" si="10"/>
        <v>0</v>
      </c>
      <c r="Q16" s="104"/>
      <c r="R16" s="40">
        <v>0</v>
      </c>
      <c r="S16" s="40"/>
      <c r="T16" s="40"/>
      <c r="U16" s="40"/>
      <c r="V16" s="18"/>
      <c r="W16" s="258">
        <f t="shared" ca="1" si="11"/>
        <v>0</v>
      </c>
    </row>
    <row r="17" spans="1:23" ht="15" customHeight="1">
      <c r="B17" s="91" t="s">
        <v>561</v>
      </c>
      <c r="C17" s="183" t="s">
        <v>562</v>
      </c>
      <c r="D17" s="12" t="str">
        <f ca="1">IEAData!H10</f>
        <v>RESDST</v>
      </c>
      <c r="E17" s="33">
        <f ca="1">IEAData!G82*IEAData!I53</f>
        <v>0</v>
      </c>
      <c r="F17" s="33">
        <f ca="1">AuxData!G82*AuxData!I53</f>
        <v>0</v>
      </c>
      <c r="G17" s="40">
        <v>0.85</v>
      </c>
      <c r="H17" s="343" t="str">
        <f t="shared" si="6"/>
        <v>DST</v>
      </c>
      <c r="I17" s="81">
        <v>1</v>
      </c>
      <c r="J17" s="6">
        <f t="shared" si="7"/>
        <v>0.85</v>
      </c>
      <c r="K17" s="38">
        <f t="shared" ca="1" si="8"/>
        <v>0</v>
      </c>
      <c r="L17" s="19">
        <v>1</v>
      </c>
      <c r="M17" s="18">
        <v>1</v>
      </c>
      <c r="N17" s="18">
        <v>15</v>
      </c>
      <c r="O17" s="161">
        <f t="shared" ca="1" si="9"/>
        <v>0</v>
      </c>
      <c r="P17" s="104">
        <f t="shared" ca="1" si="10"/>
        <v>0</v>
      </c>
      <c r="Q17" s="104"/>
      <c r="R17" s="40">
        <v>0</v>
      </c>
      <c r="S17" s="40"/>
      <c r="T17" s="40"/>
      <c r="U17" s="40"/>
      <c r="V17" s="18"/>
      <c r="W17" s="258">
        <f t="shared" ca="1" si="11"/>
        <v>0</v>
      </c>
    </row>
    <row r="18" spans="1:23" ht="15" customHeight="1">
      <c r="B18" s="76" t="s">
        <v>233</v>
      </c>
      <c r="C18" s="25" t="s">
        <v>351</v>
      </c>
      <c r="D18" s="12" t="str">
        <f ca="1">IEAData!H14</f>
        <v>RESLPG</v>
      </c>
      <c r="E18" s="33">
        <f ca="1">IEAData!G86*IEAData!I57</f>
        <v>0</v>
      </c>
      <c r="F18" s="33">
        <f ca="1">AuxData!G86*AuxData!I57</f>
        <v>0</v>
      </c>
      <c r="G18" s="40">
        <v>0.95</v>
      </c>
      <c r="H18" s="343" t="str">
        <f t="shared" si="6"/>
        <v>LPG</v>
      </c>
      <c r="I18" s="81">
        <v>1</v>
      </c>
      <c r="J18" s="6">
        <f t="shared" si="7"/>
        <v>0.95</v>
      </c>
      <c r="K18" s="38">
        <f t="shared" ca="1" si="8"/>
        <v>0</v>
      </c>
      <c r="L18" s="19">
        <v>1</v>
      </c>
      <c r="M18" s="18">
        <v>1</v>
      </c>
      <c r="N18" s="18">
        <v>15</v>
      </c>
      <c r="O18" s="161">
        <f t="shared" ca="1" si="9"/>
        <v>0</v>
      </c>
      <c r="P18" s="104">
        <f t="shared" ca="1" si="10"/>
        <v>0</v>
      </c>
      <c r="Q18" s="104"/>
      <c r="R18" s="40">
        <v>0</v>
      </c>
      <c r="S18" s="40"/>
      <c r="T18" s="40"/>
      <c r="U18" s="40"/>
      <c r="V18" s="18"/>
      <c r="W18" s="258">
        <f t="shared" ca="1" si="11"/>
        <v>0</v>
      </c>
    </row>
    <row r="19" spans="1:23" ht="15" customHeight="1">
      <c r="B19" s="265" t="s">
        <v>311</v>
      </c>
      <c r="C19" s="37" t="s">
        <v>352</v>
      </c>
      <c r="D19" s="12" t="s">
        <v>838</v>
      </c>
      <c r="E19" s="64">
        <f ca="1">IEAData!G88*IEAData!I59</f>
        <v>0</v>
      </c>
      <c r="F19" s="64">
        <f ca="1">AuxData!G88*AuxData!I59</f>
        <v>0</v>
      </c>
      <c r="G19" s="69">
        <v>1</v>
      </c>
      <c r="H19" s="343" t="str">
        <f t="shared" si="6"/>
        <v>ELC</v>
      </c>
      <c r="I19" s="81">
        <v>1</v>
      </c>
      <c r="J19" s="6">
        <f t="shared" si="7"/>
        <v>1</v>
      </c>
      <c r="K19" s="38">
        <f t="shared" ca="1" si="8"/>
        <v>0</v>
      </c>
      <c r="L19" s="19">
        <v>1</v>
      </c>
      <c r="M19" s="81">
        <v>1</v>
      </c>
      <c r="N19" s="81">
        <v>15</v>
      </c>
      <c r="O19" s="161">
        <f t="shared" ca="1" si="9"/>
        <v>0</v>
      </c>
      <c r="P19" s="104">
        <f t="shared" ca="1" si="10"/>
        <v>0</v>
      </c>
      <c r="Q19" s="104"/>
      <c r="R19" s="53">
        <v>0</v>
      </c>
      <c r="S19" s="53"/>
      <c r="T19" s="53"/>
      <c r="U19" s="53"/>
      <c r="V19" s="81"/>
      <c r="W19" s="258">
        <f t="shared" ca="1" si="11"/>
        <v>0</v>
      </c>
    </row>
    <row r="20" spans="1:23" ht="15" customHeight="1">
      <c r="B20" s="265" t="s">
        <v>26</v>
      </c>
      <c r="C20" s="37" t="s">
        <v>353</v>
      </c>
      <c r="D20" s="12" t="str">
        <f ca="1">IEAData!H15</f>
        <v>RESBIO</v>
      </c>
      <c r="E20" s="64">
        <f ca="1">IEAData!G87*IEAData!I58</f>
        <v>0</v>
      </c>
      <c r="F20" s="64">
        <f ca="1">AuxData!G87*AuxData!I58</f>
        <v>0</v>
      </c>
      <c r="G20" s="69">
        <v>0.7</v>
      </c>
      <c r="H20" s="343" t="str">
        <f t="shared" si="6"/>
        <v>BIO</v>
      </c>
      <c r="I20" s="81">
        <v>1</v>
      </c>
      <c r="J20" s="6">
        <f t="shared" si="7"/>
        <v>0.7</v>
      </c>
      <c r="K20" s="38">
        <f t="shared" ca="1" si="8"/>
        <v>0</v>
      </c>
      <c r="L20" s="19">
        <v>1</v>
      </c>
      <c r="M20" s="81">
        <v>1</v>
      </c>
      <c r="N20" s="81">
        <v>15</v>
      </c>
      <c r="O20" s="161">
        <f t="shared" ca="1" si="9"/>
        <v>0</v>
      </c>
      <c r="P20" s="104">
        <f t="shared" ca="1" si="10"/>
        <v>0</v>
      </c>
      <c r="Q20" s="104"/>
      <c r="R20" s="53">
        <v>0</v>
      </c>
      <c r="S20" s="53"/>
      <c r="T20" s="53"/>
      <c r="U20" s="53"/>
      <c r="V20" s="81"/>
      <c r="W20" s="258">
        <f t="shared" ca="1" si="11"/>
        <v>0</v>
      </c>
    </row>
    <row r="21" spans="1:23" ht="15" customHeight="1" thickBot="1">
      <c r="B21" s="272" t="s">
        <v>312</v>
      </c>
      <c r="C21" s="26" t="s">
        <v>354</v>
      </c>
      <c r="D21" s="24" t="str">
        <f ca="1">IEAData!H19</f>
        <v>RESSOL</v>
      </c>
      <c r="E21" s="34">
        <f ca="1">IEAData!G91*IEAData!I62</f>
        <v>0</v>
      </c>
      <c r="F21" s="34">
        <f ca="1">AuxData!G91*AuxData!I62</f>
        <v>0</v>
      </c>
      <c r="G21" s="71">
        <v>1</v>
      </c>
      <c r="H21" s="343" t="str">
        <f t="shared" si="6"/>
        <v>SOL</v>
      </c>
      <c r="I21" s="81">
        <v>1</v>
      </c>
      <c r="J21" s="6">
        <f t="shared" si="7"/>
        <v>1</v>
      </c>
      <c r="K21" s="38">
        <f t="shared" ca="1" si="8"/>
        <v>0</v>
      </c>
      <c r="L21" s="73">
        <v>1</v>
      </c>
      <c r="M21" s="20">
        <v>1</v>
      </c>
      <c r="N21" s="20">
        <v>15</v>
      </c>
      <c r="O21" s="162">
        <f t="shared" ca="1" si="9"/>
        <v>0</v>
      </c>
      <c r="P21" s="104">
        <f t="shared" ca="1" si="10"/>
        <v>0</v>
      </c>
      <c r="Q21" s="117"/>
      <c r="R21" s="54">
        <v>0</v>
      </c>
      <c r="S21" s="54"/>
      <c r="T21" s="54"/>
      <c r="U21" s="54"/>
      <c r="V21" s="54"/>
      <c r="W21" s="258">
        <f t="shared" ca="1" si="11"/>
        <v>0</v>
      </c>
    </row>
    <row r="22" spans="1:23" ht="14.25">
      <c r="B22" s="434" t="s">
        <v>999</v>
      </c>
      <c r="C22" s="190" t="s">
        <v>1001</v>
      </c>
      <c r="D22" s="190"/>
      <c r="E22" s="191">
        <f ca="1">SUM(E15:E21)</f>
        <v>0</v>
      </c>
      <c r="F22" s="191">
        <f ca="1">SUM(F15:F21)</f>
        <v>0</v>
      </c>
      <c r="G22" s="191"/>
      <c r="H22" s="191">
        <f ca="1">SUMPRODUCT(E$15:E21,J$15:J21)</f>
        <v>0</v>
      </c>
      <c r="I22" s="190"/>
      <c r="J22" s="193"/>
      <c r="K22" s="191">
        <f ca="1">SUM(K15:K21)</f>
        <v>0</v>
      </c>
      <c r="L22" s="190"/>
      <c r="M22" s="190"/>
      <c r="N22" s="191"/>
      <c r="O22" s="192">
        <f ca="1">SUM(O15:O21)</f>
        <v>0</v>
      </c>
      <c r="P22" s="190"/>
      <c r="Q22" s="190"/>
      <c r="R22" s="192"/>
      <c r="S22" s="190"/>
      <c r="T22" s="190"/>
      <c r="U22" s="190"/>
      <c r="V22" s="190"/>
      <c r="W22" s="259">
        <f ca="1">SUM(W15:W21)</f>
        <v>0</v>
      </c>
    </row>
    <row r="23" spans="1:23">
      <c r="B23" s="123"/>
      <c r="C23" s="55"/>
      <c r="D23" s="55"/>
      <c r="E23" s="57"/>
      <c r="G23" s="57"/>
      <c r="H23" s="57"/>
      <c r="I23" s="55"/>
      <c r="J23" s="254"/>
      <c r="K23" s="57"/>
      <c r="L23" s="55"/>
      <c r="M23" s="55"/>
      <c r="N23" s="57"/>
      <c r="O23" s="161"/>
      <c r="P23" s="55"/>
      <c r="Q23" s="55"/>
      <c r="R23" s="161"/>
      <c r="S23" s="55"/>
      <c r="T23" s="55"/>
      <c r="U23" s="55"/>
      <c r="V23" s="55"/>
    </row>
    <row r="24" spans="1:23">
      <c r="B24" s="123"/>
      <c r="C24" s="55"/>
      <c r="D24" s="256"/>
      <c r="E24" s="57"/>
      <c r="G24" s="57"/>
      <c r="H24" s="57"/>
      <c r="I24" s="55"/>
      <c r="J24" s="254"/>
      <c r="K24" s="57"/>
      <c r="L24" s="55"/>
      <c r="M24" s="55"/>
      <c r="N24" s="57"/>
      <c r="O24" s="161"/>
      <c r="P24" s="55"/>
      <c r="Q24" s="55"/>
      <c r="R24" s="161"/>
      <c r="S24" s="55"/>
      <c r="T24" s="55"/>
      <c r="U24" s="55"/>
      <c r="V24" s="55"/>
    </row>
    <row r="25" spans="1:23">
      <c r="B25" s="123"/>
      <c r="C25" s="55"/>
      <c r="D25" s="55"/>
      <c r="E25" s="57"/>
      <c r="G25" s="57"/>
      <c r="H25" s="57"/>
      <c r="I25" s="55"/>
      <c r="J25" s="254"/>
      <c r="K25" s="57"/>
      <c r="L25" s="55"/>
      <c r="M25" s="55"/>
      <c r="N25" s="57"/>
      <c r="O25" s="161"/>
      <c r="P25" s="55"/>
      <c r="Q25" s="55"/>
      <c r="R25" s="161"/>
      <c r="S25" s="55"/>
      <c r="T25" s="55"/>
      <c r="U25" s="55"/>
      <c r="V25" s="55"/>
    </row>
    <row r="26" spans="1:23">
      <c r="B26" s="123"/>
      <c r="C26" s="55"/>
      <c r="D26" s="55"/>
      <c r="E26" s="57"/>
      <c r="G26" s="57"/>
      <c r="H26" s="57"/>
      <c r="I26" s="55"/>
      <c r="J26" s="254"/>
      <c r="K26" s="57"/>
      <c r="L26" s="55"/>
      <c r="M26" s="55"/>
      <c r="N26" s="57"/>
      <c r="O26" s="161"/>
      <c r="P26" s="55"/>
      <c r="Q26" s="55"/>
      <c r="R26" s="161"/>
      <c r="S26" s="55"/>
      <c r="T26" s="55"/>
      <c r="U26" s="55"/>
      <c r="V26" s="55"/>
    </row>
    <row r="27" spans="1:23">
      <c r="B27" s="123"/>
      <c r="C27" s="55"/>
      <c r="D27" s="256"/>
      <c r="E27" s="57"/>
      <c r="F27" s="57"/>
      <c r="G27" s="55"/>
      <c r="H27" s="55"/>
      <c r="I27" s="57"/>
      <c r="K27" s="161"/>
      <c r="L27" s="55"/>
      <c r="M27" s="55"/>
      <c r="R27" s="161"/>
      <c r="S27" s="55"/>
      <c r="T27" s="55"/>
      <c r="U27" s="55"/>
      <c r="V27" s="55"/>
    </row>
    <row r="28" spans="1:23" ht="18">
      <c r="B28" s="155" t="s">
        <v>592</v>
      </c>
      <c r="C28" s="156"/>
      <c r="D28" s="252"/>
    </row>
    <row r="29" spans="1:23" ht="13.5" thickBot="1">
      <c r="B29" s="27" t="s">
        <v>384</v>
      </c>
      <c r="C29" s="27" t="s">
        <v>385</v>
      </c>
      <c r="D29" s="27" t="s">
        <v>243</v>
      </c>
      <c r="E29" s="344" t="s">
        <v>942</v>
      </c>
      <c r="F29" s="344" t="s">
        <v>942</v>
      </c>
      <c r="G29" s="27"/>
    </row>
    <row r="30" spans="1:23" ht="17.25" customHeight="1">
      <c r="A30" s="7"/>
      <c r="B30" s="80" t="s">
        <v>303</v>
      </c>
      <c r="C30" s="28" t="str">
        <f ca="1">CONCATENATE("Residential Cooking - ",IEAData!B49)</f>
        <v>Residential Cooking - Region1</v>
      </c>
      <c r="D30" s="95" t="s">
        <v>249</v>
      </c>
      <c r="E30" s="63">
        <f ca="1">H14</f>
        <v>2.4352653409101159</v>
      </c>
      <c r="F30" s="63">
        <f ca="1">SUMPRODUCT(F7:F13,J7:J13)</f>
        <v>2.1002218777891422</v>
      </c>
      <c r="G30" s="18"/>
      <c r="T30" s="621"/>
    </row>
    <row r="31" spans="1:23" ht="18" customHeight="1">
      <c r="B31" s="80" t="s">
        <v>308</v>
      </c>
      <c r="C31" s="28" t="str">
        <f ca="1">CONCATENATE("Residential Cooking - ",IEAData!C49)</f>
        <v>Residential Cooking - Region2</v>
      </c>
      <c r="D31" s="95" t="s">
        <v>249</v>
      </c>
      <c r="E31" s="63">
        <f ca="1">H22</f>
        <v>0</v>
      </c>
      <c r="F31" s="63">
        <f ca="1">SUMPRODUCT(F15:F21,J15:J21)</f>
        <v>0</v>
      </c>
      <c r="G31" s="18"/>
    </row>
    <row r="34" spans="3:217" ht="30.6" customHeight="1"/>
    <row r="43" spans="3:217">
      <c r="C43" s="120"/>
      <c r="D43" s="123"/>
      <c r="F43" s="120"/>
      <c r="G43" s="123"/>
      <c r="H43" s="120"/>
      <c r="I43" s="120"/>
      <c r="J43" s="120"/>
      <c r="K43" s="120"/>
      <c r="L43" s="120"/>
      <c r="M43" s="120"/>
      <c r="N43" s="120"/>
      <c r="O43" s="120"/>
      <c r="P43" s="120"/>
      <c r="Q43" s="120"/>
      <c r="R43" s="120"/>
      <c r="S43" s="120"/>
      <c r="T43" s="120"/>
      <c r="U43" s="120"/>
      <c r="V43" s="120"/>
      <c r="W43" s="120"/>
      <c r="X43" s="120"/>
      <c r="Y43" s="120"/>
      <c r="Z43" s="120"/>
      <c r="AA43" s="120"/>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c r="HI43" s="55"/>
    </row>
    <row r="44" spans="3:217">
      <c r="C44" s="120"/>
      <c r="D44" s="120"/>
      <c r="E44" s="127"/>
      <c r="F44" s="123"/>
      <c r="G44" s="123"/>
      <c r="H44" s="123"/>
      <c r="I44" s="120"/>
      <c r="J44" s="120"/>
      <c r="K44" s="120"/>
      <c r="L44" s="120"/>
      <c r="M44" s="120"/>
      <c r="N44" s="120"/>
      <c r="O44" s="123"/>
      <c r="P44" s="123"/>
      <c r="Q44" s="123"/>
      <c r="R44" s="123"/>
      <c r="S44" s="123"/>
      <c r="T44" s="120"/>
      <c r="U44" s="123"/>
      <c r="V44" s="120"/>
      <c r="W44" s="120"/>
      <c r="X44" s="120"/>
      <c r="Y44" s="120"/>
      <c r="Z44" s="120"/>
      <c r="AA44" s="120"/>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c r="HI44" s="55"/>
    </row>
    <row r="45" spans="3:217">
      <c r="C45" s="120"/>
      <c r="D45" s="120"/>
      <c r="E45" s="127"/>
      <c r="F45" s="123"/>
      <c r="G45" s="123"/>
      <c r="H45" s="123"/>
      <c r="I45" s="120"/>
      <c r="J45" s="120"/>
      <c r="K45" s="120"/>
      <c r="L45" s="120"/>
      <c r="M45" s="120"/>
      <c r="N45" s="120"/>
      <c r="O45" s="123"/>
      <c r="P45" s="123"/>
      <c r="Q45" s="123"/>
      <c r="R45" s="123"/>
      <c r="S45" s="123"/>
      <c r="T45" s="120"/>
      <c r="U45" s="123"/>
      <c r="V45" s="120"/>
      <c r="W45" s="120"/>
      <c r="X45" s="120"/>
      <c r="Y45" s="120"/>
      <c r="Z45" s="120"/>
      <c r="AA45" s="120"/>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c r="HI45" s="55"/>
    </row>
    <row r="46" spans="3:217">
      <c r="C46" s="120"/>
      <c r="D46" s="120"/>
      <c r="E46" s="127"/>
      <c r="F46" s="123"/>
      <c r="G46" s="120"/>
      <c r="H46" s="123"/>
      <c r="I46" s="120"/>
      <c r="J46" s="120"/>
      <c r="K46" s="120"/>
      <c r="L46" s="120"/>
      <c r="M46" s="120"/>
      <c r="N46" s="120"/>
      <c r="O46" s="123"/>
      <c r="P46" s="123"/>
      <c r="Q46" s="123"/>
      <c r="R46" s="123"/>
      <c r="S46" s="123"/>
      <c r="T46" s="120"/>
      <c r="U46" s="123"/>
      <c r="V46" s="120"/>
      <c r="W46" s="120"/>
      <c r="X46" s="120"/>
      <c r="Y46" s="120"/>
      <c r="Z46" s="120"/>
      <c r="AA46" s="120"/>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c r="HI46" s="55"/>
    </row>
    <row r="47" spans="3:217">
      <c r="C47" s="120"/>
      <c r="D47" s="120"/>
      <c r="E47" s="127"/>
      <c r="F47" s="123"/>
      <c r="G47" s="123"/>
      <c r="H47" s="120"/>
      <c r="I47" s="120"/>
      <c r="J47" s="120"/>
      <c r="K47" s="120"/>
      <c r="L47" s="120"/>
      <c r="M47" s="120"/>
      <c r="N47" s="120"/>
      <c r="O47" s="120"/>
      <c r="P47" s="120"/>
      <c r="Q47" s="120"/>
      <c r="R47" s="120"/>
      <c r="S47" s="120"/>
      <c r="T47" s="120"/>
      <c r="U47" s="120"/>
      <c r="V47" s="120"/>
      <c r="W47" s="120"/>
      <c r="X47" s="120"/>
      <c r="Y47" s="120"/>
      <c r="Z47" s="120"/>
      <c r="AA47" s="120"/>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row>
    <row r="48" spans="3:217">
      <c r="C48" s="120"/>
      <c r="D48" s="123"/>
      <c r="E48" s="127"/>
      <c r="F48" s="123"/>
      <c r="G48" s="120"/>
      <c r="H48" s="123"/>
      <c r="I48" s="120"/>
      <c r="J48" s="120"/>
      <c r="K48" s="120"/>
      <c r="L48" s="120"/>
      <c r="M48" s="120"/>
      <c r="N48" s="120"/>
      <c r="O48" s="123"/>
      <c r="P48" s="123"/>
      <c r="Q48" s="123"/>
      <c r="R48" s="123"/>
      <c r="S48" s="123"/>
      <c r="T48" s="120"/>
      <c r="U48" s="123"/>
      <c r="V48" s="120"/>
      <c r="W48" s="120"/>
      <c r="X48" s="120"/>
      <c r="Y48" s="120"/>
      <c r="Z48" s="120"/>
      <c r="AA48" s="120"/>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row>
    <row r="49" spans="3:217">
      <c r="C49" s="120"/>
      <c r="D49" s="123"/>
      <c r="E49" s="127"/>
      <c r="F49" s="123"/>
      <c r="G49" s="123"/>
      <c r="H49" s="120"/>
      <c r="I49" s="120"/>
      <c r="J49" s="120"/>
      <c r="K49" s="120"/>
      <c r="L49" s="120"/>
      <c r="M49" s="120"/>
      <c r="N49" s="120"/>
      <c r="O49" s="120"/>
      <c r="P49" s="120"/>
      <c r="Q49" s="120"/>
      <c r="R49" s="120"/>
      <c r="S49" s="120"/>
      <c r="T49" s="120"/>
      <c r="U49" s="120"/>
      <c r="V49" s="120"/>
      <c r="W49" s="120"/>
      <c r="X49" s="120"/>
      <c r="Y49" s="120"/>
      <c r="Z49" s="120"/>
      <c r="AA49" s="120"/>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c r="HI49" s="55"/>
    </row>
    <row r="50" spans="3:217">
      <c r="C50" s="120"/>
      <c r="D50" s="123"/>
      <c r="E50" s="127"/>
      <c r="F50" s="123"/>
      <c r="G50" s="123"/>
      <c r="H50" s="120"/>
      <c r="I50" s="120"/>
      <c r="J50" s="120"/>
      <c r="K50" s="120"/>
      <c r="L50" s="120"/>
      <c r="M50" s="120"/>
      <c r="N50" s="120"/>
      <c r="O50" s="120"/>
      <c r="P50" s="120"/>
      <c r="Q50" s="120"/>
      <c r="R50" s="120"/>
      <c r="S50" s="120"/>
      <c r="T50" s="120"/>
      <c r="U50" s="120"/>
      <c r="V50" s="120"/>
      <c r="W50" s="120"/>
      <c r="X50" s="120"/>
      <c r="Y50" s="120"/>
      <c r="Z50" s="120"/>
      <c r="AA50" s="120"/>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c r="HI50" s="55"/>
    </row>
    <row r="51" spans="3:217">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c r="HI51" s="55"/>
    </row>
    <row r="52" spans="3:217">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c r="HI52" s="55"/>
    </row>
    <row r="53" spans="3:217">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c r="HI53" s="55"/>
    </row>
    <row r="54" spans="3:217">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c r="HI54" s="55"/>
    </row>
    <row r="55" spans="3:217">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c r="HI55" s="55"/>
    </row>
    <row r="56" spans="3:217">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c r="HI56" s="55"/>
    </row>
    <row r="57" spans="3:217">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c r="HI57" s="55"/>
    </row>
    <row r="58" spans="3:217">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c r="HI58" s="55"/>
    </row>
    <row r="59" spans="3:217">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c r="HI59" s="55"/>
    </row>
    <row r="60" spans="3:217">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c r="HI60" s="55"/>
    </row>
    <row r="61" spans="3:217">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c r="HI61" s="55"/>
    </row>
    <row r="62" spans="3:217">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c r="HI62" s="55"/>
    </row>
    <row r="63" spans="3:217">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c r="HI63" s="55"/>
    </row>
    <row r="64" spans="3:217">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c r="FL64" s="55"/>
      <c r="FM64" s="55"/>
      <c r="FN64" s="55"/>
      <c r="FO64" s="55"/>
      <c r="FP64" s="55"/>
      <c r="FQ64" s="55"/>
      <c r="FR64" s="55"/>
      <c r="FS64" s="55"/>
      <c r="FT64" s="55"/>
      <c r="FU64" s="55"/>
      <c r="FV64" s="55"/>
      <c r="FW64" s="55"/>
      <c r="FX64" s="55"/>
      <c r="FY64" s="55"/>
      <c r="FZ64" s="55"/>
      <c r="GA64" s="55"/>
      <c r="GB64" s="55"/>
      <c r="GC64" s="55"/>
      <c r="GD64" s="55"/>
      <c r="GE64" s="55"/>
      <c r="GF64" s="55"/>
      <c r="GG64" s="55"/>
      <c r="GH64" s="55"/>
      <c r="GI64" s="55"/>
      <c r="GJ64" s="55"/>
      <c r="GK64" s="55"/>
      <c r="GL64" s="55"/>
      <c r="GM64" s="55"/>
      <c r="GN64" s="55"/>
      <c r="GO64" s="55"/>
      <c r="GP64" s="55"/>
      <c r="GQ64" s="55"/>
      <c r="GR64" s="55"/>
      <c r="GS64" s="55"/>
      <c r="GT64" s="55"/>
      <c r="GU64" s="55"/>
      <c r="GV64" s="55"/>
      <c r="GW64" s="55"/>
      <c r="GX64" s="55"/>
      <c r="GY64" s="55"/>
      <c r="GZ64" s="55"/>
      <c r="HA64" s="55"/>
      <c r="HB64" s="55"/>
      <c r="HC64" s="55"/>
      <c r="HD64" s="55"/>
      <c r="HE64" s="55"/>
      <c r="HF64" s="55"/>
      <c r="HG64" s="55"/>
      <c r="HH64" s="55"/>
      <c r="HI64" s="55"/>
    </row>
    <row r="65" spans="3:217">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c r="FL65" s="55"/>
      <c r="FM65" s="55"/>
      <c r="FN65" s="55"/>
      <c r="FO65" s="55"/>
      <c r="FP65" s="55"/>
      <c r="FQ65" s="55"/>
      <c r="FR65" s="55"/>
      <c r="FS65" s="55"/>
      <c r="FT65" s="55"/>
      <c r="FU65" s="55"/>
      <c r="FV65" s="55"/>
      <c r="FW65" s="55"/>
      <c r="FX65" s="55"/>
      <c r="FY65" s="55"/>
      <c r="FZ65" s="55"/>
      <c r="GA65" s="55"/>
      <c r="GB65" s="55"/>
      <c r="GC65" s="55"/>
      <c r="GD65" s="55"/>
      <c r="GE65" s="55"/>
      <c r="GF65" s="55"/>
      <c r="GG65" s="55"/>
      <c r="GH65" s="55"/>
      <c r="GI65" s="55"/>
      <c r="GJ65" s="55"/>
      <c r="GK65" s="55"/>
      <c r="GL65" s="55"/>
      <c r="GM65" s="55"/>
      <c r="GN65" s="55"/>
      <c r="GO65" s="55"/>
      <c r="GP65" s="55"/>
      <c r="GQ65" s="55"/>
      <c r="GR65" s="55"/>
      <c r="GS65" s="55"/>
      <c r="GT65" s="55"/>
      <c r="GU65" s="55"/>
      <c r="GV65" s="55"/>
      <c r="GW65" s="55"/>
      <c r="GX65" s="55"/>
      <c r="GY65" s="55"/>
      <c r="GZ65" s="55"/>
      <c r="HA65" s="55"/>
      <c r="HB65" s="55"/>
      <c r="HC65" s="55"/>
      <c r="HD65" s="55"/>
      <c r="HE65" s="55"/>
      <c r="HF65" s="55"/>
      <c r="HG65" s="55"/>
      <c r="HH65" s="55"/>
      <c r="HI65" s="55"/>
    </row>
    <row r="66" spans="3:217">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c r="FL66" s="55"/>
      <c r="FM66" s="55"/>
      <c r="FN66" s="55"/>
      <c r="FO66" s="55"/>
      <c r="FP66" s="55"/>
      <c r="FQ66" s="55"/>
      <c r="FR66" s="55"/>
      <c r="FS66" s="55"/>
      <c r="FT66" s="55"/>
      <c r="FU66" s="55"/>
      <c r="FV66" s="55"/>
      <c r="FW66" s="55"/>
      <c r="FX66" s="55"/>
      <c r="FY66" s="55"/>
      <c r="FZ66" s="55"/>
      <c r="GA66" s="55"/>
      <c r="GB66" s="55"/>
      <c r="GC66" s="55"/>
      <c r="GD66" s="55"/>
      <c r="GE66" s="55"/>
      <c r="GF66" s="55"/>
      <c r="GG66" s="55"/>
      <c r="GH66" s="55"/>
      <c r="GI66" s="55"/>
      <c r="GJ66" s="55"/>
      <c r="GK66" s="55"/>
      <c r="GL66" s="55"/>
      <c r="GM66" s="55"/>
      <c r="GN66" s="55"/>
      <c r="GO66" s="55"/>
      <c r="GP66" s="55"/>
      <c r="GQ66" s="55"/>
      <c r="GR66" s="55"/>
      <c r="GS66" s="55"/>
      <c r="GT66" s="55"/>
      <c r="GU66" s="55"/>
      <c r="GV66" s="55"/>
      <c r="GW66" s="55"/>
      <c r="GX66" s="55"/>
      <c r="GY66" s="55"/>
      <c r="GZ66" s="55"/>
      <c r="HA66" s="55"/>
      <c r="HB66" s="55"/>
      <c r="HC66" s="55"/>
      <c r="HD66" s="55"/>
      <c r="HE66" s="55"/>
      <c r="HF66" s="55"/>
      <c r="HG66" s="55"/>
      <c r="HH66" s="55"/>
      <c r="HI66" s="55"/>
    </row>
    <row r="67" spans="3:217">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c r="FL67" s="55"/>
      <c r="FM67" s="55"/>
      <c r="FN67" s="55"/>
      <c r="FO67" s="55"/>
      <c r="FP67" s="55"/>
      <c r="FQ67" s="55"/>
      <c r="FR67" s="55"/>
      <c r="FS67" s="55"/>
      <c r="FT67" s="55"/>
      <c r="FU67" s="55"/>
      <c r="FV67" s="55"/>
      <c r="FW67" s="55"/>
      <c r="FX67" s="55"/>
      <c r="FY67" s="55"/>
      <c r="FZ67" s="55"/>
      <c r="GA67" s="55"/>
      <c r="GB67" s="55"/>
      <c r="GC67" s="55"/>
      <c r="GD67" s="55"/>
      <c r="GE67" s="55"/>
      <c r="GF67" s="55"/>
      <c r="GG67" s="55"/>
      <c r="GH67" s="55"/>
      <c r="GI67" s="55"/>
      <c r="GJ67" s="55"/>
      <c r="GK67" s="55"/>
      <c r="GL67" s="55"/>
      <c r="GM67" s="55"/>
      <c r="GN67" s="55"/>
      <c r="GO67" s="55"/>
      <c r="GP67" s="55"/>
      <c r="GQ67" s="55"/>
      <c r="GR67" s="55"/>
      <c r="GS67" s="55"/>
      <c r="GT67" s="55"/>
      <c r="GU67" s="55"/>
      <c r="GV67" s="55"/>
      <c r="GW67" s="55"/>
      <c r="GX67" s="55"/>
      <c r="GY67" s="55"/>
      <c r="GZ67" s="55"/>
      <c r="HA67" s="55"/>
      <c r="HB67" s="55"/>
      <c r="HC67" s="55"/>
      <c r="HD67" s="55"/>
      <c r="HE67" s="55"/>
      <c r="HF67" s="55"/>
      <c r="HG67" s="55"/>
      <c r="HH67" s="55"/>
      <c r="HI67" s="55"/>
    </row>
    <row r="68" spans="3:217">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c r="FL68" s="55"/>
      <c r="FM68" s="55"/>
      <c r="FN68" s="55"/>
      <c r="FO68" s="55"/>
      <c r="FP68" s="55"/>
      <c r="FQ68" s="55"/>
      <c r="FR68" s="55"/>
      <c r="FS68" s="55"/>
      <c r="FT68" s="55"/>
      <c r="FU68" s="55"/>
      <c r="FV68" s="55"/>
      <c r="FW68" s="55"/>
      <c r="FX68" s="55"/>
      <c r="FY68" s="55"/>
      <c r="FZ68" s="55"/>
      <c r="GA68" s="55"/>
      <c r="GB68" s="55"/>
      <c r="GC68" s="55"/>
      <c r="GD68" s="55"/>
      <c r="GE68" s="55"/>
      <c r="GF68" s="55"/>
      <c r="GG68" s="55"/>
      <c r="GH68" s="55"/>
      <c r="GI68" s="55"/>
      <c r="GJ68" s="55"/>
      <c r="GK68" s="55"/>
      <c r="GL68" s="55"/>
      <c r="GM68" s="55"/>
      <c r="GN68" s="55"/>
      <c r="GO68" s="55"/>
      <c r="GP68" s="55"/>
      <c r="GQ68" s="55"/>
      <c r="GR68" s="55"/>
      <c r="GS68" s="55"/>
      <c r="GT68" s="55"/>
      <c r="GU68" s="55"/>
      <c r="GV68" s="55"/>
      <c r="GW68" s="55"/>
      <c r="GX68" s="55"/>
      <c r="GY68" s="55"/>
      <c r="GZ68" s="55"/>
      <c r="HA68" s="55"/>
      <c r="HB68" s="55"/>
      <c r="HC68" s="55"/>
      <c r="HD68" s="55"/>
      <c r="HE68" s="55"/>
      <c r="HF68" s="55"/>
      <c r="HG68" s="55"/>
      <c r="HH68" s="55"/>
      <c r="HI68" s="55"/>
    </row>
    <row r="69" spans="3:217">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c r="FL69" s="55"/>
      <c r="FM69" s="55"/>
      <c r="FN69" s="55"/>
      <c r="FO69" s="55"/>
      <c r="FP69" s="55"/>
      <c r="FQ69" s="55"/>
      <c r="FR69" s="55"/>
      <c r="FS69" s="55"/>
      <c r="FT69" s="55"/>
      <c r="FU69" s="55"/>
      <c r="FV69" s="55"/>
      <c r="FW69" s="55"/>
      <c r="FX69" s="55"/>
      <c r="FY69" s="55"/>
      <c r="FZ69" s="55"/>
      <c r="GA69" s="55"/>
      <c r="GB69" s="55"/>
      <c r="GC69" s="55"/>
      <c r="GD69" s="55"/>
      <c r="GE69" s="55"/>
      <c r="GF69" s="55"/>
      <c r="GG69" s="55"/>
      <c r="GH69" s="55"/>
      <c r="GI69" s="55"/>
      <c r="GJ69" s="55"/>
      <c r="GK69" s="55"/>
      <c r="GL69" s="55"/>
      <c r="GM69" s="55"/>
      <c r="GN69" s="55"/>
      <c r="GO69" s="55"/>
      <c r="GP69" s="55"/>
      <c r="GQ69" s="55"/>
      <c r="GR69" s="55"/>
      <c r="GS69" s="55"/>
      <c r="GT69" s="55"/>
      <c r="GU69" s="55"/>
      <c r="GV69" s="55"/>
      <c r="GW69" s="55"/>
      <c r="GX69" s="55"/>
      <c r="GY69" s="55"/>
      <c r="GZ69" s="55"/>
      <c r="HA69" s="55"/>
      <c r="HB69" s="55"/>
      <c r="HC69" s="55"/>
      <c r="HD69" s="55"/>
      <c r="HE69" s="55"/>
      <c r="HF69" s="55"/>
      <c r="HG69" s="55"/>
      <c r="HH69" s="55"/>
      <c r="HI69" s="55"/>
    </row>
    <row r="70" spans="3:217">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c r="FL70" s="55"/>
      <c r="FM70" s="55"/>
      <c r="FN70" s="55"/>
      <c r="FO70" s="55"/>
      <c r="FP70" s="55"/>
      <c r="FQ70" s="55"/>
      <c r="FR70" s="55"/>
      <c r="FS70" s="55"/>
      <c r="FT70" s="55"/>
      <c r="FU70" s="55"/>
      <c r="FV70" s="55"/>
      <c r="FW70" s="55"/>
      <c r="FX70" s="55"/>
      <c r="FY70" s="55"/>
      <c r="FZ70" s="55"/>
      <c r="GA70" s="55"/>
      <c r="GB70" s="55"/>
      <c r="GC70" s="55"/>
      <c r="GD70" s="55"/>
      <c r="GE70" s="55"/>
      <c r="GF70" s="55"/>
      <c r="GG70" s="55"/>
      <c r="GH70" s="55"/>
      <c r="GI70" s="55"/>
      <c r="GJ70" s="55"/>
      <c r="GK70" s="55"/>
      <c r="GL70" s="55"/>
      <c r="GM70" s="55"/>
      <c r="GN70" s="55"/>
      <c r="GO70" s="55"/>
      <c r="GP70" s="55"/>
      <c r="GQ70" s="55"/>
      <c r="GR70" s="55"/>
      <c r="GS70" s="55"/>
      <c r="GT70" s="55"/>
      <c r="GU70" s="55"/>
      <c r="GV70" s="55"/>
      <c r="GW70" s="55"/>
      <c r="GX70" s="55"/>
      <c r="GY70" s="55"/>
      <c r="GZ70" s="55"/>
      <c r="HA70" s="55"/>
      <c r="HB70" s="55"/>
      <c r="HC70" s="55"/>
      <c r="HD70" s="55"/>
      <c r="HE70" s="55"/>
      <c r="HF70" s="55"/>
      <c r="HG70" s="55"/>
      <c r="HH70" s="55"/>
      <c r="HI70" s="55"/>
    </row>
    <row r="71" spans="3:217">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c r="FL71" s="55"/>
      <c r="FM71" s="55"/>
      <c r="FN71" s="55"/>
      <c r="FO71" s="55"/>
      <c r="FP71" s="55"/>
      <c r="FQ71" s="55"/>
      <c r="FR71" s="55"/>
      <c r="FS71" s="55"/>
      <c r="FT71" s="55"/>
      <c r="FU71" s="55"/>
      <c r="FV71" s="55"/>
      <c r="FW71" s="55"/>
      <c r="FX71" s="55"/>
      <c r="FY71" s="55"/>
      <c r="FZ71" s="55"/>
      <c r="GA71" s="55"/>
      <c r="GB71" s="55"/>
      <c r="GC71" s="55"/>
      <c r="GD71" s="55"/>
      <c r="GE71" s="55"/>
      <c r="GF71" s="55"/>
      <c r="GG71" s="55"/>
      <c r="GH71" s="55"/>
      <c r="GI71" s="55"/>
      <c r="GJ71" s="55"/>
      <c r="GK71" s="55"/>
      <c r="GL71" s="55"/>
      <c r="GM71" s="55"/>
      <c r="GN71" s="55"/>
      <c r="GO71" s="55"/>
      <c r="GP71" s="55"/>
      <c r="GQ71" s="55"/>
      <c r="GR71" s="55"/>
      <c r="GS71" s="55"/>
      <c r="GT71" s="55"/>
      <c r="GU71" s="55"/>
      <c r="GV71" s="55"/>
      <c r="GW71" s="55"/>
      <c r="GX71" s="55"/>
      <c r="GY71" s="55"/>
      <c r="GZ71" s="55"/>
      <c r="HA71" s="55"/>
      <c r="HB71" s="55"/>
      <c r="HC71" s="55"/>
      <c r="HD71" s="55"/>
      <c r="HE71" s="55"/>
      <c r="HF71" s="55"/>
      <c r="HG71" s="55"/>
      <c r="HH71" s="55"/>
      <c r="HI71" s="55"/>
    </row>
    <row r="72" spans="3:217">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c r="FV72" s="55"/>
      <c r="FW72" s="55"/>
      <c r="FX72" s="55"/>
      <c r="FY72" s="55"/>
      <c r="FZ72" s="55"/>
      <c r="GA72" s="55"/>
      <c r="GB72" s="55"/>
      <c r="GC72" s="55"/>
      <c r="GD72" s="55"/>
      <c r="GE72" s="55"/>
      <c r="GF72" s="55"/>
      <c r="GG72" s="55"/>
      <c r="GH72" s="55"/>
      <c r="GI72" s="55"/>
      <c r="GJ72" s="55"/>
      <c r="GK72" s="55"/>
      <c r="GL72" s="55"/>
      <c r="GM72" s="55"/>
      <c r="GN72" s="55"/>
      <c r="GO72" s="55"/>
      <c r="GP72" s="55"/>
      <c r="GQ72" s="55"/>
      <c r="GR72" s="55"/>
      <c r="GS72" s="55"/>
      <c r="GT72" s="55"/>
      <c r="GU72" s="55"/>
      <c r="GV72" s="55"/>
      <c r="GW72" s="55"/>
      <c r="GX72" s="55"/>
      <c r="GY72" s="55"/>
      <c r="GZ72" s="55"/>
      <c r="HA72" s="55"/>
      <c r="HB72" s="55"/>
      <c r="HC72" s="55"/>
      <c r="HD72" s="55"/>
      <c r="HE72" s="55"/>
      <c r="HF72" s="55"/>
      <c r="HG72" s="55"/>
      <c r="HH72" s="55"/>
      <c r="HI72" s="55"/>
    </row>
    <row r="73" spans="3:217">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c r="FV73" s="55"/>
      <c r="FW73" s="55"/>
      <c r="FX73" s="55"/>
      <c r="FY73" s="55"/>
      <c r="FZ73" s="55"/>
      <c r="GA73" s="55"/>
      <c r="GB73" s="55"/>
      <c r="GC73" s="55"/>
      <c r="GD73" s="55"/>
      <c r="GE73" s="55"/>
      <c r="GF73" s="55"/>
      <c r="GG73" s="55"/>
      <c r="GH73" s="55"/>
      <c r="GI73" s="55"/>
      <c r="GJ73" s="55"/>
      <c r="GK73" s="55"/>
      <c r="GL73" s="55"/>
      <c r="GM73" s="55"/>
      <c r="GN73" s="55"/>
      <c r="GO73" s="55"/>
      <c r="GP73" s="55"/>
      <c r="GQ73" s="55"/>
      <c r="GR73" s="55"/>
      <c r="GS73" s="55"/>
      <c r="GT73" s="55"/>
      <c r="GU73" s="55"/>
      <c r="GV73" s="55"/>
      <c r="GW73" s="55"/>
      <c r="GX73" s="55"/>
      <c r="GY73" s="55"/>
      <c r="GZ73" s="55"/>
      <c r="HA73" s="55"/>
      <c r="HB73" s="55"/>
      <c r="HC73" s="55"/>
      <c r="HD73" s="55"/>
      <c r="HE73" s="55"/>
      <c r="HF73" s="55"/>
      <c r="HG73" s="55"/>
      <c r="HH73" s="55"/>
      <c r="HI73" s="55"/>
    </row>
    <row r="74" spans="3:217">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c r="FL74" s="55"/>
      <c r="FM74" s="55"/>
      <c r="FN74" s="55"/>
      <c r="FO74" s="55"/>
      <c r="FP74" s="55"/>
      <c r="FQ74" s="55"/>
      <c r="FR74" s="55"/>
      <c r="FS74" s="55"/>
      <c r="FT74" s="55"/>
      <c r="FU74" s="55"/>
      <c r="FV74" s="55"/>
      <c r="FW74" s="55"/>
      <c r="FX74" s="55"/>
      <c r="FY74" s="55"/>
      <c r="FZ74" s="55"/>
      <c r="GA74" s="55"/>
      <c r="GB74" s="55"/>
      <c r="GC74" s="55"/>
      <c r="GD74" s="55"/>
      <c r="GE74" s="55"/>
      <c r="GF74" s="55"/>
      <c r="GG74" s="55"/>
      <c r="GH74" s="55"/>
      <c r="GI74" s="55"/>
      <c r="GJ74" s="55"/>
      <c r="GK74" s="55"/>
      <c r="GL74" s="55"/>
      <c r="GM74" s="55"/>
      <c r="GN74" s="55"/>
      <c r="GO74" s="55"/>
      <c r="GP74" s="55"/>
      <c r="GQ74" s="55"/>
      <c r="GR74" s="55"/>
      <c r="GS74" s="55"/>
      <c r="GT74" s="55"/>
      <c r="GU74" s="55"/>
      <c r="GV74" s="55"/>
      <c r="GW74" s="55"/>
      <c r="GX74" s="55"/>
      <c r="GY74" s="55"/>
      <c r="GZ74" s="55"/>
      <c r="HA74" s="55"/>
      <c r="HB74" s="55"/>
      <c r="HC74" s="55"/>
      <c r="HD74" s="55"/>
      <c r="HE74" s="55"/>
      <c r="HF74" s="55"/>
      <c r="HG74" s="55"/>
      <c r="HH74" s="55"/>
      <c r="HI74" s="55"/>
    </row>
    <row r="75" spans="3:217">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c r="FV75" s="55"/>
      <c r="FW75" s="55"/>
      <c r="FX75" s="55"/>
      <c r="FY75" s="55"/>
      <c r="FZ75" s="55"/>
      <c r="GA75" s="55"/>
      <c r="GB75" s="55"/>
      <c r="GC75" s="55"/>
      <c r="GD75" s="55"/>
      <c r="GE75" s="55"/>
      <c r="GF75" s="55"/>
      <c r="GG75" s="55"/>
      <c r="GH75" s="55"/>
      <c r="GI75" s="55"/>
      <c r="GJ75" s="55"/>
      <c r="GK75" s="55"/>
      <c r="GL75" s="55"/>
      <c r="GM75" s="55"/>
      <c r="GN75" s="55"/>
      <c r="GO75" s="55"/>
      <c r="GP75" s="55"/>
      <c r="GQ75" s="55"/>
      <c r="GR75" s="55"/>
      <c r="GS75" s="55"/>
      <c r="GT75" s="55"/>
      <c r="GU75" s="55"/>
      <c r="GV75" s="55"/>
      <c r="GW75" s="55"/>
      <c r="GX75" s="55"/>
      <c r="GY75" s="55"/>
      <c r="GZ75" s="55"/>
      <c r="HA75" s="55"/>
      <c r="HB75" s="55"/>
      <c r="HC75" s="55"/>
      <c r="HD75" s="55"/>
      <c r="HE75" s="55"/>
      <c r="HF75" s="55"/>
      <c r="HG75" s="55"/>
      <c r="HH75" s="55"/>
      <c r="HI75" s="55"/>
    </row>
    <row r="76" spans="3:217">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c r="FL76" s="55"/>
      <c r="FM76" s="55"/>
      <c r="FN76" s="55"/>
      <c r="FO76" s="55"/>
      <c r="FP76" s="55"/>
      <c r="FQ76" s="55"/>
      <c r="FR76" s="55"/>
      <c r="FS76" s="55"/>
      <c r="FT76" s="55"/>
      <c r="FU76" s="55"/>
      <c r="FV76" s="55"/>
      <c r="FW76" s="55"/>
      <c r="FX76" s="55"/>
      <c r="FY76" s="55"/>
      <c r="FZ76" s="55"/>
      <c r="GA76" s="55"/>
      <c r="GB76" s="55"/>
      <c r="GC76" s="55"/>
      <c r="GD76" s="55"/>
      <c r="GE76" s="55"/>
      <c r="GF76" s="55"/>
      <c r="GG76" s="55"/>
      <c r="GH76" s="55"/>
      <c r="GI76" s="55"/>
      <c r="GJ76" s="55"/>
      <c r="GK76" s="55"/>
      <c r="GL76" s="55"/>
      <c r="GM76" s="55"/>
      <c r="GN76" s="55"/>
      <c r="GO76" s="55"/>
      <c r="GP76" s="55"/>
      <c r="GQ76" s="55"/>
      <c r="GR76" s="55"/>
      <c r="GS76" s="55"/>
      <c r="GT76" s="55"/>
      <c r="GU76" s="55"/>
      <c r="GV76" s="55"/>
      <c r="GW76" s="55"/>
      <c r="GX76" s="55"/>
      <c r="GY76" s="55"/>
      <c r="GZ76" s="55"/>
      <c r="HA76" s="55"/>
      <c r="HB76" s="55"/>
      <c r="HC76" s="55"/>
      <c r="HD76" s="55"/>
      <c r="HE76" s="55"/>
      <c r="HF76" s="55"/>
      <c r="HG76" s="55"/>
      <c r="HH76" s="55"/>
      <c r="HI76" s="55"/>
    </row>
    <row r="77" spans="3:217">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55"/>
      <c r="FV77" s="55"/>
      <c r="FW77" s="55"/>
      <c r="FX77" s="55"/>
      <c r="FY77" s="55"/>
      <c r="FZ77" s="55"/>
      <c r="GA77" s="55"/>
      <c r="GB77" s="55"/>
      <c r="GC77" s="55"/>
      <c r="GD77" s="55"/>
      <c r="GE77" s="55"/>
      <c r="GF77" s="55"/>
      <c r="GG77" s="55"/>
      <c r="GH77" s="55"/>
      <c r="GI77" s="55"/>
      <c r="GJ77" s="55"/>
      <c r="GK77" s="55"/>
      <c r="GL77" s="55"/>
      <c r="GM77" s="55"/>
      <c r="GN77" s="55"/>
      <c r="GO77" s="55"/>
      <c r="GP77" s="55"/>
      <c r="GQ77" s="55"/>
      <c r="GR77" s="55"/>
      <c r="GS77" s="55"/>
      <c r="GT77" s="55"/>
      <c r="GU77" s="55"/>
      <c r="GV77" s="55"/>
      <c r="GW77" s="55"/>
      <c r="GX77" s="55"/>
      <c r="GY77" s="55"/>
      <c r="GZ77" s="55"/>
      <c r="HA77" s="55"/>
      <c r="HB77" s="55"/>
      <c r="HC77" s="55"/>
      <c r="HD77" s="55"/>
      <c r="HE77" s="55"/>
      <c r="HF77" s="55"/>
      <c r="HG77" s="55"/>
      <c r="HH77" s="55"/>
      <c r="HI77" s="55"/>
    </row>
    <row r="78" spans="3:217">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c r="FL78" s="55"/>
      <c r="FM78" s="55"/>
      <c r="FN78" s="55"/>
      <c r="FO78" s="55"/>
      <c r="FP78" s="55"/>
      <c r="FQ78" s="55"/>
      <c r="FR78" s="55"/>
      <c r="FS78" s="55"/>
      <c r="FT78" s="55"/>
      <c r="FU78" s="55"/>
      <c r="FV78" s="55"/>
      <c r="FW78" s="55"/>
      <c r="FX78" s="55"/>
      <c r="FY78" s="55"/>
      <c r="FZ78" s="55"/>
      <c r="GA78" s="55"/>
      <c r="GB78" s="55"/>
      <c r="GC78" s="55"/>
      <c r="GD78" s="55"/>
      <c r="GE78" s="55"/>
      <c r="GF78" s="55"/>
      <c r="GG78" s="55"/>
      <c r="GH78" s="55"/>
      <c r="GI78" s="55"/>
      <c r="GJ78" s="55"/>
      <c r="GK78" s="55"/>
      <c r="GL78" s="55"/>
      <c r="GM78" s="55"/>
      <c r="GN78" s="55"/>
      <c r="GO78" s="55"/>
      <c r="GP78" s="55"/>
      <c r="GQ78" s="55"/>
      <c r="GR78" s="55"/>
      <c r="GS78" s="55"/>
      <c r="GT78" s="55"/>
      <c r="GU78" s="55"/>
      <c r="GV78" s="55"/>
      <c r="GW78" s="55"/>
      <c r="GX78" s="55"/>
      <c r="GY78" s="55"/>
      <c r="GZ78" s="55"/>
      <c r="HA78" s="55"/>
      <c r="HB78" s="55"/>
      <c r="HC78" s="55"/>
      <c r="HD78" s="55"/>
      <c r="HE78" s="55"/>
      <c r="HF78" s="55"/>
      <c r="HG78" s="55"/>
      <c r="HH78" s="55"/>
      <c r="HI78" s="55"/>
    </row>
    <row r="79" spans="3:217">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c r="FL79" s="55"/>
      <c r="FM79" s="55"/>
      <c r="FN79" s="55"/>
      <c r="FO79" s="55"/>
      <c r="FP79" s="55"/>
      <c r="FQ79" s="55"/>
      <c r="FR79" s="55"/>
      <c r="FS79" s="55"/>
      <c r="FT79" s="55"/>
      <c r="FU79" s="55"/>
      <c r="FV79" s="55"/>
      <c r="FW79" s="55"/>
      <c r="FX79" s="55"/>
      <c r="FY79" s="55"/>
      <c r="FZ79" s="55"/>
      <c r="GA79" s="55"/>
      <c r="GB79" s="55"/>
      <c r="GC79" s="55"/>
      <c r="GD79" s="55"/>
      <c r="GE79" s="55"/>
      <c r="GF79" s="55"/>
      <c r="GG79" s="55"/>
      <c r="GH79" s="55"/>
      <c r="GI79" s="55"/>
      <c r="GJ79" s="55"/>
      <c r="GK79" s="55"/>
      <c r="GL79" s="55"/>
      <c r="GM79" s="55"/>
      <c r="GN79" s="55"/>
      <c r="GO79" s="55"/>
      <c r="GP79" s="55"/>
      <c r="GQ79" s="55"/>
      <c r="GR79" s="55"/>
      <c r="GS79" s="55"/>
      <c r="GT79" s="55"/>
      <c r="GU79" s="55"/>
      <c r="GV79" s="55"/>
      <c r="GW79" s="55"/>
      <c r="GX79" s="55"/>
      <c r="GY79" s="55"/>
      <c r="GZ79" s="55"/>
      <c r="HA79" s="55"/>
      <c r="HB79" s="55"/>
      <c r="HC79" s="55"/>
      <c r="HD79" s="55"/>
      <c r="HE79" s="55"/>
      <c r="HF79" s="55"/>
      <c r="HG79" s="55"/>
      <c r="HH79" s="55"/>
      <c r="HI79" s="55"/>
    </row>
    <row r="80" spans="3:217">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c r="FL80" s="55"/>
      <c r="FM80" s="55"/>
      <c r="FN80" s="55"/>
      <c r="FO80" s="55"/>
      <c r="FP80" s="55"/>
      <c r="FQ80" s="55"/>
      <c r="FR80" s="55"/>
      <c r="FS80" s="55"/>
      <c r="FT80" s="55"/>
      <c r="FU80" s="55"/>
      <c r="FV80" s="55"/>
      <c r="FW80" s="55"/>
      <c r="FX80" s="55"/>
      <c r="FY80" s="55"/>
      <c r="FZ80" s="55"/>
      <c r="GA80" s="55"/>
      <c r="GB80" s="55"/>
      <c r="GC80" s="55"/>
      <c r="GD80" s="55"/>
      <c r="GE80" s="55"/>
      <c r="GF80" s="55"/>
      <c r="GG80" s="55"/>
      <c r="GH80" s="55"/>
      <c r="GI80" s="55"/>
      <c r="GJ80" s="55"/>
      <c r="GK80" s="55"/>
      <c r="GL80" s="55"/>
      <c r="GM80" s="55"/>
      <c r="GN80" s="55"/>
      <c r="GO80" s="55"/>
      <c r="GP80" s="55"/>
      <c r="GQ80" s="55"/>
      <c r="GR80" s="55"/>
      <c r="GS80" s="55"/>
      <c r="GT80" s="55"/>
      <c r="GU80" s="55"/>
      <c r="GV80" s="55"/>
      <c r="GW80" s="55"/>
      <c r="GX80" s="55"/>
      <c r="GY80" s="55"/>
      <c r="GZ80" s="55"/>
      <c r="HA80" s="55"/>
      <c r="HB80" s="55"/>
      <c r="HC80" s="55"/>
      <c r="HD80" s="55"/>
      <c r="HE80" s="55"/>
      <c r="HF80" s="55"/>
      <c r="HG80" s="55"/>
      <c r="HH80" s="55"/>
      <c r="HI80" s="55"/>
    </row>
    <row r="81" spans="3:217">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c r="FV81" s="55"/>
      <c r="FW81" s="55"/>
      <c r="FX81" s="55"/>
      <c r="FY81" s="55"/>
      <c r="FZ81" s="55"/>
      <c r="GA81" s="55"/>
      <c r="GB81" s="55"/>
      <c r="GC81" s="55"/>
      <c r="GD81" s="55"/>
      <c r="GE81" s="55"/>
      <c r="GF81" s="55"/>
      <c r="GG81" s="55"/>
      <c r="GH81" s="55"/>
      <c r="GI81" s="55"/>
      <c r="GJ81" s="55"/>
      <c r="GK81" s="55"/>
      <c r="GL81" s="55"/>
      <c r="GM81" s="55"/>
      <c r="GN81" s="55"/>
      <c r="GO81" s="55"/>
      <c r="GP81" s="55"/>
      <c r="GQ81" s="55"/>
      <c r="GR81" s="55"/>
      <c r="GS81" s="55"/>
      <c r="GT81" s="55"/>
      <c r="GU81" s="55"/>
      <c r="GV81" s="55"/>
      <c r="GW81" s="55"/>
      <c r="GX81" s="55"/>
      <c r="GY81" s="55"/>
      <c r="GZ81" s="55"/>
      <c r="HA81" s="55"/>
      <c r="HB81" s="55"/>
      <c r="HC81" s="55"/>
      <c r="HD81" s="55"/>
      <c r="HE81" s="55"/>
      <c r="HF81" s="55"/>
      <c r="HG81" s="55"/>
      <c r="HH81" s="55"/>
      <c r="HI81" s="55"/>
    </row>
    <row r="82" spans="3:217">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c r="FL82" s="55"/>
      <c r="FM82" s="55"/>
      <c r="FN82" s="55"/>
      <c r="FO82" s="55"/>
      <c r="FP82" s="55"/>
      <c r="FQ82" s="55"/>
      <c r="FR82" s="55"/>
      <c r="FS82" s="55"/>
      <c r="FT82" s="55"/>
      <c r="FU82" s="55"/>
      <c r="FV82" s="55"/>
      <c r="FW82" s="55"/>
      <c r="FX82" s="55"/>
      <c r="FY82" s="55"/>
      <c r="FZ82" s="55"/>
      <c r="GA82" s="55"/>
      <c r="GB82" s="55"/>
      <c r="GC82" s="55"/>
      <c r="GD82" s="55"/>
      <c r="GE82" s="55"/>
      <c r="GF82" s="55"/>
      <c r="GG82" s="55"/>
      <c r="GH82" s="55"/>
      <c r="GI82" s="55"/>
      <c r="GJ82" s="55"/>
      <c r="GK82" s="55"/>
      <c r="GL82" s="55"/>
      <c r="GM82" s="55"/>
      <c r="GN82" s="55"/>
      <c r="GO82" s="55"/>
      <c r="GP82" s="55"/>
      <c r="GQ82" s="55"/>
      <c r="GR82" s="55"/>
      <c r="GS82" s="55"/>
      <c r="GT82" s="55"/>
      <c r="GU82" s="55"/>
      <c r="GV82" s="55"/>
      <c r="GW82" s="55"/>
      <c r="GX82" s="55"/>
      <c r="GY82" s="55"/>
      <c r="GZ82" s="55"/>
      <c r="HA82" s="55"/>
      <c r="HB82" s="55"/>
      <c r="HC82" s="55"/>
      <c r="HD82" s="55"/>
      <c r="HE82" s="55"/>
      <c r="HF82" s="55"/>
      <c r="HG82" s="55"/>
      <c r="HH82" s="55"/>
      <c r="HI82" s="55"/>
    </row>
    <row r="83" spans="3:217">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c r="FL83" s="55"/>
      <c r="FM83" s="55"/>
      <c r="FN83" s="55"/>
      <c r="FO83" s="55"/>
      <c r="FP83" s="55"/>
      <c r="FQ83" s="55"/>
      <c r="FR83" s="55"/>
      <c r="FS83" s="55"/>
      <c r="FT83" s="55"/>
      <c r="FU83" s="55"/>
      <c r="FV83" s="55"/>
      <c r="FW83" s="55"/>
      <c r="FX83" s="55"/>
      <c r="FY83" s="55"/>
      <c r="FZ83" s="55"/>
      <c r="GA83" s="55"/>
      <c r="GB83" s="55"/>
      <c r="GC83" s="55"/>
      <c r="GD83" s="55"/>
      <c r="GE83" s="55"/>
      <c r="GF83" s="55"/>
      <c r="GG83" s="55"/>
      <c r="GH83" s="55"/>
      <c r="GI83" s="55"/>
      <c r="GJ83" s="55"/>
      <c r="GK83" s="55"/>
      <c r="GL83" s="55"/>
      <c r="GM83" s="55"/>
      <c r="GN83" s="55"/>
      <c r="GO83" s="55"/>
      <c r="GP83" s="55"/>
      <c r="GQ83" s="55"/>
      <c r="GR83" s="55"/>
      <c r="GS83" s="55"/>
      <c r="GT83" s="55"/>
      <c r="GU83" s="55"/>
      <c r="GV83" s="55"/>
      <c r="GW83" s="55"/>
      <c r="GX83" s="55"/>
      <c r="GY83" s="55"/>
      <c r="GZ83" s="55"/>
      <c r="HA83" s="55"/>
      <c r="HB83" s="55"/>
      <c r="HC83" s="55"/>
      <c r="HD83" s="55"/>
      <c r="HE83" s="55"/>
      <c r="HF83" s="55"/>
      <c r="HG83" s="55"/>
      <c r="HH83" s="55"/>
      <c r="HI83" s="55"/>
    </row>
    <row r="84" spans="3:217">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c r="FL84" s="55"/>
      <c r="FM84" s="55"/>
      <c r="FN84" s="55"/>
      <c r="FO84" s="55"/>
      <c r="FP84" s="55"/>
      <c r="FQ84" s="55"/>
      <c r="FR84" s="55"/>
      <c r="FS84" s="55"/>
      <c r="FT84" s="55"/>
      <c r="FU84" s="55"/>
      <c r="FV84" s="55"/>
      <c r="FW84" s="55"/>
      <c r="FX84" s="55"/>
      <c r="FY84" s="55"/>
      <c r="FZ84" s="55"/>
      <c r="GA84" s="55"/>
      <c r="GB84" s="55"/>
      <c r="GC84" s="55"/>
      <c r="GD84" s="55"/>
      <c r="GE84" s="55"/>
      <c r="GF84" s="55"/>
      <c r="GG84" s="55"/>
      <c r="GH84" s="55"/>
      <c r="GI84" s="55"/>
      <c r="GJ84" s="55"/>
      <c r="GK84" s="55"/>
      <c r="GL84" s="55"/>
      <c r="GM84" s="55"/>
      <c r="GN84" s="55"/>
      <c r="GO84" s="55"/>
      <c r="GP84" s="55"/>
      <c r="GQ84" s="55"/>
      <c r="GR84" s="55"/>
      <c r="GS84" s="55"/>
      <c r="GT84" s="55"/>
      <c r="GU84" s="55"/>
      <c r="GV84" s="55"/>
      <c r="GW84" s="55"/>
      <c r="GX84" s="55"/>
      <c r="GY84" s="55"/>
      <c r="GZ84" s="55"/>
      <c r="HA84" s="55"/>
      <c r="HB84" s="55"/>
      <c r="HC84" s="55"/>
      <c r="HD84" s="55"/>
      <c r="HE84" s="55"/>
      <c r="HF84" s="55"/>
      <c r="HG84" s="55"/>
      <c r="HH84" s="55"/>
      <c r="HI84" s="55"/>
    </row>
    <row r="85" spans="3:217">
      <c r="C85" s="55"/>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c r="FL85" s="55"/>
      <c r="FM85" s="55"/>
      <c r="FN85" s="55"/>
      <c r="FO85" s="55"/>
      <c r="FP85" s="55"/>
      <c r="FQ85" s="55"/>
      <c r="FR85" s="55"/>
      <c r="FS85" s="55"/>
      <c r="FT85" s="55"/>
      <c r="FU85" s="55"/>
      <c r="FV85" s="55"/>
      <c r="FW85" s="55"/>
      <c r="FX85" s="55"/>
      <c r="FY85" s="55"/>
      <c r="FZ85" s="55"/>
      <c r="GA85" s="55"/>
      <c r="GB85" s="55"/>
      <c r="GC85" s="55"/>
      <c r="GD85" s="55"/>
      <c r="GE85" s="55"/>
      <c r="GF85" s="55"/>
      <c r="GG85" s="55"/>
      <c r="GH85" s="55"/>
      <c r="GI85" s="55"/>
      <c r="GJ85" s="55"/>
      <c r="GK85" s="55"/>
      <c r="GL85" s="55"/>
      <c r="GM85" s="55"/>
      <c r="GN85" s="55"/>
      <c r="GO85" s="55"/>
      <c r="GP85" s="55"/>
      <c r="GQ85" s="55"/>
      <c r="GR85" s="55"/>
      <c r="GS85" s="55"/>
      <c r="GT85" s="55"/>
      <c r="GU85" s="55"/>
      <c r="GV85" s="55"/>
      <c r="GW85" s="55"/>
      <c r="GX85" s="55"/>
      <c r="GY85" s="55"/>
      <c r="GZ85" s="55"/>
      <c r="HA85" s="55"/>
      <c r="HB85" s="55"/>
      <c r="HC85" s="55"/>
      <c r="HD85" s="55"/>
      <c r="HE85" s="55"/>
      <c r="HF85" s="55"/>
      <c r="HG85" s="55"/>
      <c r="HH85" s="55"/>
      <c r="HI85" s="55"/>
    </row>
    <row r="86" spans="3:217">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c r="FL86" s="55"/>
      <c r="FM86" s="55"/>
      <c r="FN86" s="55"/>
      <c r="FO86" s="55"/>
      <c r="FP86" s="55"/>
      <c r="FQ86" s="55"/>
      <c r="FR86" s="55"/>
      <c r="FS86" s="55"/>
      <c r="FT86" s="55"/>
      <c r="FU86" s="55"/>
      <c r="FV86" s="55"/>
      <c r="FW86" s="55"/>
      <c r="FX86" s="55"/>
      <c r="FY86" s="55"/>
      <c r="FZ86" s="55"/>
      <c r="GA86" s="55"/>
      <c r="GB86" s="55"/>
      <c r="GC86" s="55"/>
      <c r="GD86" s="55"/>
      <c r="GE86" s="55"/>
      <c r="GF86" s="55"/>
      <c r="GG86" s="55"/>
      <c r="GH86" s="55"/>
      <c r="GI86" s="55"/>
      <c r="GJ86" s="55"/>
      <c r="GK86" s="55"/>
      <c r="GL86" s="55"/>
      <c r="GM86" s="55"/>
      <c r="GN86" s="55"/>
      <c r="GO86" s="55"/>
      <c r="GP86" s="55"/>
      <c r="GQ86" s="55"/>
      <c r="GR86" s="55"/>
      <c r="GS86" s="55"/>
      <c r="GT86" s="55"/>
      <c r="GU86" s="55"/>
      <c r="GV86" s="55"/>
      <c r="GW86" s="55"/>
      <c r="GX86" s="55"/>
      <c r="GY86" s="55"/>
      <c r="GZ86" s="55"/>
      <c r="HA86" s="55"/>
      <c r="HB86" s="55"/>
      <c r="HC86" s="55"/>
      <c r="HD86" s="55"/>
      <c r="HE86" s="55"/>
      <c r="HF86" s="55"/>
      <c r="HG86" s="55"/>
      <c r="HH86" s="55"/>
      <c r="HI86" s="55"/>
    </row>
    <row r="87" spans="3:217">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5"/>
      <c r="FQ87" s="55"/>
      <c r="FR87" s="55"/>
      <c r="FS87" s="55"/>
      <c r="FT87" s="55"/>
      <c r="FU87" s="55"/>
      <c r="FV87" s="55"/>
      <c r="FW87" s="55"/>
      <c r="FX87" s="55"/>
      <c r="FY87" s="55"/>
      <c r="FZ87" s="55"/>
      <c r="GA87" s="55"/>
      <c r="GB87" s="55"/>
      <c r="GC87" s="55"/>
      <c r="GD87" s="55"/>
      <c r="GE87" s="55"/>
      <c r="GF87" s="55"/>
      <c r="GG87" s="55"/>
      <c r="GH87" s="55"/>
      <c r="GI87" s="55"/>
      <c r="GJ87" s="55"/>
      <c r="GK87" s="55"/>
      <c r="GL87" s="55"/>
      <c r="GM87" s="55"/>
      <c r="GN87" s="55"/>
      <c r="GO87" s="55"/>
      <c r="GP87" s="55"/>
      <c r="GQ87" s="55"/>
      <c r="GR87" s="55"/>
      <c r="GS87" s="55"/>
      <c r="GT87" s="55"/>
      <c r="GU87" s="55"/>
      <c r="GV87" s="55"/>
      <c r="GW87" s="55"/>
      <c r="GX87" s="55"/>
      <c r="GY87" s="55"/>
      <c r="GZ87" s="55"/>
      <c r="HA87" s="55"/>
      <c r="HB87" s="55"/>
      <c r="HC87" s="55"/>
      <c r="HD87" s="55"/>
      <c r="HE87" s="55"/>
      <c r="HF87" s="55"/>
      <c r="HG87" s="55"/>
      <c r="HH87" s="55"/>
      <c r="HI87" s="55"/>
    </row>
    <row r="88" spans="3:217">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c r="FL88" s="55"/>
      <c r="FM88" s="55"/>
      <c r="FN88" s="55"/>
      <c r="FO88" s="55"/>
      <c r="FP88" s="55"/>
      <c r="FQ88" s="55"/>
      <c r="FR88" s="55"/>
      <c r="FS88" s="55"/>
      <c r="FT88" s="55"/>
      <c r="FU88" s="55"/>
      <c r="FV88" s="55"/>
      <c r="FW88" s="55"/>
      <c r="FX88" s="55"/>
      <c r="FY88" s="55"/>
      <c r="FZ88" s="55"/>
      <c r="GA88" s="55"/>
      <c r="GB88" s="55"/>
      <c r="GC88" s="55"/>
      <c r="GD88" s="55"/>
      <c r="GE88" s="55"/>
      <c r="GF88" s="55"/>
      <c r="GG88" s="55"/>
      <c r="GH88" s="55"/>
      <c r="GI88" s="55"/>
      <c r="GJ88" s="55"/>
      <c r="GK88" s="55"/>
      <c r="GL88" s="55"/>
      <c r="GM88" s="55"/>
      <c r="GN88" s="55"/>
      <c r="GO88" s="55"/>
      <c r="GP88" s="55"/>
      <c r="GQ88" s="55"/>
      <c r="GR88" s="55"/>
      <c r="GS88" s="55"/>
      <c r="GT88" s="55"/>
      <c r="GU88" s="55"/>
      <c r="GV88" s="55"/>
      <c r="GW88" s="55"/>
      <c r="GX88" s="55"/>
      <c r="GY88" s="55"/>
      <c r="GZ88" s="55"/>
      <c r="HA88" s="55"/>
      <c r="HB88" s="55"/>
      <c r="HC88" s="55"/>
      <c r="HD88" s="55"/>
      <c r="HE88" s="55"/>
      <c r="HF88" s="55"/>
      <c r="HG88" s="55"/>
      <c r="HH88" s="55"/>
      <c r="HI88" s="55"/>
    </row>
    <row r="89" spans="3:217">
      <c r="C89" s="55"/>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c r="FL89" s="55"/>
      <c r="FM89" s="55"/>
      <c r="FN89" s="55"/>
      <c r="FO89" s="55"/>
      <c r="FP89" s="55"/>
      <c r="FQ89" s="55"/>
      <c r="FR89" s="55"/>
      <c r="FS89" s="55"/>
      <c r="FT89" s="55"/>
      <c r="FU89" s="55"/>
      <c r="FV89" s="55"/>
      <c r="FW89" s="55"/>
      <c r="FX89" s="55"/>
      <c r="FY89" s="55"/>
      <c r="FZ89" s="55"/>
      <c r="GA89" s="55"/>
      <c r="GB89" s="55"/>
      <c r="GC89" s="55"/>
      <c r="GD89" s="55"/>
      <c r="GE89" s="55"/>
      <c r="GF89" s="55"/>
      <c r="GG89" s="55"/>
      <c r="GH89" s="55"/>
      <c r="GI89" s="55"/>
      <c r="GJ89" s="55"/>
      <c r="GK89" s="55"/>
      <c r="GL89" s="55"/>
      <c r="GM89" s="55"/>
      <c r="GN89" s="55"/>
      <c r="GO89" s="55"/>
      <c r="GP89" s="55"/>
      <c r="GQ89" s="55"/>
      <c r="GR89" s="55"/>
      <c r="GS89" s="55"/>
      <c r="GT89" s="55"/>
      <c r="GU89" s="55"/>
      <c r="GV89" s="55"/>
      <c r="GW89" s="55"/>
      <c r="GX89" s="55"/>
      <c r="GY89" s="55"/>
      <c r="GZ89" s="55"/>
      <c r="HA89" s="55"/>
      <c r="HB89" s="55"/>
      <c r="HC89" s="55"/>
      <c r="HD89" s="55"/>
      <c r="HE89" s="55"/>
      <c r="HF89" s="55"/>
      <c r="HG89" s="55"/>
      <c r="HH89" s="55"/>
      <c r="HI89" s="55"/>
    </row>
    <row r="90" spans="3:217">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c r="FL90" s="55"/>
      <c r="FM90" s="55"/>
      <c r="FN90" s="55"/>
      <c r="FO90" s="55"/>
      <c r="FP90" s="55"/>
      <c r="FQ90" s="55"/>
      <c r="FR90" s="55"/>
      <c r="FS90" s="55"/>
      <c r="FT90" s="55"/>
      <c r="FU90" s="55"/>
      <c r="FV90" s="55"/>
      <c r="FW90" s="55"/>
      <c r="FX90" s="55"/>
      <c r="FY90" s="55"/>
      <c r="FZ90" s="55"/>
      <c r="GA90" s="55"/>
      <c r="GB90" s="55"/>
      <c r="GC90" s="55"/>
      <c r="GD90" s="55"/>
      <c r="GE90" s="55"/>
      <c r="GF90" s="55"/>
      <c r="GG90" s="55"/>
      <c r="GH90" s="55"/>
      <c r="GI90" s="55"/>
      <c r="GJ90" s="55"/>
      <c r="GK90" s="55"/>
      <c r="GL90" s="55"/>
      <c r="GM90" s="55"/>
      <c r="GN90" s="55"/>
      <c r="GO90" s="55"/>
      <c r="GP90" s="55"/>
      <c r="GQ90" s="55"/>
      <c r="GR90" s="55"/>
      <c r="GS90" s="55"/>
      <c r="GT90" s="55"/>
      <c r="GU90" s="55"/>
      <c r="GV90" s="55"/>
      <c r="GW90" s="55"/>
      <c r="GX90" s="55"/>
      <c r="GY90" s="55"/>
      <c r="GZ90" s="55"/>
      <c r="HA90" s="55"/>
      <c r="HB90" s="55"/>
      <c r="HC90" s="55"/>
      <c r="HD90" s="55"/>
      <c r="HE90" s="55"/>
      <c r="HF90" s="55"/>
      <c r="HG90" s="55"/>
      <c r="HH90" s="55"/>
      <c r="HI90" s="55"/>
    </row>
    <row r="91" spans="3:217">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c r="FL91" s="55"/>
      <c r="FM91" s="55"/>
      <c r="FN91" s="55"/>
      <c r="FO91" s="55"/>
      <c r="FP91" s="55"/>
      <c r="FQ91" s="55"/>
      <c r="FR91" s="55"/>
      <c r="FS91" s="55"/>
      <c r="FT91" s="55"/>
      <c r="FU91" s="55"/>
      <c r="FV91" s="55"/>
      <c r="FW91" s="55"/>
      <c r="FX91" s="55"/>
      <c r="FY91" s="55"/>
      <c r="FZ91" s="55"/>
      <c r="GA91" s="55"/>
      <c r="GB91" s="55"/>
      <c r="GC91" s="55"/>
      <c r="GD91" s="55"/>
      <c r="GE91" s="55"/>
      <c r="GF91" s="55"/>
      <c r="GG91" s="55"/>
      <c r="GH91" s="55"/>
      <c r="GI91" s="55"/>
      <c r="GJ91" s="55"/>
      <c r="GK91" s="55"/>
      <c r="GL91" s="55"/>
      <c r="GM91" s="55"/>
      <c r="GN91" s="55"/>
      <c r="GO91" s="55"/>
      <c r="GP91" s="55"/>
      <c r="GQ91" s="55"/>
      <c r="GR91" s="55"/>
      <c r="GS91" s="55"/>
      <c r="GT91" s="55"/>
      <c r="GU91" s="55"/>
      <c r="GV91" s="55"/>
      <c r="GW91" s="55"/>
      <c r="GX91" s="55"/>
      <c r="GY91" s="55"/>
      <c r="GZ91" s="55"/>
      <c r="HA91" s="55"/>
      <c r="HB91" s="55"/>
      <c r="HC91" s="55"/>
      <c r="HD91" s="55"/>
      <c r="HE91" s="55"/>
      <c r="HF91" s="55"/>
      <c r="HG91" s="55"/>
      <c r="HH91" s="55"/>
      <c r="HI91" s="55"/>
    </row>
    <row r="92" spans="3:217">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c r="FL92" s="55"/>
      <c r="FM92" s="55"/>
      <c r="FN92" s="55"/>
      <c r="FO92" s="55"/>
      <c r="FP92" s="55"/>
      <c r="FQ92" s="55"/>
      <c r="FR92" s="55"/>
      <c r="FS92" s="55"/>
      <c r="FT92" s="55"/>
      <c r="FU92" s="55"/>
      <c r="FV92" s="55"/>
      <c r="FW92" s="55"/>
      <c r="FX92" s="55"/>
      <c r="FY92" s="55"/>
      <c r="FZ92" s="55"/>
      <c r="GA92" s="55"/>
      <c r="GB92" s="55"/>
      <c r="GC92" s="55"/>
      <c r="GD92" s="55"/>
      <c r="GE92" s="55"/>
      <c r="GF92" s="55"/>
      <c r="GG92" s="55"/>
      <c r="GH92" s="55"/>
      <c r="GI92" s="55"/>
      <c r="GJ92" s="55"/>
      <c r="GK92" s="55"/>
      <c r="GL92" s="55"/>
      <c r="GM92" s="55"/>
      <c r="GN92" s="55"/>
      <c r="GO92" s="55"/>
      <c r="GP92" s="55"/>
      <c r="GQ92" s="55"/>
      <c r="GR92" s="55"/>
      <c r="GS92" s="55"/>
      <c r="GT92" s="55"/>
      <c r="GU92" s="55"/>
      <c r="GV92" s="55"/>
      <c r="GW92" s="55"/>
      <c r="GX92" s="55"/>
      <c r="GY92" s="55"/>
      <c r="GZ92" s="55"/>
      <c r="HA92" s="55"/>
      <c r="HB92" s="55"/>
      <c r="HC92" s="55"/>
      <c r="HD92" s="55"/>
      <c r="HE92" s="55"/>
      <c r="HF92" s="55"/>
      <c r="HG92" s="55"/>
      <c r="HH92" s="55"/>
      <c r="HI92"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14.xml><?xml version="1.0" encoding="utf-8"?>
<worksheet xmlns="http://schemas.openxmlformats.org/spreadsheetml/2006/main" xmlns:r="http://schemas.openxmlformats.org/officeDocument/2006/relationships">
  <dimension ref="A1:FK107"/>
  <sheetViews>
    <sheetView zoomScale="75" workbookViewId="0">
      <selection activeCell="B73" sqref="B73"/>
    </sheetView>
  </sheetViews>
  <sheetFormatPr defaultColWidth="11.42578125" defaultRowHeight="12.75"/>
  <cols>
    <col min="1" max="1" width="10.7109375" customWidth="1"/>
    <col min="2" max="2" width="13.5703125" customWidth="1"/>
    <col min="3" max="3" width="42.7109375" customWidth="1"/>
    <col min="4" max="4" width="11.85546875" customWidth="1"/>
    <col min="5" max="6" width="9.7109375" bestFit="1" customWidth="1"/>
    <col min="7" max="23" width="11.42578125" customWidth="1"/>
    <col min="24" max="24" width="13.7109375" customWidth="1"/>
  </cols>
  <sheetData>
    <row r="1" spans="1:29" ht="18">
      <c r="A1" s="10" t="s">
        <v>503</v>
      </c>
      <c r="D1" t="s">
        <v>250</v>
      </c>
    </row>
    <row r="2" spans="1:29" ht="18">
      <c r="A2" s="10"/>
      <c r="D2" s="245"/>
    </row>
    <row r="3" spans="1:29" ht="18">
      <c r="B3" s="16"/>
      <c r="C3" s="17"/>
      <c r="D3" s="245"/>
      <c r="O3" s="18">
        <v>1</v>
      </c>
      <c r="P3" t="s">
        <v>666</v>
      </c>
      <c r="Y3" s="10"/>
      <c r="AB3" s="463">
        <v>0</v>
      </c>
      <c r="AC3" s="463">
        <v>1</v>
      </c>
    </row>
    <row r="4" spans="1:29" ht="18">
      <c r="B4" s="131" t="s">
        <v>594</v>
      </c>
      <c r="C4" s="98"/>
      <c r="D4" s="252" t="str">
        <f>"~FI_T: "&amp;Region</f>
        <v>~FI_T: FIN</v>
      </c>
      <c r="E4" s="4" t="s">
        <v>250</v>
      </c>
      <c r="R4" s="4"/>
      <c r="S4" s="4"/>
    </row>
    <row r="5" spans="1:29" ht="52.5" customHeight="1" thickBot="1">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"RESID~"&amp;CEILING(AuxYear+12,5)</f>
        <v>RESID~2030</v>
      </c>
      <c r="S5" s="52" t="str">
        <f ca="1">"RESID~"&amp;CEILING(AuxYear+29,5)</f>
        <v>RESID~2050</v>
      </c>
      <c r="T5" s="52" t="s">
        <v>537</v>
      </c>
      <c r="U5" s="52" t="s">
        <v>471</v>
      </c>
      <c r="V5" s="52" t="s">
        <v>778</v>
      </c>
      <c r="W5" s="257" t="s">
        <v>381</v>
      </c>
      <c r="Y5" s="427" t="s">
        <v>993</v>
      </c>
      <c r="Z5" s="427" t="s">
        <v>995</v>
      </c>
      <c r="AA5" s="427" t="s">
        <v>996</v>
      </c>
      <c r="AB5" s="427" t="s">
        <v>997</v>
      </c>
      <c r="AC5" s="427" t="s">
        <v>998</v>
      </c>
    </row>
    <row r="6" spans="1:29" ht="15.75" customHeight="1">
      <c r="B6" s="434" t="s">
        <v>999</v>
      </c>
      <c r="C6" s="190"/>
      <c r="D6" s="190"/>
      <c r="E6" s="191"/>
      <c r="F6" s="191"/>
      <c r="G6" s="191"/>
      <c r="H6" s="191"/>
      <c r="I6" s="190"/>
      <c r="J6" s="193"/>
      <c r="K6" s="191"/>
      <c r="L6" s="190"/>
      <c r="M6" s="190"/>
      <c r="N6" s="191"/>
      <c r="O6" s="191"/>
      <c r="P6" s="190"/>
      <c r="Q6" s="190"/>
      <c r="R6" s="192"/>
      <c r="S6" s="190"/>
      <c r="T6" s="190"/>
      <c r="U6" s="190"/>
      <c r="V6" s="190"/>
      <c r="W6" s="257"/>
      <c r="Y6" s="190"/>
      <c r="Z6" s="190"/>
      <c r="AA6" s="190"/>
      <c r="AB6" s="190"/>
      <c r="AC6" s="190"/>
    </row>
    <row r="7" spans="1:29" ht="14.25" customHeight="1">
      <c r="B7" s="273" t="s">
        <v>505</v>
      </c>
      <c r="C7" s="424" t="s">
        <v>63</v>
      </c>
      <c r="D7" s="82" t="str">
        <f ca="1">IEAData!H12</f>
        <v>RESKER</v>
      </c>
      <c r="E7" s="64">
        <f ca="1">IEAData!$L$84*IEAData!H69</f>
        <v>0</v>
      </c>
      <c r="F7" s="64">
        <f ca="1">AuxData!$L$84*AuxData!H69</f>
        <v>0</v>
      </c>
      <c r="G7" s="40">
        <v>0.7</v>
      </c>
      <c r="H7" s="343" t="str">
        <f>RIGHT(D7,3)</f>
        <v>KER</v>
      </c>
      <c r="I7" s="81">
        <v>1</v>
      </c>
      <c r="J7" s="6">
        <f>G7*I7</f>
        <v>0.7</v>
      </c>
      <c r="K7" s="38">
        <f ca="1">F7*J7</f>
        <v>0</v>
      </c>
      <c r="L7" s="19">
        <v>1</v>
      </c>
      <c r="M7" s="18">
        <v>1</v>
      </c>
      <c r="N7" s="18">
        <v>15</v>
      </c>
      <c r="O7" s="466">
        <f ca="1">E7*J7/$M7</f>
        <v>0</v>
      </c>
      <c r="P7" s="104">
        <f ca="1">F7*J7/$M7</f>
        <v>0</v>
      </c>
      <c r="Q7" s="40">
        <f ca="1">$P7*Z7</f>
        <v>0</v>
      </c>
      <c r="R7" s="40">
        <f ca="1">$P7*AA7</f>
        <v>0</v>
      </c>
      <c r="S7" s="40"/>
      <c r="T7" s="40"/>
      <c r="U7" s="40"/>
      <c r="V7" s="40"/>
      <c r="W7" s="258">
        <f ca="1">IF($E$12=0,0,E7/$E$12)</f>
        <v>0</v>
      </c>
      <c r="Y7" s="436">
        <f ca="1">MATCH(LEFT(B7,3),OFFSET(CalibData!$C$78,1,0,100),0)</f>
        <v>21</v>
      </c>
      <c r="Z7" s="436">
        <v>0.3</v>
      </c>
      <c r="AA7" s="436">
        <v>0</v>
      </c>
      <c r="AB7" s="14"/>
      <c r="AC7" s="14"/>
    </row>
    <row r="8" spans="1:29" ht="14.25" customHeight="1">
      <c r="B8" s="265" t="s">
        <v>506</v>
      </c>
      <c r="C8" s="402" t="s">
        <v>64</v>
      </c>
      <c r="D8" s="82" t="s">
        <v>836</v>
      </c>
      <c r="E8" s="64">
        <f ca="1">AB8*IEAData!$L$88*IEAData!$H$73</f>
        <v>6.3697883474626771</v>
      </c>
      <c r="F8" s="64">
        <f ca="1">AC8*AuxData!$L$88*AuxData!$H$73</f>
        <v>2.463070412961279</v>
      </c>
      <c r="G8" s="53">
        <v>1</v>
      </c>
      <c r="H8" s="343" t="str">
        <f>RIGHT(D8,3)</f>
        <v>ELC</v>
      </c>
      <c r="I8" s="81">
        <v>1</v>
      </c>
      <c r="J8" s="6">
        <f>G8*I8</f>
        <v>1</v>
      </c>
      <c r="K8" s="38">
        <f ca="1">F8*J8</f>
        <v>2.463070412961279</v>
      </c>
      <c r="L8" s="19">
        <v>1</v>
      </c>
      <c r="M8" s="18">
        <v>1</v>
      </c>
      <c r="N8" s="18">
        <v>15</v>
      </c>
      <c r="O8" s="373">
        <f ca="1">E8*J8/$M8</f>
        <v>6.3697883474626771</v>
      </c>
      <c r="P8" s="104">
        <f ca="1">F8*J8/$M8</f>
        <v>2.463070412961279</v>
      </c>
      <c r="Q8" s="40">
        <f ca="1">P8*$Z8</f>
        <v>0</v>
      </c>
      <c r="R8" s="40">
        <f ca="1">$P8*AA8</f>
        <v>0</v>
      </c>
      <c r="S8" s="40"/>
      <c r="T8" s="40"/>
      <c r="U8" s="40"/>
      <c r="V8" s="18"/>
      <c r="W8" s="258">
        <f ca="1">IF($E$12=0,0,E8/$E$12)</f>
        <v>0.87999999999999989</v>
      </c>
      <c r="Y8" s="436">
        <f ca="1">MATCH(LEFT(B8,3),OFFSET(CalibData!$C$78,1,0,100),0)</f>
        <v>21</v>
      </c>
      <c r="Z8" s="436">
        <v>0</v>
      </c>
      <c r="AA8" s="436">
        <v>0</v>
      </c>
      <c r="AB8" s="437">
        <f t="array" aca="1" ref="AB8:AB10" ca="1">OFFSET(TechShar,$Y8,AB$3,3)</f>
        <v>0.88</v>
      </c>
      <c r="AC8" s="437">
        <f t="array" aca="1" ref="AC8:AC10" ca="1">OFFSET(TechShar,$Y8,AC$3,3)</f>
        <v>0.55000000000000004</v>
      </c>
    </row>
    <row r="9" spans="1:29" ht="14.25" customHeight="1">
      <c r="B9" s="265" t="s">
        <v>507</v>
      </c>
      <c r="C9" s="402" t="s">
        <v>65</v>
      </c>
      <c r="D9" s="82" t="s">
        <v>836</v>
      </c>
      <c r="E9" s="64">
        <f ca="1">AB9*IEAData!$L$88*IEAData!$H$73</f>
        <v>0.28953583397557625</v>
      </c>
      <c r="F9" s="64">
        <f ca="1">AC9*AuxData!$L$88*AuxData!$H$73</f>
        <v>0.53739718100973355</v>
      </c>
      <c r="G9" s="53">
        <v>2</v>
      </c>
      <c r="H9" s="343" t="str">
        <f>RIGHT(D9,3)</f>
        <v>ELC</v>
      </c>
      <c r="I9" s="81">
        <v>1</v>
      </c>
      <c r="J9" s="6">
        <f>G9*I9</f>
        <v>2</v>
      </c>
      <c r="K9" s="38">
        <f ca="1">F9*J9</f>
        <v>1.0747943620194671</v>
      </c>
      <c r="L9" s="19">
        <v>1</v>
      </c>
      <c r="M9" s="18">
        <v>1</v>
      </c>
      <c r="N9" s="18">
        <v>15</v>
      </c>
      <c r="O9" s="373">
        <f ca="1">E9*J9/$M9</f>
        <v>0.5790716679511525</v>
      </c>
      <c r="P9" s="104">
        <f ca="1">F9*J9/$M9</f>
        <v>1.0747943620194671</v>
      </c>
      <c r="Q9" s="40">
        <f ca="1">P9*$Z9</f>
        <v>0</v>
      </c>
      <c r="R9" s="40">
        <f ca="1">$P9*AA9</f>
        <v>0</v>
      </c>
      <c r="S9" s="40"/>
      <c r="T9" s="40"/>
      <c r="U9" s="40"/>
      <c r="V9" s="18"/>
      <c r="W9" s="258">
        <f ca="1">IF($E$12=0,0,E9/$E$12)</f>
        <v>0.04</v>
      </c>
      <c r="Y9" s="436">
        <f ca="1">MATCH(LEFT(B9,3),OFFSET(CalibData!$C$78,1,0,100),0)</f>
        <v>21</v>
      </c>
      <c r="Z9" s="436">
        <v>0</v>
      </c>
      <c r="AA9" s="436">
        <v>0</v>
      </c>
      <c r="AB9" s="438">
        <f ca="1"/>
        <v>0.04</v>
      </c>
      <c r="AC9" s="438">
        <f ca="1"/>
        <v>0.12</v>
      </c>
    </row>
    <row r="10" spans="1:29" ht="14.25" customHeight="1">
      <c r="B10" s="265" t="s">
        <v>508</v>
      </c>
      <c r="C10" s="402" t="s">
        <v>66</v>
      </c>
      <c r="D10" s="82" t="s">
        <v>836</v>
      </c>
      <c r="E10" s="64">
        <f ca="1">AB10*IEAData!$L$88*IEAData!$H$73</f>
        <v>0.50668770945725849</v>
      </c>
      <c r="F10" s="64">
        <f ca="1">AC10*AuxData!$L$88*AuxData!$H$73</f>
        <v>0.58218027942721129</v>
      </c>
      <c r="G10" s="53">
        <v>4.5999999999999996</v>
      </c>
      <c r="H10" s="343" t="str">
        <f>RIGHT(D10,3)</f>
        <v>ELC</v>
      </c>
      <c r="I10" s="81">
        <v>1</v>
      </c>
      <c r="J10" s="6">
        <f>G10*I10</f>
        <v>4.5999999999999996</v>
      </c>
      <c r="K10" s="38">
        <f ca="1">F10*J10</f>
        <v>2.6780292853651719</v>
      </c>
      <c r="L10" s="57">
        <v>1</v>
      </c>
      <c r="M10" s="81">
        <v>1</v>
      </c>
      <c r="N10" s="18">
        <v>15</v>
      </c>
      <c r="O10" s="373">
        <f ca="1">E10*J10/$M10</f>
        <v>2.3307634635033887</v>
      </c>
      <c r="P10" s="104">
        <f ca="1">F10*J10/$M10</f>
        <v>2.6780292853651719</v>
      </c>
      <c r="Q10" s="40">
        <f ca="1">P10*$Z10</f>
        <v>0.80340878560955153</v>
      </c>
      <c r="R10" s="53">
        <f ca="1">$P10*AA10</f>
        <v>0</v>
      </c>
      <c r="S10" s="53"/>
      <c r="T10" s="53"/>
      <c r="U10" s="53"/>
      <c r="V10" s="81"/>
      <c r="W10" s="258">
        <f ca="1">IF($E$12=0,0,E10/$E$12)</f>
        <v>7.0000000000000007E-2</v>
      </c>
      <c r="Y10" s="436">
        <f ca="1">MATCH(LEFT(B10,3),OFFSET(CalibData!$C$78,1,0,100),0)</f>
        <v>21</v>
      </c>
      <c r="Z10" s="436">
        <v>0.3</v>
      </c>
      <c r="AA10" s="436">
        <v>0</v>
      </c>
      <c r="AB10" s="438">
        <f ca="1"/>
        <v>7.0000000000000007E-2</v>
      </c>
      <c r="AC10" s="438">
        <f ca="1"/>
        <v>0.13</v>
      </c>
    </row>
    <row r="11" spans="1:29" ht="14.25" customHeight="1" thickBot="1">
      <c r="B11" s="266" t="s">
        <v>986</v>
      </c>
      <c r="C11" s="403" t="s">
        <v>987</v>
      </c>
      <c r="D11" s="96" t="s">
        <v>836</v>
      </c>
      <c r="E11" s="34">
        <f ca="1">AB11*IEAData!$L$88*IEAData!$H$73</f>
        <v>7.2383958493894118E-2</v>
      </c>
      <c r="F11" s="34">
        <f ca="1">AC11*AuxData!$L$88*AuxData!$H$73</f>
        <v>0.89566196834955569</v>
      </c>
      <c r="G11" s="54">
        <v>7</v>
      </c>
      <c r="H11" s="464" t="str">
        <f>RIGHT(D11,3)</f>
        <v>ELC</v>
      </c>
      <c r="I11" s="20">
        <v>1</v>
      </c>
      <c r="J11" s="21">
        <f>G11*I11</f>
        <v>7</v>
      </c>
      <c r="K11" s="465">
        <f ca="1">F11*J11</f>
        <v>6.2696337784468898</v>
      </c>
      <c r="L11" s="73">
        <v>1</v>
      </c>
      <c r="M11" s="20">
        <v>1</v>
      </c>
      <c r="N11" s="20">
        <v>15</v>
      </c>
      <c r="O11" s="401">
        <f ca="1">E11*J11/$M11</f>
        <v>0.50668770945725883</v>
      </c>
      <c r="P11" s="117">
        <f ca="1">F11*J11/$M11</f>
        <v>6.2696337784468898</v>
      </c>
      <c r="Q11" s="54">
        <f ca="1">P11*$Z11</f>
        <v>3.1348168892234449</v>
      </c>
      <c r="R11" s="54">
        <f ca="1">$P11*AA11</f>
        <v>0</v>
      </c>
      <c r="S11" s="54"/>
      <c r="T11" s="54"/>
      <c r="U11" s="54"/>
      <c r="V11" s="20"/>
      <c r="W11" s="258">
        <f ca="1">IF($E$12=0,0,E11/$E$12)</f>
        <v>1.0000000000000007E-2</v>
      </c>
      <c r="Y11" s="436">
        <f ca="1">MATCH(LEFT(B11,3),OFFSET(CalibData!$C$78,1,0,100),0)</f>
        <v>21</v>
      </c>
      <c r="Z11" s="436">
        <v>0.5</v>
      </c>
      <c r="AA11" s="436">
        <v>0</v>
      </c>
      <c r="AB11" s="18">
        <f ca="1">1-SUM(AB8:AB10)</f>
        <v>1.0000000000000009E-2</v>
      </c>
      <c r="AC11" s="358">
        <f ca="1">1-SUM(AC8:AC10)</f>
        <v>0.19999999999999996</v>
      </c>
    </row>
    <row r="12" spans="1:29" ht="14.25" customHeight="1" thickBot="1">
      <c r="B12" s="434" t="s">
        <v>999</v>
      </c>
      <c r="C12" s="452" t="s">
        <v>1001</v>
      </c>
      <c r="D12" s="452"/>
      <c r="E12" s="453">
        <f ca="1">SUM(E7:E11)</f>
        <v>7.2383958493894065</v>
      </c>
      <c r="F12" s="453">
        <f ca="1">SUM(F7:F11)</f>
        <v>4.4783098417477794</v>
      </c>
      <c r="G12" s="453"/>
      <c r="H12" s="453">
        <f ca="1">SUMPRODUCT(E$7:E11,J$7:J11)</f>
        <v>9.7863111883744782</v>
      </c>
      <c r="I12" s="452"/>
      <c r="J12" s="454"/>
      <c r="K12" s="453">
        <f ca="1">SUM(K7:K11)</f>
        <v>12.485527838792809</v>
      </c>
      <c r="L12" s="452"/>
      <c r="M12" s="452"/>
      <c r="N12" s="453"/>
      <c r="O12" s="467">
        <f ca="1">SUM(O7:O11)</f>
        <v>9.7863111883744782</v>
      </c>
      <c r="P12" s="452"/>
      <c r="Q12" s="452"/>
      <c r="R12" s="452"/>
      <c r="S12" s="452"/>
      <c r="T12" s="452"/>
      <c r="U12" s="452"/>
      <c r="V12" s="452"/>
      <c r="W12" s="259">
        <f ca="1">SUM(W7:W11)</f>
        <v>1</v>
      </c>
      <c r="Y12" s="190"/>
      <c r="Z12" s="190"/>
      <c r="AA12" s="190"/>
      <c r="AB12" s="190"/>
      <c r="AC12" s="190"/>
    </row>
    <row r="13" spans="1:29" ht="14.25" customHeight="1">
      <c r="B13" s="273" t="s">
        <v>362</v>
      </c>
      <c r="C13" s="424" t="s">
        <v>67</v>
      </c>
      <c r="D13" s="82" t="str">
        <f ca="1">IEAData!H12</f>
        <v>RESKER</v>
      </c>
      <c r="E13" s="64">
        <f ca="1">IEAData!$L$84*IEAData!I69</f>
        <v>0</v>
      </c>
      <c r="F13" s="64">
        <f ca="1">AuxData!$L$84*AuxData!I69</f>
        <v>0</v>
      </c>
      <c r="G13" s="40">
        <v>0.7</v>
      </c>
      <c r="H13" s="343" t="str">
        <f>RIGHT(D13,3)</f>
        <v>KER</v>
      </c>
      <c r="I13" s="81">
        <v>1</v>
      </c>
      <c r="J13" s="6">
        <f>G13*I13</f>
        <v>0.7</v>
      </c>
      <c r="K13" s="38">
        <f ca="1">F13*J13</f>
        <v>0</v>
      </c>
      <c r="L13" s="19">
        <v>1</v>
      </c>
      <c r="M13" s="18">
        <v>1</v>
      </c>
      <c r="N13" s="18">
        <v>15</v>
      </c>
      <c r="O13" s="160">
        <f ca="1">E13*J13/$M13</f>
        <v>0</v>
      </c>
      <c r="P13" s="104">
        <f ca="1">F13*J13/$M13</f>
        <v>0</v>
      </c>
      <c r="Q13" s="40">
        <f ca="1">P13*$Z13</f>
        <v>0</v>
      </c>
      <c r="R13" s="40">
        <f ca="1">$P13*AA13</f>
        <v>0</v>
      </c>
      <c r="S13" s="40"/>
      <c r="T13" s="40"/>
      <c r="U13" s="40"/>
      <c r="V13" s="40"/>
      <c r="W13" s="258">
        <f ca="1">IF($E$18=0,0,E13/$E$18)</f>
        <v>0</v>
      </c>
      <c r="Y13" s="436">
        <f ca="1">MATCH(LEFT(B13,3),OFFSET(CalibData!$C$78,1,0,100),0)</f>
        <v>24</v>
      </c>
      <c r="Z13" s="436">
        <v>0.4</v>
      </c>
      <c r="AA13" s="436">
        <v>0</v>
      </c>
      <c r="AB13" s="14"/>
      <c r="AC13" s="14"/>
    </row>
    <row r="14" spans="1:29" ht="14.25" customHeight="1">
      <c r="B14" s="265" t="s">
        <v>363</v>
      </c>
      <c r="C14" s="402" t="s">
        <v>68</v>
      </c>
      <c r="D14" s="82" t="s">
        <v>836</v>
      </c>
      <c r="E14" s="64">
        <f ca="1">AB14*IEAData!$L$88*IEAData!$I$73</f>
        <v>0</v>
      </c>
      <c r="F14" s="64">
        <f ca="1">AC14*AuxData!$L$88*AuxData!$I$73</f>
        <v>0</v>
      </c>
      <c r="G14" s="53">
        <v>1</v>
      </c>
      <c r="H14" s="343" t="str">
        <f>RIGHT(D14,3)</f>
        <v>ELC</v>
      </c>
      <c r="I14" s="81">
        <v>1</v>
      </c>
      <c r="J14" s="6">
        <f>G14*I14</f>
        <v>1</v>
      </c>
      <c r="K14" s="38">
        <f ca="1">F14*J14</f>
        <v>0</v>
      </c>
      <c r="L14" s="19">
        <v>1</v>
      </c>
      <c r="M14" s="18">
        <v>1</v>
      </c>
      <c r="N14" s="18">
        <v>15</v>
      </c>
      <c r="O14" s="161">
        <f ca="1">E14*J14/$M14</f>
        <v>0</v>
      </c>
      <c r="P14" s="104">
        <f ca="1">F14*J14/$M14</f>
        <v>0</v>
      </c>
      <c r="Q14" s="40">
        <f ca="1">P14*$Z14</f>
        <v>0</v>
      </c>
      <c r="R14" s="40">
        <f ca="1">$P14*AA14</f>
        <v>0</v>
      </c>
      <c r="S14" s="40"/>
      <c r="T14" s="40"/>
      <c r="U14" s="40"/>
      <c r="V14" s="18"/>
      <c r="W14" s="258">
        <f ca="1">IF($E$18=0,0,E14/$E$18)</f>
        <v>0</v>
      </c>
      <c r="Y14" s="436">
        <f ca="1">MATCH(LEFT(B14,3),OFFSET(CalibData!$C$78,1,0,100),0)</f>
        <v>24</v>
      </c>
      <c r="Z14" s="436">
        <v>0</v>
      </c>
      <c r="AA14" s="436">
        <v>0</v>
      </c>
      <c r="AB14" s="437">
        <f t="array" aca="1" ref="AB14:AB16" ca="1">OFFSET(TechShar,$Y14,AB$3,3)</f>
        <v>0.9</v>
      </c>
      <c r="AC14" s="437">
        <f t="array" aca="1" ref="AC14:AC16" ca="1">OFFSET(TechShar,$Y14,AC$3,3)</f>
        <v>0.9</v>
      </c>
    </row>
    <row r="15" spans="1:29" ht="14.25" customHeight="1">
      <c r="B15" s="265" t="s">
        <v>364</v>
      </c>
      <c r="C15" s="402" t="s">
        <v>551</v>
      </c>
      <c r="D15" s="82" t="s">
        <v>836</v>
      </c>
      <c r="E15" s="64">
        <f ca="1">AB15*IEAData!$L$88*IEAData!$I$73</f>
        <v>0</v>
      </c>
      <c r="F15" s="64">
        <f ca="1">AC15*AuxData!$L$88*AuxData!$I$73</f>
        <v>0</v>
      </c>
      <c r="G15" s="53">
        <v>2.8</v>
      </c>
      <c r="H15" s="343" t="str">
        <f>RIGHT(D15,3)</f>
        <v>ELC</v>
      </c>
      <c r="I15" s="81">
        <v>1</v>
      </c>
      <c r="J15" s="6">
        <f>G15*I15</f>
        <v>2.8</v>
      </c>
      <c r="K15" s="38">
        <f ca="1">F15*J15</f>
        <v>0</v>
      </c>
      <c r="L15" s="19">
        <v>1</v>
      </c>
      <c r="M15" s="18">
        <v>1</v>
      </c>
      <c r="N15" s="18">
        <v>15</v>
      </c>
      <c r="O15" s="161">
        <f ca="1">E15*J15/$M15</f>
        <v>0</v>
      </c>
      <c r="P15" s="104">
        <f ca="1">F15*J15/$M15</f>
        <v>0</v>
      </c>
      <c r="Q15" s="40">
        <f ca="1">P15*$Z15</f>
        <v>0</v>
      </c>
      <c r="R15" s="40">
        <f ca="1">$P15*AA15</f>
        <v>0</v>
      </c>
      <c r="S15" s="40"/>
      <c r="T15" s="40"/>
      <c r="U15" s="40"/>
      <c r="V15" s="18"/>
      <c r="W15" s="258">
        <f ca="1">IF($E$18=0,0,E15/$E$18)</f>
        <v>0</v>
      </c>
      <c r="Y15" s="436">
        <f ca="1">MATCH(LEFT(B15,3),OFFSET(CalibData!$C$78,1,0,100),0)</f>
        <v>24</v>
      </c>
      <c r="Z15" s="436">
        <v>0</v>
      </c>
      <c r="AA15" s="436">
        <v>0</v>
      </c>
      <c r="AB15" s="438">
        <f ca="1"/>
        <v>0.05</v>
      </c>
      <c r="AC15" s="438">
        <f ca="1"/>
        <v>0.05</v>
      </c>
    </row>
    <row r="16" spans="1:29" ht="14.25" customHeight="1">
      <c r="B16" s="265" t="s">
        <v>365</v>
      </c>
      <c r="C16" s="402" t="s">
        <v>552</v>
      </c>
      <c r="D16" s="82" t="s">
        <v>836</v>
      </c>
      <c r="E16" s="64">
        <f ca="1">AB16*IEAData!$L$88*IEAData!$I$73</f>
        <v>0</v>
      </c>
      <c r="F16" s="64">
        <f ca="1">AC16*AuxData!$L$88*AuxData!$I$73</f>
        <v>0</v>
      </c>
      <c r="G16" s="53">
        <v>4.5</v>
      </c>
      <c r="H16" s="343" t="str">
        <f>RIGHT(D16,3)</f>
        <v>ELC</v>
      </c>
      <c r="I16" s="81">
        <v>1</v>
      </c>
      <c r="J16" s="6">
        <f>G16*I16</f>
        <v>4.5</v>
      </c>
      <c r="K16" s="38">
        <f ca="1">F16*J16</f>
        <v>0</v>
      </c>
      <c r="L16" s="57">
        <v>1</v>
      </c>
      <c r="M16" s="81">
        <v>1</v>
      </c>
      <c r="N16" s="18">
        <v>15</v>
      </c>
      <c r="O16" s="161">
        <f ca="1">E16*J16/$M16</f>
        <v>0</v>
      </c>
      <c r="P16" s="104">
        <f ca="1">F16*J16/$M16</f>
        <v>0</v>
      </c>
      <c r="Q16" s="40">
        <f ca="1">P16*$Z16</f>
        <v>0</v>
      </c>
      <c r="R16" s="53">
        <f ca="1">$P16*AA16</f>
        <v>0</v>
      </c>
      <c r="S16" s="53"/>
      <c r="T16" s="53"/>
      <c r="U16" s="53"/>
      <c r="V16" s="81"/>
      <c r="W16" s="258">
        <f ca="1">IF($E$18=0,0,E16/$E$18)</f>
        <v>0</v>
      </c>
      <c r="Y16" s="436">
        <f ca="1">MATCH(LEFT(B16,3),OFFSET(CalibData!$C$78,1,0,100),0)</f>
        <v>24</v>
      </c>
      <c r="Z16" s="436">
        <v>0.4</v>
      </c>
      <c r="AA16" s="436">
        <v>0</v>
      </c>
      <c r="AB16" s="438">
        <f ca="1"/>
        <v>0.05</v>
      </c>
      <c r="AC16" s="438">
        <f ca="1"/>
        <v>0.05</v>
      </c>
    </row>
    <row r="17" spans="1:29" ht="14.25" customHeight="1" thickBot="1">
      <c r="B17" s="266" t="s">
        <v>991</v>
      </c>
      <c r="C17" s="403" t="s">
        <v>990</v>
      </c>
      <c r="D17" s="96" t="s">
        <v>836</v>
      </c>
      <c r="E17" s="34">
        <f ca="1">AB17*IEAData!$L$88*IEAData!$I$73</f>
        <v>0</v>
      </c>
      <c r="F17" s="34">
        <f ca="1">AC17*AuxData!$L$88*AuxData!$I$73</f>
        <v>0</v>
      </c>
      <c r="G17" s="54">
        <v>4</v>
      </c>
      <c r="H17" s="464" t="str">
        <f>RIGHT(D17,3)</f>
        <v>ELC</v>
      </c>
      <c r="I17" s="20">
        <v>1</v>
      </c>
      <c r="J17" s="21">
        <f>G17*I17</f>
        <v>4</v>
      </c>
      <c r="K17" s="465">
        <f ca="1">F17*J17</f>
        <v>0</v>
      </c>
      <c r="L17" s="73">
        <v>1</v>
      </c>
      <c r="M17" s="20">
        <v>1</v>
      </c>
      <c r="N17" s="20">
        <v>15</v>
      </c>
      <c r="O17" s="162">
        <f ca="1">E17*J17/$M17</f>
        <v>0</v>
      </c>
      <c r="P17" s="117">
        <f ca="1">F17*J17/$M17</f>
        <v>0</v>
      </c>
      <c r="Q17" s="54">
        <f ca="1">P17*$Z17</f>
        <v>0</v>
      </c>
      <c r="R17" s="54">
        <f ca="1">$P17*AA17</f>
        <v>0</v>
      </c>
      <c r="S17" s="54"/>
      <c r="T17" s="54"/>
      <c r="U17" s="54"/>
      <c r="V17" s="20"/>
      <c r="W17" s="258">
        <f ca="1">IF($E$18=0,0,E17/$E$18)</f>
        <v>0</v>
      </c>
      <c r="Y17" s="436">
        <f ca="1">MATCH(LEFT(B17,3),OFFSET(CalibData!$C$78,1,0,100),0)</f>
        <v>24</v>
      </c>
      <c r="Z17" s="436">
        <v>0.55000000000000004</v>
      </c>
      <c r="AA17" s="436">
        <v>0</v>
      </c>
      <c r="AB17" s="18">
        <f ca="1">1-SUM(AB14:AB16)</f>
        <v>0</v>
      </c>
      <c r="AC17" s="358">
        <f ca="1">1-SUM(AC14:AC16)</f>
        <v>0</v>
      </c>
    </row>
    <row r="18" spans="1:29" ht="14.25">
      <c r="B18" s="434" t="s">
        <v>999</v>
      </c>
      <c r="C18" s="452" t="s">
        <v>1001</v>
      </c>
      <c r="D18" s="452"/>
      <c r="E18" s="453">
        <f ca="1">SUM(E13:E17)</f>
        <v>0</v>
      </c>
      <c r="F18" s="453">
        <f ca="1">SUM(F13:F17)</f>
        <v>0</v>
      </c>
      <c r="G18" s="453"/>
      <c r="H18" s="453">
        <f ca="1">SUMPRODUCT(E$13:E17,J$13:J17)</f>
        <v>0</v>
      </c>
      <c r="I18" s="452"/>
      <c r="J18" s="454"/>
      <c r="K18" s="453">
        <f ca="1">SUM(K13:K17)</f>
        <v>0</v>
      </c>
      <c r="L18" s="452"/>
      <c r="M18" s="452"/>
      <c r="N18" s="453"/>
      <c r="O18" s="260">
        <f ca="1">SUM(O13:O17)</f>
        <v>0</v>
      </c>
      <c r="P18" s="452"/>
      <c r="Q18" s="452"/>
      <c r="R18" s="452"/>
      <c r="S18" s="452"/>
      <c r="T18" s="452"/>
      <c r="U18" s="452"/>
      <c r="V18" s="452"/>
      <c r="W18" s="259">
        <f ca="1">SUM(W13:W17)</f>
        <v>0</v>
      </c>
      <c r="Y18" s="190"/>
      <c r="Z18" s="190"/>
      <c r="AA18" s="190"/>
      <c r="AB18" s="190"/>
      <c r="AC18" s="190"/>
    </row>
    <row r="19" spans="1:29">
      <c r="B19" s="123"/>
      <c r="C19" s="55"/>
      <c r="D19" s="55"/>
      <c r="E19" s="57"/>
      <c r="G19" s="57"/>
      <c r="H19" s="57"/>
      <c r="I19" s="55"/>
      <c r="J19" s="254"/>
      <c r="K19" s="57"/>
      <c r="L19" s="55"/>
      <c r="M19" s="55"/>
      <c r="N19" s="57"/>
      <c r="O19" s="161"/>
      <c r="P19" s="55"/>
      <c r="Q19" s="55"/>
      <c r="R19" s="161"/>
      <c r="S19" s="55"/>
      <c r="T19" s="55"/>
      <c r="U19" s="55"/>
      <c r="V19" s="55"/>
    </row>
    <row r="20" spans="1:29">
      <c r="B20" s="123"/>
      <c r="C20" s="55"/>
      <c r="D20" s="256"/>
      <c r="E20" s="57"/>
      <c r="G20" s="57"/>
      <c r="H20" s="57"/>
      <c r="I20" s="55"/>
      <c r="J20" s="254"/>
      <c r="K20" s="57"/>
      <c r="L20" s="55"/>
      <c r="M20" s="55"/>
      <c r="N20" s="57"/>
      <c r="O20" s="161"/>
      <c r="P20" s="55"/>
      <c r="Q20" s="55"/>
      <c r="R20" s="161"/>
      <c r="S20" s="55"/>
      <c r="T20" s="55"/>
      <c r="U20" s="55"/>
      <c r="V20" s="55"/>
    </row>
    <row r="21" spans="1:29">
      <c r="B21" s="123"/>
      <c r="C21" s="55"/>
      <c r="D21" s="55"/>
      <c r="E21" s="57"/>
      <c r="G21" s="57"/>
      <c r="H21" s="57"/>
      <c r="I21" s="55"/>
      <c r="J21" s="254"/>
      <c r="K21" s="57"/>
      <c r="L21" s="55"/>
      <c r="M21" s="55"/>
      <c r="N21" s="57"/>
      <c r="O21" s="161"/>
      <c r="P21" s="55"/>
      <c r="Q21" s="55"/>
      <c r="R21" s="161"/>
      <c r="S21" s="55"/>
      <c r="T21" s="55"/>
      <c r="U21" s="55"/>
      <c r="V21" s="55"/>
    </row>
    <row r="22" spans="1:29">
      <c r="B22" s="123"/>
      <c r="C22" s="55"/>
      <c r="D22" s="55"/>
      <c r="E22" s="57"/>
      <c r="G22" s="57"/>
      <c r="H22" s="57"/>
      <c r="I22" s="55"/>
      <c r="J22" s="254"/>
      <c r="K22" s="57"/>
      <c r="L22" s="55"/>
      <c r="M22" s="55"/>
      <c r="N22" s="57"/>
      <c r="O22" s="161"/>
      <c r="P22" s="55"/>
      <c r="Q22" s="55"/>
      <c r="R22" s="161"/>
      <c r="S22" s="55"/>
      <c r="T22" s="55"/>
      <c r="U22" s="55"/>
      <c r="V22" s="55"/>
    </row>
    <row r="23" spans="1:29">
      <c r="B23" s="123"/>
      <c r="C23" s="55"/>
      <c r="D23" s="55"/>
      <c r="E23" s="57"/>
      <c r="G23" s="57"/>
      <c r="H23" s="57"/>
      <c r="I23" s="55"/>
      <c r="J23" s="254"/>
      <c r="K23" s="57"/>
      <c r="L23" s="55"/>
      <c r="M23" s="55"/>
      <c r="N23" s="57"/>
      <c r="O23" s="161"/>
      <c r="P23" s="55"/>
      <c r="Q23" s="55"/>
      <c r="R23" s="161"/>
      <c r="S23" s="55"/>
      <c r="T23" s="55"/>
      <c r="U23" s="55"/>
      <c r="V23" s="55"/>
    </row>
    <row r="24" spans="1:29">
      <c r="B24" s="123"/>
      <c r="C24" s="55"/>
      <c r="D24" s="256"/>
      <c r="E24" s="57"/>
      <c r="G24" s="57"/>
      <c r="H24" s="55"/>
      <c r="I24" s="55"/>
      <c r="J24" s="57"/>
      <c r="K24" s="57"/>
      <c r="O24" s="161"/>
      <c r="P24" s="55"/>
      <c r="Q24" s="55"/>
      <c r="R24" s="161"/>
      <c r="S24" s="55"/>
      <c r="T24" s="55"/>
      <c r="U24" s="55"/>
      <c r="V24" s="55"/>
    </row>
    <row r="25" spans="1:29" ht="18">
      <c r="B25" s="155" t="s">
        <v>592</v>
      </c>
      <c r="C25" s="156"/>
      <c r="D25" s="252"/>
      <c r="K25" s="57"/>
    </row>
    <row r="26" spans="1:29" ht="13.5" thickBot="1">
      <c r="B26" s="27" t="s">
        <v>384</v>
      </c>
      <c r="C26" s="27" t="s">
        <v>385</v>
      </c>
      <c r="D26" s="27" t="s">
        <v>243</v>
      </c>
      <c r="E26" s="344" t="s">
        <v>942</v>
      </c>
      <c r="F26" s="344" t="s">
        <v>942</v>
      </c>
      <c r="G26" s="27"/>
      <c r="K26" s="57"/>
    </row>
    <row r="27" spans="1:29" ht="16.5" customHeight="1">
      <c r="A27" s="7"/>
      <c r="B27" s="80" t="s">
        <v>504</v>
      </c>
      <c r="C27" s="28" t="str">
        <f ca="1">CONCATENATE("Residential Lighting - ",IEAData!B49)</f>
        <v>Residential Lighting - Region1</v>
      </c>
      <c r="D27" s="95" t="s">
        <v>249</v>
      </c>
      <c r="E27" s="63">
        <f ca="1">H12</f>
        <v>9.7863111883744782</v>
      </c>
      <c r="F27" s="63">
        <f ca="1">SUMPRODUCT(F7:F11,J7:J11)</f>
        <v>12.485527838792809</v>
      </c>
      <c r="G27" s="18"/>
      <c r="K27" s="57"/>
      <c r="U27" s="621"/>
    </row>
    <row r="28" spans="1:29">
      <c r="B28" s="80" t="s">
        <v>361</v>
      </c>
      <c r="C28" s="28" t="str">
        <f ca="1">CONCATENATE("Residential Lighting - ",IEAData!C49)</f>
        <v>Residential Lighting - Region2</v>
      </c>
      <c r="D28" s="95" t="s">
        <v>249</v>
      </c>
      <c r="E28" s="63">
        <f ca="1">H18</f>
        <v>0</v>
      </c>
      <c r="F28" s="63">
        <f ca="1">SUMPRODUCT(F13:F17,J13:J17)</f>
        <v>0</v>
      </c>
      <c r="G28" s="18"/>
      <c r="K28" s="57"/>
    </row>
    <row r="31" spans="1:29" ht="30.6" customHeight="1"/>
    <row r="47" spans="3:167">
      <c r="C47" s="123"/>
      <c r="D47" s="123"/>
      <c r="E47" s="123"/>
      <c r="F47" s="120"/>
      <c r="G47" s="123"/>
      <c r="H47" s="120"/>
      <c r="I47" s="123"/>
      <c r="J47" s="123"/>
      <c r="K47" s="123"/>
      <c r="L47" s="123"/>
      <c r="M47" s="123"/>
      <c r="N47" s="123"/>
      <c r="O47" s="123"/>
      <c r="P47" s="123"/>
      <c r="Q47" s="123"/>
      <c r="R47" s="124"/>
      <c r="S47" s="124"/>
      <c r="T47" s="123"/>
      <c r="U47" s="123"/>
      <c r="V47" s="123"/>
      <c r="W47" s="123"/>
      <c r="X47" s="123"/>
      <c r="Y47" s="123"/>
      <c r="Z47" s="123"/>
      <c r="AA47" s="123"/>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row>
    <row r="48" spans="3:167">
      <c r="C48" s="123"/>
      <c r="D48" s="120"/>
      <c r="E48" s="123"/>
      <c r="F48" s="123"/>
      <c r="G48" s="123"/>
      <c r="H48" s="123"/>
      <c r="I48" s="123"/>
      <c r="J48" s="123"/>
      <c r="K48" s="123"/>
      <c r="L48" s="123"/>
      <c r="M48" s="123"/>
      <c r="N48" s="123"/>
      <c r="O48" s="123"/>
      <c r="P48" s="123"/>
      <c r="Q48" s="123"/>
      <c r="R48" s="124"/>
      <c r="S48" s="124"/>
      <c r="T48" s="123"/>
      <c r="U48" s="123"/>
      <c r="V48" s="123"/>
      <c r="W48" s="123"/>
      <c r="X48" s="123"/>
      <c r="Y48" s="123"/>
      <c r="Z48" s="123"/>
      <c r="AA48" s="123"/>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row>
    <row r="49" spans="3:167">
      <c r="C49" s="123"/>
      <c r="D49" s="120"/>
      <c r="E49" s="123"/>
      <c r="F49" s="123"/>
      <c r="G49" s="123"/>
      <c r="H49" s="123"/>
      <c r="I49" s="123"/>
      <c r="J49" s="123"/>
      <c r="K49" s="123"/>
      <c r="L49" s="123"/>
      <c r="M49" s="123"/>
      <c r="N49" s="123"/>
      <c r="O49" s="123"/>
      <c r="P49" s="123"/>
      <c r="Q49" s="123"/>
      <c r="R49" s="124"/>
      <c r="S49" s="124"/>
      <c r="T49" s="123"/>
      <c r="U49" s="123"/>
      <c r="V49" s="123"/>
      <c r="W49" s="123"/>
      <c r="X49" s="123"/>
      <c r="Y49" s="123"/>
      <c r="Z49" s="123"/>
      <c r="AA49" s="123"/>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row>
    <row r="50" spans="3:167">
      <c r="C50" s="123"/>
      <c r="D50" s="120"/>
      <c r="E50" s="123"/>
      <c r="F50" s="123"/>
      <c r="G50" s="123"/>
      <c r="H50" s="123"/>
      <c r="I50" s="123"/>
      <c r="J50" s="123"/>
      <c r="K50" s="123"/>
      <c r="L50" s="123"/>
      <c r="M50" s="123"/>
      <c r="N50" s="123"/>
      <c r="O50" s="123"/>
      <c r="P50" s="123"/>
      <c r="Q50" s="123"/>
      <c r="R50" s="124"/>
      <c r="S50" s="124"/>
      <c r="T50" s="123"/>
      <c r="U50" s="123"/>
      <c r="V50" s="123"/>
      <c r="W50" s="123"/>
      <c r="X50" s="123"/>
      <c r="Y50" s="123"/>
      <c r="Z50" s="123"/>
      <c r="AA50" s="123"/>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row>
    <row r="51" spans="3:167">
      <c r="C51" s="123"/>
      <c r="D51" s="120"/>
      <c r="E51" s="123"/>
      <c r="F51" s="123"/>
      <c r="G51" s="123"/>
      <c r="H51" s="123"/>
      <c r="I51" s="123"/>
      <c r="J51" s="123"/>
      <c r="K51" s="123"/>
      <c r="L51" s="123"/>
      <c r="M51" s="123"/>
      <c r="N51" s="123"/>
      <c r="O51" s="123"/>
      <c r="P51" s="123"/>
      <c r="Q51" s="123"/>
      <c r="R51" s="124"/>
      <c r="S51" s="124"/>
      <c r="T51" s="123"/>
      <c r="U51" s="123"/>
      <c r="V51" s="123"/>
      <c r="W51" s="123"/>
      <c r="X51" s="123"/>
      <c r="Y51" s="123"/>
      <c r="Z51" s="123"/>
      <c r="AA51" s="123"/>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row>
    <row r="52" spans="3:167">
      <c r="C52" s="123"/>
      <c r="D52" s="120"/>
      <c r="E52" s="123"/>
      <c r="F52" s="123"/>
      <c r="G52" s="123"/>
      <c r="H52" s="123"/>
      <c r="I52" s="123"/>
      <c r="J52" s="123"/>
      <c r="K52" s="123"/>
      <c r="L52" s="123"/>
      <c r="M52" s="123"/>
      <c r="N52" s="123"/>
      <c r="O52" s="123"/>
      <c r="P52" s="123"/>
      <c r="Q52" s="123"/>
      <c r="R52" s="124"/>
      <c r="S52" s="124"/>
      <c r="T52" s="123"/>
      <c r="U52" s="123"/>
      <c r="V52" s="123"/>
      <c r="W52" s="123"/>
      <c r="X52" s="123"/>
      <c r="Y52" s="123"/>
      <c r="Z52" s="123"/>
      <c r="AA52" s="123"/>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row>
    <row r="53" spans="3:167">
      <c r="C53" s="123"/>
      <c r="D53" s="120"/>
      <c r="E53" s="123"/>
      <c r="F53" s="123"/>
      <c r="G53" s="123"/>
      <c r="H53" s="123"/>
      <c r="I53" s="123"/>
      <c r="J53" s="123"/>
      <c r="K53" s="123"/>
      <c r="L53" s="123"/>
      <c r="M53" s="123"/>
      <c r="N53" s="123"/>
      <c r="O53" s="123"/>
      <c r="P53" s="123"/>
      <c r="Q53" s="123"/>
      <c r="R53" s="124"/>
      <c r="S53" s="124"/>
      <c r="T53" s="123"/>
      <c r="U53" s="123"/>
      <c r="V53" s="123"/>
      <c r="W53" s="123"/>
      <c r="X53" s="123"/>
      <c r="Y53" s="123"/>
      <c r="Z53" s="123"/>
      <c r="AA53" s="123"/>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row>
    <row r="54" spans="3:167">
      <c r="C54" s="123"/>
      <c r="D54" s="120"/>
      <c r="E54" s="123"/>
      <c r="F54" s="123"/>
      <c r="G54" s="123"/>
      <c r="H54" s="123"/>
      <c r="I54" s="123"/>
      <c r="J54" s="123"/>
      <c r="K54" s="123"/>
      <c r="L54" s="123"/>
      <c r="M54" s="123"/>
      <c r="N54" s="123"/>
      <c r="O54" s="123"/>
      <c r="P54" s="123"/>
      <c r="Q54" s="123"/>
      <c r="R54" s="124"/>
      <c r="S54" s="124"/>
      <c r="T54" s="123"/>
      <c r="U54" s="123"/>
      <c r="V54" s="123"/>
      <c r="W54" s="123"/>
      <c r="X54" s="123"/>
      <c r="Y54" s="123"/>
      <c r="Z54" s="123"/>
      <c r="AA54" s="123"/>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row>
    <row r="55" spans="3:167">
      <c r="C55" s="123"/>
      <c r="D55" s="120"/>
      <c r="E55" s="123"/>
      <c r="F55" s="123"/>
      <c r="G55" s="123"/>
      <c r="H55" s="123"/>
      <c r="I55" s="123"/>
      <c r="J55" s="123"/>
      <c r="K55" s="123"/>
      <c r="L55" s="123"/>
      <c r="M55" s="123"/>
      <c r="N55" s="123"/>
      <c r="O55" s="123"/>
      <c r="P55" s="123"/>
      <c r="Q55" s="123"/>
      <c r="R55" s="124"/>
      <c r="S55" s="124"/>
      <c r="T55" s="123"/>
      <c r="U55" s="123"/>
      <c r="V55" s="123"/>
      <c r="W55" s="123"/>
      <c r="X55" s="123"/>
      <c r="Y55" s="123"/>
      <c r="Z55" s="123"/>
      <c r="AA55" s="123"/>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row>
    <row r="56" spans="3:167">
      <c r="C56" s="123"/>
      <c r="D56" s="120"/>
      <c r="E56" s="123"/>
      <c r="F56" s="123"/>
      <c r="G56" s="123"/>
      <c r="H56" s="123"/>
      <c r="I56" s="123"/>
      <c r="J56" s="123"/>
      <c r="K56" s="123"/>
      <c r="L56" s="123"/>
      <c r="M56" s="123"/>
      <c r="N56" s="123"/>
      <c r="O56" s="123"/>
      <c r="P56" s="123"/>
      <c r="Q56" s="123"/>
      <c r="R56" s="124"/>
      <c r="S56" s="124"/>
      <c r="T56" s="123"/>
      <c r="U56" s="123"/>
      <c r="V56" s="123"/>
      <c r="W56" s="123"/>
      <c r="X56" s="123"/>
      <c r="Y56" s="123"/>
      <c r="Z56" s="123"/>
      <c r="AA56" s="123"/>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row>
    <row r="57" spans="3:167">
      <c r="C57" s="123"/>
      <c r="D57" s="120"/>
      <c r="E57" s="123"/>
      <c r="F57" s="123"/>
      <c r="G57" s="123"/>
      <c r="H57" s="123"/>
      <c r="I57" s="123"/>
      <c r="J57" s="123"/>
      <c r="K57" s="123"/>
      <c r="L57" s="123"/>
      <c r="M57" s="123"/>
      <c r="N57" s="123"/>
      <c r="O57" s="123"/>
      <c r="P57" s="123"/>
      <c r="Q57" s="123"/>
      <c r="R57" s="124"/>
      <c r="S57" s="124"/>
      <c r="T57" s="123"/>
      <c r="U57" s="123"/>
      <c r="V57" s="123"/>
      <c r="W57" s="123"/>
      <c r="X57" s="123"/>
      <c r="Y57" s="123"/>
      <c r="Z57" s="123"/>
      <c r="AA57" s="123"/>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row>
    <row r="58" spans="3:167">
      <c r="C58" s="123"/>
      <c r="D58" s="120"/>
      <c r="E58" s="123"/>
      <c r="F58" s="123"/>
      <c r="G58" s="123"/>
      <c r="H58" s="123"/>
      <c r="I58" s="123"/>
      <c r="J58" s="123"/>
      <c r="K58" s="123"/>
      <c r="L58" s="123"/>
      <c r="M58" s="123"/>
      <c r="N58" s="123"/>
      <c r="O58" s="123"/>
      <c r="P58" s="123"/>
      <c r="Q58" s="123"/>
      <c r="R58" s="124"/>
      <c r="S58" s="124"/>
      <c r="T58" s="123"/>
      <c r="U58" s="123"/>
      <c r="V58" s="123"/>
      <c r="W58" s="123"/>
      <c r="X58" s="123"/>
      <c r="Y58" s="123"/>
      <c r="Z58" s="123"/>
      <c r="AA58" s="123"/>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row>
    <row r="59" spans="3:167">
      <c r="C59" s="123"/>
      <c r="D59" s="120"/>
      <c r="E59" s="123"/>
      <c r="F59" s="123"/>
      <c r="G59" s="123"/>
      <c r="H59" s="123"/>
      <c r="I59" s="123"/>
      <c r="J59" s="123"/>
      <c r="K59" s="123"/>
      <c r="L59" s="123"/>
      <c r="M59" s="123"/>
      <c r="N59" s="123"/>
      <c r="O59" s="123"/>
      <c r="P59" s="123"/>
      <c r="Q59" s="123"/>
      <c r="R59" s="124"/>
      <c r="S59" s="124"/>
      <c r="T59" s="123"/>
      <c r="U59" s="123"/>
      <c r="V59" s="123"/>
      <c r="W59" s="123"/>
      <c r="X59" s="123"/>
      <c r="Y59" s="123"/>
      <c r="Z59" s="123"/>
      <c r="AA59" s="123"/>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row>
    <row r="60" spans="3:167">
      <c r="C60" s="123"/>
      <c r="D60" s="120"/>
      <c r="E60" s="123"/>
      <c r="F60" s="123"/>
      <c r="G60" s="123"/>
      <c r="H60" s="123"/>
      <c r="I60" s="123"/>
      <c r="J60" s="123"/>
      <c r="K60" s="123"/>
      <c r="L60" s="123"/>
      <c r="M60" s="123"/>
      <c r="N60" s="123"/>
      <c r="O60" s="123"/>
      <c r="P60" s="123"/>
      <c r="Q60" s="123"/>
      <c r="R60" s="124"/>
      <c r="S60" s="124"/>
      <c r="T60" s="123"/>
      <c r="U60" s="123"/>
      <c r="V60" s="123"/>
      <c r="W60" s="123"/>
      <c r="X60" s="123"/>
      <c r="Y60" s="123"/>
      <c r="Z60" s="123"/>
      <c r="AA60" s="123"/>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row>
    <row r="61" spans="3:167">
      <c r="C61" s="123"/>
      <c r="D61" s="120"/>
      <c r="E61" s="123"/>
      <c r="F61" s="123"/>
      <c r="G61" s="123"/>
      <c r="H61" s="123"/>
      <c r="I61" s="123"/>
      <c r="J61" s="123"/>
      <c r="K61" s="123"/>
      <c r="L61" s="123"/>
      <c r="M61" s="123"/>
      <c r="N61" s="123"/>
      <c r="O61" s="123"/>
      <c r="P61" s="123"/>
      <c r="Q61" s="123"/>
      <c r="R61" s="124"/>
      <c r="S61" s="124"/>
      <c r="T61" s="123"/>
      <c r="U61" s="123"/>
      <c r="V61" s="123"/>
      <c r="W61" s="123"/>
      <c r="X61" s="123"/>
      <c r="Y61" s="123"/>
      <c r="Z61" s="123"/>
      <c r="AA61" s="123"/>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row>
    <row r="62" spans="3:167">
      <c r="C62" s="123"/>
      <c r="D62" s="120"/>
      <c r="E62" s="123"/>
      <c r="F62" s="123"/>
      <c r="G62" s="123"/>
      <c r="H62" s="123"/>
      <c r="I62" s="123"/>
      <c r="J62" s="123"/>
      <c r="K62" s="123"/>
      <c r="L62" s="123"/>
      <c r="M62" s="123"/>
      <c r="N62" s="123"/>
      <c r="O62" s="123"/>
      <c r="P62" s="123"/>
      <c r="Q62" s="123"/>
      <c r="R62" s="124"/>
      <c r="S62" s="124"/>
      <c r="T62" s="123"/>
      <c r="U62" s="123"/>
      <c r="V62" s="123"/>
      <c r="W62" s="123"/>
      <c r="X62" s="123"/>
      <c r="Y62" s="123"/>
      <c r="Z62" s="123"/>
      <c r="AA62" s="123"/>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row>
    <row r="63" spans="3:167">
      <c r="C63" s="123"/>
      <c r="D63" s="120"/>
      <c r="E63" s="123"/>
      <c r="F63" s="123"/>
      <c r="G63" s="123"/>
      <c r="H63" s="123"/>
      <c r="I63" s="123"/>
      <c r="J63" s="123"/>
      <c r="K63" s="123"/>
      <c r="L63" s="123"/>
      <c r="M63" s="123"/>
      <c r="N63" s="123"/>
      <c r="O63" s="123"/>
      <c r="P63" s="123"/>
      <c r="Q63" s="123"/>
      <c r="R63" s="124"/>
      <c r="S63" s="124"/>
      <c r="T63" s="123"/>
      <c r="U63" s="123"/>
      <c r="V63" s="123"/>
      <c r="W63" s="123"/>
      <c r="X63" s="123"/>
      <c r="Y63" s="123"/>
      <c r="Z63" s="123"/>
      <c r="AA63" s="123"/>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row>
    <row r="64" spans="3:167">
      <c r="C64" s="123"/>
      <c r="D64" s="120"/>
      <c r="E64" s="123"/>
      <c r="F64" s="120"/>
      <c r="G64" s="123"/>
      <c r="H64" s="120"/>
      <c r="I64" s="123"/>
      <c r="J64" s="123"/>
      <c r="K64" s="123"/>
      <c r="L64" s="123"/>
      <c r="M64" s="123"/>
      <c r="N64" s="123"/>
      <c r="O64" s="123"/>
      <c r="P64" s="123"/>
      <c r="Q64" s="123"/>
      <c r="R64" s="124"/>
      <c r="S64" s="124"/>
      <c r="T64" s="123"/>
      <c r="U64" s="123"/>
      <c r="V64" s="123"/>
      <c r="W64" s="123"/>
      <c r="X64" s="123"/>
      <c r="Y64" s="123"/>
      <c r="Z64" s="123"/>
      <c r="AA64" s="123"/>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row>
    <row r="65" spans="3:167">
      <c r="C65" s="123"/>
      <c r="D65" s="123"/>
      <c r="E65" s="123"/>
      <c r="F65" s="123"/>
      <c r="G65" s="123"/>
      <c r="H65" s="123"/>
      <c r="I65" s="123"/>
      <c r="J65" s="123"/>
      <c r="K65" s="123"/>
      <c r="L65" s="123"/>
      <c r="M65" s="123"/>
      <c r="N65" s="123"/>
      <c r="O65" s="123"/>
      <c r="P65" s="123"/>
      <c r="Q65" s="123"/>
      <c r="R65" s="124"/>
      <c r="S65" s="124"/>
      <c r="T65" s="123"/>
      <c r="U65" s="123"/>
      <c r="V65" s="123"/>
      <c r="W65" s="123"/>
      <c r="X65" s="123"/>
      <c r="Y65" s="123"/>
      <c r="Z65" s="123"/>
      <c r="AA65" s="123"/>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row>
    <row r="66" spans="3:167">
      <c r="C66" s="123"/>
      <c r="D66" s="123"/>
      <c r="E66" s="123"/>
      <c r="F66" s="120"/>
      <c r="G66" s="123"/>
      <c r="H66" s="120"/>
      <c r="I66" s="123"/>
      <c r="J66" s="123"/>
      <c r="K66" s="123"/>
      <c r="L66" s="123"/>
      <c r="M66" s="123"/>
      <c r="N66" s="123"/>
      <c r="O66" s="123"/>
      <c r="P66" s="123"/>
      <c r="Q66" s="123"/>
      <c r="R66" s="124"/>
      <c r="S66" s="124"/>
      <c r="T66" s="123"/>
      <c r="U66" s="123"/>
      <c r="V66" s="123"/>
      <c r="W66" s="123"/>
      <c r="X66" s="123"/>
      <c r="Y66" s="123"/>
      <c r="Z66" s="123"/>
      <c r="AA66" s="123"/>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row>
    <row r="67" spans="3:167">
      <c r="C67" s="123"/>
      <c r="D67" s="123"/>
      <c r="E67" s="123"/>
      <c r="F67" s="120"/>
      <c r="G67" s="123"/>
      <c r="H67" s="120"/>
      <c r="I67" s="123"/>
      <c r="J67" s="123"/>
      <c r="K67" s="123"/>
      <c r="L67" s="123"/>
      <c r="M67" s="123"/>
      <c r="N67" s="123"/>
      <c r="O67" s="123"/>
      <c r="P67" s="123"/>
      <c r="Q67" s="123"/>
      <c r="R67" s="124"/>
      <c r="S67" s="124"/>
      <c r="T67" s="123"/>
      <c r="U67" s="123"/>
      <c r="V67" s="123"/>
      <c r="W67" s="123"/>
      <c r="X67" s="123"/>
      <c r="Y67" s="123"/>
      <c r="Z67" s="123"/>
      <c r="AA67" s="123"/>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row>
    <row r="68" spans="3:167">
      <c r="C68" s="123"/>
      <c r="D68" s="120"/>
      <c r="E68" s="123"/>
      <c r="F68" s="123"/>
      <c r="G68" s="123"/>
      <c r="H68" s="123"/>
      <c r="I68" s="123"/>
      <c r="J68" s="123"/>
      <c r="K68" s="123"/>
      <c r="L68" s="123"/>
      <c r="M68" s="123"/>
      <c r="N68" s="123"/>
      <c r="O68" s="123"/>
      <c r="P68" s="123"/>
      <c r="Q68" s="123"/>
      <c r="R68" s="124"/>
      <c r="S68" s="124"/>
      <c r="T68" s="123"/>
      <c r="U68" s="123"/>
      <c r="V68" s="123"/>
      <c r="W68" s="123"/>
      <c r="X68" s="123"/>
      <c r="Y68" s="123"/>
      <c r="Z68" s="123"/>
      <c r="AA68" s="123"/>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row>
    <row r="69" spans="3:167">
      <c r="C69" s="123"/>
      <c r="D69" s="120"/>
      <c r="E69" s="123"/>
      <c r="F69" s="123"/>
      <c r="G69" s="123"/>
      <c r="H69" s="123"/>
      <c r="I69" s="123"/>
      <c r="J69" s="123"/>
      <c r="K69" s="123"/>
      <c r="L69" s="123"/>
      <c r="M69" s="123"/>
      <c r="N69" s="123"/>
      <c r="O69" s="123"/>
      <c r="P69" s="123"/>
      <c r="Q69" s="123"/>
      <c r="R69" s="124"/>
      <c r="S69" s="124"/>
      <c r="T69" s="123"/>
      <c r="U69" s="123"/>
      <c r="V69" s="123"/>
      <c r="W69" s="123"/>
      <c r="X69" s="123"/>
      <c r="Y69" s="123"/>
      <c r="Z69" s="123"/>
      <c r="AA69" s="123"/>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row>
    <row r="70" spans="3:167">
      <c r="C70" s="123"/>
      <c r="D70" s="120"/>
      <c r="E70" s="123"/>
      <c r="F70" s="123"/>
      <c r="G70" s="123"/>
      <c r="H70" s="123"/>
      <c r="I70" s="123"/>
      <c r="J70" s="123"/>
      <c r="K70" s="123"/>
      <c r="L70" s="123"/>
      <c r="M70" s="123"/>
      <c r="N70" s="123"/>
      <c r="O70" s="123"/>
      <c r="P70" s="123"/>
      <c r="Q70" s="123"/>
      <c r="R70" s="124"/>
      <c r="S70" s="124"/>
      <c r="T70" s="123"/>
      <c r="U70" s="123"/>
      <c r="V70" s="123"/>
      <c r="W70" s="123"/>
      <c r="X70" s="123"/>
      <c r="Y70" s="123"/>
      <c r="Z70" s="123"/>
      <c r="AA70" s="123"/>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row>
    <row r="71" spans="3:167">
      <c r="C71" s="123"/>
      <c r="D71" s="120"/>
      <c r="E71" s="123"/>
      <c r="F71" s="123"/>
      <c r="G71" s="123"/>
      <c r="H71" s="123"/>
      <c r="I71" s="123"/>
      <c r="J71" s="123"/>
      <c r="K71" s="123"/>
      <c r="L71" s="123"/>
      <c r="M71" s="123"/>
      <c r="N71" s="123"/>
      <c r="O71" s="123"/>
      <c r="P71" s="123"/>
      <c r="Q71" s="123"/>
      <c r="R71" s="124"/>
      <c r="S71" s="124"/>
      <c r="T71" s="123"/>
      <c r="U71" s="123"/>
      <c r="V71" s="123"/>
      <c r="W71" s="123"/>
      <c r="X71" s="123"/>
      <c r="Y71" s="123"/>
      <c r="Z71" s="123"/>
      <c r="AA71" s="123"/>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row>
    <row r="72" spans="3:167">
      <c r="C72" s="123"/>
      <c r="D72" s="120"/>
      <c r="E72" s="123"/>
      <c r="F72" s="123"/>
      <c r="G72" s="123"/>
      <c r="H72" s="123"/>
      <c r="I72" s="123"/>
      <c r="J72" s="123"/>
      <c r="K72" s="123"/>
      <c r="L72" s="123"/>
      <c r="M72" s="123"/>
      <c r="N72" s="123"/>
      <c r="O72" s="123"/>
      <c r="P72" s="123"/>
      <c r="Q72" s="123"/>
      <c r="R72" s="124"/>
      <c r="S72" s="124"/>
      <c r="T72" s="123"/>
      <c r="U72" s="123"/>
      <c r="V72" s="123"/>
      <c r="W72" s="123"/>
      <c r="X72" s="123"/>
      <c r="Y72" s="123"/>
      <c r="Z72" s="123"/>
      <c r="AA72" s="123"/>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row>
    <row r="73" spans="3:167">
      <c r="C73" s="123"/>
      <c r="D73" s="120"/>
      <c r="E73" s="123"/>
      <c r="F73" s="123"/>
      <c r="G73" s="123"/>
      <c r="H73" s="123"/>
      <c r="I73" s="123"/>
      <c r="J73" s="123"/>
      <c r="K73" s="123"/>
      <c r="L73" s="123"/>
      <c r="M73" s="123"/>
      <c r="N73" s="123"/>
      <c r="O73" s="123"/>
      <c r="P73" s="123"/>
      <c r="Q73" s="123"/>
      <c r="R73" s="124"/>
      <c r="S73" s="124"/>
      <c r="T73" s="123"/>
      <c r="U73" s="123"/>
      <c r="V73" s="123"/>
      <c r="W73" s="123"/>
      <c r="X73" s="123"/>
      <c r="Y73" s="123"/>
      <c r="Z73" s="123"/>
      <c r="AA73" s="123"/>
    </row>
    <row r="74" spans="3:167">
      <c r="C74" s="123"/>
      <c r="D74" s="120"/>
      <c r="E74" s="123"/>
      <c r="F74" s="123"/>
      <c r="G74" s="123"/>
      <c r="H74" s="123"/>
      <c r="I74" s="123"/>
      <c r="J74" s="123"/>
      <c r="K74" s="123"/>
      <c r="L74" s="123"/>
      <c r="M74" s="123"/>
      <c r="N74" s="123"/>
      <c r="O74" s="123"/>
      <c r="P74" s="123"/>
      <c r="Q74" s="123"/>
      <c r="R74" s="124"/>
      <c r="S74" s="124"/>
      <c r="T74" s="123"/>
      <c r="U74" s="123"/>
      <c r="V74" s="123"/>
      <c r="W74" s="123"/>
      <c r="X74" s="123"/>
      <c r="Y74" s="123"/>
      <c r="Z74" s="123"/>
      <c r="AA74" s="123"/>
    </row>
    <row r="75" spans="3:167">
      <c r="C75" s="123"/>
      <c r="D75" s="120"/>
      <c r="E75" s="123"/>
      <c r="F75" s="123"/>
      <c r="G75" s="123"/>
      <c r="H75" s="123"/>
      <c r="I75" s="123"/>
      <c r="J75" s="123"/>
      <c r="K75" s="123"/>
      <c r="L75" s="123"/>
      <c r="M75" s="123"/>
      <c r="N75" s="123"/>
      <c r="O75" s="123"/>
      <c r="P75" s="123"/>
      <c r="Q75" s="123"/>
      <c r="R75" s="124"/>
      <c r="S75" s="124"/>
      <c r="T75" s="123"/>
      <c r="U75" s="123"/>
      <c r="V75" s="123"/>
      <c r="W75" s="123"/>
      <c r="X75" s="123"/>
      <c r="Y75" s="123"/>
      <c r="Z75" s="123"/>
      <c r="AA75" s="123"/>
    </row>
    <row r="76" spans="3:167">
      <c r="C76" s="123"/>
      <c r="D76" s="120"/>
      <c r="E76" s="123"/>
      <c r="F76" s="123"/>
      <c r="G76" s="123"/>
      <c r="H76" s="123"/>
      <c r="I76" s="123"/>
      <c r="J76" s="123"/>
      <c r="K76" s="123"/>
      <c r="L76" s="123"/>
      <c r="M76" s="123"/>
      <c r="N76" s="123"/>
      <c r="O76" s="123"/>
      <c r="P76" s="123"/>
      <c r="Q76" s="123"/>
      <c r="R76" s="124"/>
      <c r="S76" s="124"/>
      <c r="T76" s="123"/>
      <c r="U76" s="123"/>
      <c r="V76" s="123"/>
      <c r="W76" s="123"/>
      <c r="X76" s="123"/>
      <c r="Y76" s="123"/>
      <c r="Z76" s="123"/>
      <c r="AA76" s="123"/>
    </row>
    <row r="77" spans="3:167">
      <c r="C77" s="123"/>
      <c r="D77" s="120"/>
      <c r="E77" s="123"/>
      <c r="F77" s="123"/>
      <c r="G77" s="123"/>
      <c r="H77" s="123"/>
      <c r="I77" s="123"/>
      <c r="J77" s="123"/>
      <c r="K77" s="123"/>
      <c r="L77" s="123"/>
      <c r="M77" s="123"/>
      <c r="N77" s="123"/>
      <c r="O77" s="123"/>
      <c r="P77" s="123"/>
      <c r="Q77" s="123"/>
      <c r="R77" s="124"/>
      <c r="S77" s="124"/>
      <c r="T77" s="123"/>
      <c r="U77" s="123"/>
      <c r="V77" s="123"/>
      <c r="W77" s="123"/>
      <c r="X77" s="123"/>
      <c r="Y77" s="123"/>
      <c r="Z77" s="123"/>
      <c r="AA77" s="123"/>
    </row>
    <row r="78" spans="3:167">
      <c r="C78" s="123"/>
      <c r="D78" s="120"/>
      <c r="E78" s="123"/>
      <c r="F78" s="123"/>
      <c r="G78" s="123"/>
      <c r="H78" s="123"/>
      <c r="I78" s="123"/>
      <c r="J78" s="123"/>
      <c r="K78" s="123"/>
      <c r="L78" s="123"/>
      <c r="M78" s="123"/>
      <c r="N78" s="123"/>
      <c r="O78" s="123"/>
      <c r="P78" s="123"/>
      <c r="Q78" s="123"/>
      <c r="R78" s="124"/>
      <c r="S78" s="124"/>
      <c r="T78" s="123"/>
      <c r="U78" s="123"/>
      <c r="V78" s="123"/>
      <c r="W78" s="123"/>
      <c r="X78" s="123"/>
      <c r="Y78" s="123"/>
      <c r="Z78" s="123"/>
      <c r="AA78" s="123"/>
    </row>
    <row r="79" spans="3:167">
      <c r="C79" s="123"/>
      <c r="D79" s="120"/>
      <c r="E79" s="123"/>
      <c r="F79" s="123"/>
      <c r="G79" s="123"/>
      <c r="H79" s="123"/>
      <c r="I79" s="123"/>
      <c r="J79" s="123"/>
      <c r="K79" s="123"/>
      <c r="L79" s="123"/>
      <c r="M79" s="123"/>
      <c r="N79" s="123"/>
      <c r="O79" s="123"/>
      <c r="P79" s="123"/>
      <c r="Q79" s="123"/>
      <c r="R79" s="124"/>
      <c r="S79" s="124"/>
      <c r="T79" s="123"/>
      <c r="U79" s="123"/>
      <c r="V79" s="123"/>
      <c r="W79" s="123"/>
      <c r="X79" s="123"/>
      <c r="Y79" s="123"/>
      <c r="Z79" s="123"/>
      <c r="AA79" s="123"/>
    </row>
    <row r="80" spans="3:167">
      <c r="C80" s="123"/>
      <c r="D80" s="120"/>
      <c r="E80" s="123"/>
      <c r="F80" s="123"/>
      <c r="G80" s="123"/>
      <c r="H80" s="123"/>
      <c r="I80" s="123"/>
      <c r="J80" s="123"/>
      <c r="K80" s="123"/>
      <c r="L80" s="123"/>
      <c r="M80" s="123"/>
      <c r="N80" s="123"/>
      <c r="O80" s="123"/>
      <c r="P80" s="123"/>
      <c r="Q80" s="123"/>
      <c r="R80" s="124"/>
      <c r="S80" s="124"/>
      <c r="T80" s="123"/>
      <c r="U80" s="123"/>
      <c r="V80" s="123"/>
      <c r="W80" s="123"/>
      <c r="X80" s="123"/>
      <c r="Y80" s="123"/>
      <c r="Z80" s="123"/>
      <c r="AA80" s="123"/>
    </row>
    <row r="81" spans="3:27">
      <c r="C81" s="123"/>
      <c r="D81" s="120"/>
      <c r="E81" s="123"/>
      <c r="F81" s="123"/>
      <c r="G81" s="123"/>
      <c r="H81" s="123"/>
      <c r="I81" s="123"/>
      <c r="J81" s="123"/>
      <c r="K81" s="123"/>
      <c r="L81" s="123"/>
      <c r="M81" s="123"/>
      <c r="N81" s="123"/>
      <c r="O81" s="123"/>
      <c r="P81" s="123"/>
      <c r="Q81" s="123"/>
      <c r="R81" s="124"/>
      <c r="S81" s="124"/>
      <c r="T81" s="123"/>
      <c r="U81" s="123"/>
      <c r="V81" s="123"/>
      <c r="W81" s="123"/>
      <c r="X81" s="123"/>
      <c r="Y81" s="123"/>
      <c r="Z81" s="123"/>
      <c r="AA81" s="123"/>
    </row>
    <row r="82" spans="3:27">
      <c r="C82" s="123"/>
      <c r="D82" s="120"/>
      <c r="E82" s="123"/>
      <c r="F82" s="123"/>
      <c r="G82" s="123"/>
      <c r="H82" s="123"/>
      <c r="I82" s="123"/>
      <c r="J82" s="123"/>
      <c r="K82" s="123"/>
      <c r="L82" s="123"/>
      <c r="M82" s="123"/>
      <c r="N82" s="123"/>
      <c r="O82" s="123"/>
      <c r="P82" s="123"/>
      <c r="Q82" s="123"/>
      <c r="R82" s="124"/>
      <c r="S82" s="124"/>
      <c r="T82" s="123"/>
      <c r="U82" s="123"/>
      <c r="V82" s="123"/>
      <c r="W82" s="123"/>
      <c r="X82" s="123"/>
      <c r="Y82" s="123"/>
      <c r="Z82" s="123"/>
      <c r="AA82" s="123"/>
    </row>
    <row r="83" spans="3:27">
      <c r="C83" s="123"/>
      <c r="D83" s="120"/>
      <c r="E83" s="123"/>
      <c r="F83" s="123"/>
      <c r="G83" s="123"/>
      <c r="H83" s="123"/>
      <c r="I83" s="123"/>
      <c r="J83" s="123"/>
      <c r="K83" s="123"/>
      <c r="L83" s="123"/>
      <c r="M83" s="123"/>
      <c r="N83" s="123"/>
      <c r="O83" s="123"/>
      <c r="P83" s="123"/>
      <c r="Q83" s="123"/>
      <c r="R83" s="124"/>
      <c r="S83" s="124"/>
      <c r="T83" s="123"/>
      <c r="U83" s="123"/>
      <c r="V83" s="123"/>
      <c r="W83" s="123"/>
      <c r="X83" s="123"/>
      <c r="Y83" s="123"/>
      <c r="Z83" s="123"/>
      <c r="AA83" s="123"/>
    </row>
    <row r="84" spans="3:27">
      <c r="C84" s="123"/>
      <c r="D84" s="120"/>
      <c r="E84" s="123"/>
      <c r="F84" s="120"/>
      <c r="G84" s="123"/>
      <c r="H84" s="120"/>
      <c r="I84" s="123"/>
      <c r="J84" s="123"/>
      <c r="K84" s="123"/>
      <c r="L84" s="123"/>
      <c r="M84" s="123"/>
      <c r="N84" s="123"/>
      <c r="O84" s="123"/>
      <c r="P84" s="123"/>
      <c r="Q84" s="123"/>
      <c r="R84" s="124"/>
      <c r="S84" s="124"/>
      <c r="T84" s="123"/>
      <c r="U84" s="123"/>
      <c r="V84" s="123"/>
      <c r="W84" s="123"/>
      <c r="X84" s="123"/>
      <c r="Y84" s="123"/>
      <c r="Z84" s="123"/>
      <c r="AA84" s="123"/>
    </row>
    <row r="85" spans="3:27">
      <c r="C85" s="120"/>
      <c r="D85" s="120"/>
      <c r="E85" s="123"/>
      <c r="F85" s="123"/>
      <c r="G85" s="123"/>
      <c r="H85" s="123"/>
      <c r="I85" s="123"/>
      <c r="J85" s="123"/>
      <c r="K85" s="123"/>
      <c r="L85" s="123"/>
      <c r="M85" s="123"/>
      <c r="N85" s="123"/>
      <c r="O85" s="123"/>
      <c r="P85" s="123"/>
      <c r="Q85" s="123"/>
      <c r="R85" s="123"/>
      <c r="S85" s="123"/>
      <c r="T85" s="123"/>
      <c r="U85" s="123"/>
      <c r="V85" s="123"/>
      <c r="W85" s="123"/>
      <c r="X85" s="123"/>
      <c r="Y85" s="123"/>
      <c r="Z85" s="123"/>
      <c r="AA85" s="123"/>
    </row>
    <row r="86" spans="3:27">
      <c r="C86" s="120"/>
      <c r="D86" s="120"/>
      <c r="E86" s="123"/>
      <c r="F86" s="123"/>
      <c r="G86" s="123"/>
      <c r="H86" s="123"/>
      <c r="I86" s="123"/>
      <c r="J86" s="123"/>
      <c r="K86" s="123"/>
      <c r="L86" s="123"/>
      <c r="M86" s="123"/>
      <c r="N86" s="123"/>
      <c r="O86" s="123"/>
      <c r="P86" s="123"/>
      <c r="Q86" s="123"/>
      <c r="R86" s="123"/>
      <c r="S86" s="123"/>
      <c r="T86" s="123"/>
      <c r="U86" s="123"/>
      <c r="V86" s="123"/>
      <c r="W86" s="123"/>
      <c r="X86" s="123"/>
      <c r="Y86" s="123"/>
      <c r="Z86" s="123"/>
      <c r="AA86" s="123"/>
    </row>
    <row r="87" spans="3:27">
      <c r="C87" s="120"/>
      <c r="D87" s="120"/>
      <c r="E87" s="123"/>
      <c r="F87" s="123"/>
      <c r="G87" s="123"/>
      <c r="H87" s="123"/>
      <c r="I87" s="123"/>
      <c r="J87" s="123"/>
      <c r="K87" s="123"/>
      <c r="L87" s="123"/>
      <c r="M87" s="123"/>
      <c r="N87" s="123"/>
      <c r="O87" s="123"/>
      <c r="P87" s="123"/>
      <c r="Q87" s="123"/>
      <c r="R87" s="123"/>
      <c r="S87" s="123"/>
      <c r="T87" s="123"/>
      <c r="U87" s="123"/>
      <c r="V87" s="123"/>
      <c r="W87" s="123"/>
      <c r="X87" s="123"/>
      <c r="Y87" s="123"/>
      <c r="Z87" s="123"/>
      <c r="AA87" s="123"/>
    </row>
    <row r="88" spans="3:27">
      <c r="C88" s="120"/>
      <c r="D88" s="120"/>
      <c r="E88" s="123"/>
      <c r="F88" s="123"/>
      <c r="G88" s="123"/>
      <c r="H88" s="123"/>
      <c r="I88" s="123"/>
      <c r="J88" s="123"/>
      <c r="K88" s="123"/>
      <c r="L88" s="123"/>
      <c r="M88" s="123"/>
      <c r="N88" s="123"/>
      <c r="O88" s="123"/>
      <c r="P88" s="123"/>
      <c r="Q88" s="123"/>
      <c r="R88" s="123"/>
      <c r="S88" s="123"/>
      <c r="T88" s="123"/>
      <c r="U88" s="123"/>
      <c r="V88" s="123"/>
      <c r="W88" s="123"/>
      <c r="X88" s="123"/>
      <c r="Y88" s="123"/>
      <c r="Z88" s="123"/>
      <c r="AA88" s="123"/>
    </row>
    <row r="89" spans="3:27">
      <c r="C89" s="120"/>
      <c r="D89" s="120"/>
      <c r="E89" s="123"/>
      <c r="F89" s="123"/>
      <c r="G89" s="123"/>
      <c r="H89" s="123"/>
      <c r="I89" s="123"/>
      <c r="J89" s="123"/>
      <c r="K89" s="123"/>
      <c r="L89" s="123"/>
      <c r="M89" s="123"/>
      <c r="N89" s="123"/>
      <c r="O89" s="123"/>
      <c r="P89" s="123"/>
      <c r="Q89" s="123"/>
      <c r="R89" s="123"/>
      <c r="S89" s="123"/>
      <c r="T89" s="123"/>
      <c r="U89" s="123"/>
      <c r="V89" s="123"/>
      <c r="W89" s="123"/>
      <c r="X89" s="123"/>
      <c r="Y89" s="123"/>
      <c r="Z89" s="123"/>
      <c r="AA89" s="123"/>
    </row>
    <row r="90" spans="3:27">
      <c r="C90" s="120"/>
      <c r="D90" s="120"/>
      <c r="E90" s="123"/>
      <c r="F90" s="123"/>
      <c r="G90" s="123"/>
      <c r="H90" s="123"/>
      <c r="I90" s="123"/>
      <c r="J90" s="123"/>
      <c r="K90" s="123"/>
      <c r="L90" s="123"/>
      <c r="M90" s="123"/>
      <c r="N90" s="123"/>
      <c r="O90" s="123"/>
      <c r="P90" s="123"/>
      <c r="Q90" s="123"/>
      <c r="R90" s="123"/>
      <c r="S90" s="123"/>
      <c r="T90" s="123"/>
      <c r="U90" s="123"/>
      <c r="V90" s="123"/>
      <c r="W90" s="123"/>
      <c r="X90" s="123"/>
      <c r="Y90" s="123"/>
      <c r="Z90" s="123"/>
      <c r="AA90" s="123"/>
    </row>
    <row r="91" spans="3:27">
      <c r="C91" s="120"/>
      <c r="D91" s="120"/>
      <c r="E91" s="123"/>
      <c r="F91" s="123"/>
      <c r="G91" s="123"/>
      <c r="H91" s="123"/>
      <c r="I91" s="123"/>
      <c r="J91" s="123"/>
      <c r="K91" s="123"/>
      <c r="L91" s="123"/>
      <c r="M91" s="123"/>
      <c r="N91" s="123"/>
      <c r="O91" s="123"/>
      <c r="P91" s="123"/>
      <c r="Q91" s="123"/>
      <c r="R91" s="123"/>
      <c r="S91" s="123"/>
      <c r="T91" s="123"/>
      <c r="U91" s="123"/>
      <c r="V91" s="123"/>
      <c r="W91" s="123"/>
      <c r="X91" s="123"/>
      <c r="Y91" s="123"/>
      <c r="Z91" s="123"/>
      <c r="AA91" s="123"/>
    </row>
    <row r="92" spans="3:27">
      <c r="C92" s="120"/>
      <c r="D92" s="120"/>
      <c r="E92" s="123"/>
      <c r="F92" s="123"/>
      <c r="G92" s="123"/>
      <c r="H92" s="123"/>
      <c r="I92" s="123"/>
      <c r="J92" s="123"/>
      <c r="K92" s="123"/>
      <c r="L92" s="123"/>
      <c r="M92" s="123"/>
      <c r="N92" s="123"/>
      <c r="O92" s="123"/>
      <c r="P92" s="123"/>
      <c r="Q92" s="123"/>
      <c r="R92" s="123"/>
      <c r="S92" s="123"/>
      <c r="T92" s="123"/>
      <c r="U92" s="123"/>
      <c r="V92" s="123"/>
      <c r="W92" s="123"/>
      <c r="X92" s="123"/>
      <c r="Y92" s="123"/>
      <c r="Z92" s="123"/>
      <c r="AA92" s="123"/>
    </row>
    <row r="93" spans="3:27">
      <c r="C93" s="120"/>
      <c r="D93" s="120"/>
      <c r="E93" s="123"/>
      <c r="F93" s="123"/>
      <c r="G93" s="123"/>
      <c r="H93" s="123"/>
      <c r="I93" s="123"/>
      <c r="J93" s="123"/>
      <c r="K93" s="123"/>
      <c r="L93" s="123"/>
      <c r="M93" s="123"/>
      <c r="N93" s="123"/>
      <c r="O93" s="123"/>
      <c r="P93" s="123"/>
      <c r="Q93" s="123"/>
      <c r="R93" s="123"/>
      <c r="S93" s="123"/>
      <c r="T93" s="123"/>
      <c r="U93" s="123"/>
      <c r="V93" s="123"/>
      <c r="W93" s="123"/>
      <c r="X93" s="123"/>
      <c r="Y93" s="123"/>
      <c r="Z93" s="123"/>
      <c r="AA93" s="123"/>
    </row>
    <row r="94" spans="3:27">
      <c r="C94" s="120"/>
      <c r="D94" s="120"/>
      <c r="E94" s="123"/>
      <c r="F94" s="123"/>
      <c r="G94" s="123"/>
      <c r="H94" s="123"/>
      <c r="I94" s="123"/>
      <c r="J94" s="123"/>
      <c r="K94" s="123"/>
      <c r="L94" s="123"/>
      <c r="M94" s="123"/>
      <c r="N94" s="123"/>
      <c r="O94" s="123"/>
      <c r="P94" s="123"/>
      <c r="Q94" s="123"/>
      <c r="R94" s="123"/>
      <c r="S94" s="123"/>
      <c r="T94" s="123"/>
      <c r="U94" s="123"/>
      <c r="V94" s="123"/>
      <c r="W94" s="123"/>
      <c r="X94" s="123"/>
      <c r="Y94" s="123"/>
      <c r="Z94" s="123"/>
      <c r="AA94" s="123"/>
    </row>
    <row r="95" spans="3:27">
      <c r="C95" s="120"/>
      <c r="D95" s="120"/>
      <c r="E95" s="123"/>
      <c r="F95" s="123"/>
      <c r="G95" s="123"/>
      <c r="H95" s="123"/>
      <c r="I95" s="123"/>
      <c r="J95" s="123"/>
      <c r="K95" s="123"/>
      <c r="L95" s="123"/>
      <c r="M95" s="123"/>
      <c r="N95" s="123"/>
      <c r="O95" s="123"/>
      <c r="P95" s="123"/>
      <c r="Q95" s="123"/>
      <c r="R95" s="123"/>
      <c r="S95" s="123"/>
      <c r="T95" s="123"/>
      <c r="U95" s="123"/>
      <c r="V95" s="123"/>
      <c r="W95" s="123"/>
      <c r="X95" s="123"/>
      <c r="Y95" s="123"/>
      <c r="Z95" s="123"/>
      <c r="AA95" s="123"/>
    </row>
    <row r="96" spans="3:27">
      <c r="C96" s="120"/>
      <c r="D96" s="120"/>
      <c r="E96" s="123"/>
      <c r="F96" s="123"/>
      <c r="G96" s="123"/>
      <c r="H96" s="123"/>
      <c r="I96" s="123"/>
      <c r="J96" s="123"/>
      <c r="K96" s="123"/>
      <c r="L96" s="123"/>
      <c r="M96" s="123"/>
      <c r="N96" s="123"/>
      <c r="O96" s="123"/>
      <c r="P96" s="123"/>
      <c r="Q96" s="123"/>
      <c r="R96" s="123"/>
      <c r="S96" s="123"/>
      <c r="T96" s="123"/>
      <c r="U96" s="123"/>
      <c r="V96" s="123"/>
      <c r="W96" s="123"/>
      <c r="X96" s="123"/>
      <c r="Y96" s="123"/>
      <c r="Z96" s="123"/>
      <c r="AA96" s="123"/>
    </row>
    <row r="97" spans="3:27">
      <c r="C97" s="120"/>
      <c r="D97" s="120"/>
      <c r="E97" s="123"/>
      <c r="F97" s="123"/>
      <c r="G97" s="123"/>
      <c r="H97" s="123"/>
      <c r="I97" s="123"/>
      <c r="J97" s="123"/>
      <c r="K97" s="123"/>
      <c r="L97" s="123"/>
      <c r="M97" s="123"/>
      <c r="N97" s="123"/>
      <c r="O97" s="123"/>
      <c r="P97" s="123"/>
      <c r="Q97" s="123"/>
      <c r="R97" s="123"/>
      <c r="S97" s="123"/>
      <c r="T97" s="123"/>
      <c r="U97" s="123"/>
      <c r="V97" s="123"/>
      <c r="W97" s="123"/>
      <c r="X97" s="123"/>
      <c r="Y97" s="123"/>
      <c r="Z97" s="123"/>
      <c r="AA97" s="123"/>
    </row>
    <row r="98" spans="3:27">
      <c r="C98" s="129"/>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row>
    <row r="99" spans="3:27">
      <c r="C99" s="129"/>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row>
    <row r="100" spans="3:27">
      <c r="C100" s="123"/>
      <c r="D100" s="120"/>
      <c r="E100" s="123"/>
      <c r="F100" s="123"/>
      <c r="G100" s="123"/>
      <c r="H100" s="123"/>
      <c r="I100" s="123"/>
      <c r="J100" s="123"/>
      <c r="K100" s="123"/>
      <c r="L100" s="123"/>
      <c r="M100" s="123"/>
      <c r="N100" s="123"/>
      <c r="O100" s="123"/>
      <c r="P100" s="123"/>
      <c r="Q100" s="123"/>
      <c r="R100" s="124"/>
      <c r="S100" s="124"/>
      <c r="T100" s="123"/>
      <c r="U100" s="123"/>
      <c r="V100" s="123"/>
      <c r="W100" s="123"/>
      <c r="X100" s="123"/>
      <c r="Y100" s="123"/>
      <c r="Z100" s="123"/>
      <c r="AA100" s="123"/>
    </row>
    <row r="101" spans="3:27">
      <c r="C101" s="123"/>
      <c r="D101" s="120"/>
      <c r="E101" s="123"/>
      <c r="F101" s="123"/>
      <c r="G101" s="123"/>
      <c r="H101" s="123"/>
      <c r="I101" s="123"/>
      <c r="J101" s="123"/>
      <c r="K101" s="123"/>
      <c r="L101" s="123"/>
      <c r="M101" s="123"/>
      <c r="N101" s="123"/>
      <c r="O101" s="123"/>
      <c r="P101" s="123"/>
      <c r="Q101" s="123"/>
      <c r="R101" s="124"/>
      <c r="S101" s="124"/>
      <c r="T101" s="123"/>
      <c r="U101" s="123"/>
      <c r="V101" s="123"/>
      <c r="W101" s="123"/>
      <c r="X101" s="123"/>
      <c r="Y101" s="123"/>
      <c r="Z101" s="123"/>
      <c r="AA101" s="123"/>
    </row>
    <row r="102" spans="3:27">
      <c r="C102" s="123"/>
      <c r="D102" s="120"/>
      <c r="E102" s="123"/>
      <c r="F102" s="123"/>
      <c r="G102" s="123"/>
      <c r="H102" s="123"/>
      <c r="I102" s="123"/>
      <c r="J102" s="123"/>
      <c r="K102" s="123"/>
      <c r="L102" s="123"/>
      <c r="M102" s="123"/>
      <c r="N102" s="123"/>
      <c r="O102" s="123"/>
      <c r="P102" s="123"/>
      <c r="Q102" s="123"/>
      <c r="R102" s="124"/>
      <c r="S102" s="124"/>
      <c r="T102" s="123"/>
      <c r="U102" s="123"/>
      <c r="V102" s="123"/>
      <c r="W102" s="123"/>
      <c r="X102" s="123"/>
      <c r="Y102" s="123"/>
      <c r="Z102" s="123"/>
      <c r="AA102" s="123"/>
    </row>
    <row r="103" spans="3:27">
      <c r="C103" s="123"/>
      <c r="D103" s="120"/>
      <c r="E103" s="123"/>
      <c r="F103" s="123"/>
      <c r="G103" s="123"/>
      <c r="H103" s="123"/>
      <c r="I103" s="123"/>
      <c r="J103" s="123"/>
      <c r="K103" s="123"/>
      <c r="L103" s="123"/>
      <c r="M103" s="123"/>
      <c r="N103" s="123"/>
      <c r="O103" s="123"/>
      <c r="P103" s="123"/>
      <c r="Q103" s="123"/>
      <c r="R103" s="124"/>
      <c r="S103" s="124"/>
      <c r="T103" s="123"/>
      <c r="U103" s="123"/>
      <c r="V103" s="123"/>
      <c r="W103" s="123"/>
      <c r="X103" s="123"/>
      <c r="Y103" s="123"/>
      <c r="Z103" s="123"/>
      <c r="AA103" s="123"/>
    </row>
    <row r="104" spans="3:27">
      <c r="C104" s="123"/>
      <c r="D104" s="120"/>
      <c r="E104" s="123"/>
      <c r="F104" s="123"/>
      <c r="G104" s="123"/>
      <c r="H104" s="123"/>
      <c r="I104" s="123"/>
      <c r="J104" s="123"/>
      <c r="K104" s="123"/>
      <c r="L104" s="123"/>
      <c r="M104" s="123"/>
      <c r="N104" s="123"/>
      <c r="O104" s="123"/>
      <c r="P104" s="123"/>
      <c r="Q104" s="123"/>
      <c r="R104" s="124"/>
      <c r="S104" s="124"/>
      <c r="T104" s="123"/>
      <c r="U104" s="123"/>
      <c r="V104" s="123"/>
      <c r="W104" s="123"/>
      <c r="X104" s="123"/>
      <c r="Y104" s="123"/>
      <c r="Z104" s="123"/>
      <c r="AA104" s="123"/>
    </row>
    <row r="105" spans="3:27">
      <c r="C105" s="123"/>
      <c r="D105" s="120"/>
      <c r="E105" s="123"/>
      <c r="F105" s="123"/>
      <c r="G105" s="123"/>
      <c r="H105" s="123"/>
      <c r="I105" s="123"/>
      <c r="J105" s="123"/>
      <c r="K105" s="123"/>
      <c r="L105" s="123"/>
      <c r="M105" s="123"/>
      <c r="N105" s="123"/>
      <c r="O105" s="123"/>
      <c r="P105" s="123"/>
      <c r="Q105" s="123"/>
      <c r="R105" s="124"/>
      <c r="S105" s="124"/>
      <c r="T105" s="123"/>
      <c r="U105" s="123"/>
      <c r="V105" s="123"/>
      <c r="W105" s="123"/>
      <c r="X105" s="123"/>
      <c r="Y105" s="123"/>
      <c r="Z105" s="123"/>
      <c r="AA105" s="123"/>
    </row>
    <row r="106" spans="3:27">
      <c r="C106" s="123"/>
      <c r="D106" s="120"/>
      <c r="E106" s="123"/>
      <c r="F106" s="123"/>
      <c r="G106" s="123"/>
      <c r="H106" s="123"/>
      <c r="I106" s="123"/>
      <c r="J106" s="123"/>
      <c r="K106" s="123"/>
      <c r="L106" s="123"/>
      <c r="M106" s="123"/>
      <c r="N106" s="123"/>
      <c r="O106" s="123"/>
      <c r="P106" s="123"/>
      <c r="Q106" s="123"/>
      <c r="R106" s="124"/>
      <c r="S106" s="124"/>
      <c r="T106" s="123"/>
      <c r="U106" s="123"/>
      <c r="V106" s="123"/>
      <c r="W106" s="123"/>
      <c r="X106" s="123"/>
      <c r="Y106" s="123"/>
      <c r="Z106" s="123"/>
      <c r="AA106" s="123"/>
    </row>
    <row r="107" spans="3:27">
      <c r="C107" s="123"/>
      <c r="D107" s="120"/>
      <c r="E107" s="123"/>
      <c r="F107" s="123"/>
      <c r="G107" s="123"/>
      <c r="H107" s="123"/>
      <c r="I107" s="123"/>
      <c r="J107" s="123"/>
      <c r="K107" s="123"/>
      <c r="L107" s="123"/>
      <c r="M107" s="123"/>
      <c r="N107" s="123"/>
      <c r="O107" s="123"/>
      <c r="P107" s="123"/>
      <c r="Q107" s="123"/>
      <c r="R107" s="124"/>
      <c r="S107" s="124"/>
      <c r="T107" s="123"/>
      <c r="U107" s="123"/>
      <c r="V107" s="123"/>
      <c r="W107" s="123"/>
      <c r="X107" s="123"/>
      <c r="Y107" s="123"/>
      <c r="Z107" s="123"/>
      <c r="AA107"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15.xml><?xml version="1.0" encoding="utf-8"?>
<worksheet xmlns="http://schemas.openxmlformats.org/spreadsheetml/2006/main" xmlns:r="http://schemas.openxmlformats.org/officeDocument/2006/relationships">
  <dimension ref="A1:AF77"/>
  <sheetViews>
    <sheetView zoomScale="75" workbookViewId="0">
      <selection activeCell="B73" sqref="B73"/>
    </sheetView>
  </sheetViews>
  <sheetFormatPr defaultColWidth="11.42578125" defaultRowHeight="12.75"/>
  <cols>
    <col min="1" max="1" width="15.140625" customWidth="1"/>
    <col min="2" max="2" width="13.5703125" customWidth="1"/>
    <col min="3" max="3" width="33.85546875" customWidth="1"/>
    <col min="4" max="4" width="13" customWidth="1"/>
    <col min="5" max="6" width="9.7109375" bestFit="1" customWidth="1"/>
  </cols>
  <sheetData>
    <row r="1" spans="1:27" ht="18">
      <c r="A1" s="10" t="s">
        <v>609</v>
      </c>
    </row>
    <row r="2" spans="1:27" ht="18">
      <c r="A2" s="10"/>
      <c r="D2" s="245"/>
    </row>
    <row r="3" spans="1:27">
      <c r="B3" s="16"/>
      <c r="C3" s="17"/>
      <c r="D3" s="245"/>
      <c r="O3" s="18">
        <v>1</v>
      </c>
      <c r="P3" t="s">
        <v>666</v>
      </c>
      <c r="Z3" s="463">
        <v>0</v>
      </c>
      <c r="AA3" s="463">
        <v>1</v>
      </c>
    </row>
    <row r="4" spans="1:27" ht="18">
      <c r="B4" s="131" t="s">
        <v>594</v>
      </c>
      <c r="C4" s="98"/>
      <c r="D4" s="252" t="str">
        <f>"~FI_T: "&amp;Region</f>
        <v>~FI_T: FIN</v>
      </c>
      <c r="E4" s="4" t="s">
        <v>250</v>
      </c>
      <c r="R4" s="4"/>
      <c r="S4" s="4"/>
    </row>
    <row r="5" spans="1:27" ht="39" thickBot="1">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981</v>
      </c>
      <c r="U5" s="52" t="s">
        <v>537</v>
      </c>
      <c r="V5" s="52" t="s">
        <v>778</v>
      </c>
      <c r="W5" s="257" t="s">
        <v>381</v>
      </c>
      <c r="Y5" s="427" t="s">
        <v>993</v>
      </c>
      <c r="Z5" s="427" t="s">
        <v>997</v>
      </c>
      <c r="AA5" s="427" t="s">
        <v>998</v>
      </c>
    </row>
    <row r="6" spans="1:27" ht="14.1" customHeight="1" thickBot="1">
      <c r="B6" s="434" t="s">
        <v>999</v>
      </c>
      <c r="C6" s="190"/>
      <c r="D6" s="190"/>
      <c r="E6" s="191"/>
      <c r="F6" s="191"/>
      <c r="G6" s="191"/>
      <c r="H6" s="191"/>
      <c r="I6" s="190"/>
      <c r="J6" s="193"/>
      <c r="K6" s="191"/>
      <c r="L6" s="190"/>
      <c r="M6" s="190"/>
      <c r="N6" s="191"/>
      <c r="O6" s="192"/>
      <c r="P6" s="190"/>
      <c r="Q6" s="190"/>
      <c r="R6" s="192"/>
      <c r="S6" s="190"/>
      <c r="T6" s="190"/>
      <c r="U6" s="190"/>
      <c r="V6" s="190"/>
      <c r="W6" s="257"/>
      <c r="Y6" s="190"/>
      <c r="Z6" s="190"/>
      <c r="AA6" s="190"/>
    </row>
    <row r="7" spans="1:27" ht="14.1" customHeight="1">
      <c r="B7" s="76" t="s">
        <v>624</v>
      </c>
      <c r="C7" s="378" t="s">
        <v>548</v>
      </c>
      <c r="D7" s="84" t="s">
        <v>837</v>
      </c>
      <c r="E7" s="33">
        <f ca="1">Z7*IEAData!$E$88</f>
        <v>3.2871885634114109</v>
      </c>
      <c r="F7" s="33">
        <f ca="1">AA7*AuxData!$E$88</f>
        <v>2.6596316427478848</v>
      </c>
      <c r="G7" s="40">
        <v>1</v>
      </c>
      <c r="H7" s="343" t="str">
        <f ca="1">RIGHT(D7,3)</f>
        <v>ELC</v>
      </c>
      <c r="I7" s="81">
        <v>1</v>
      </c>
      <c r="J7" s="366">
        <f>G7*I7</f>
        <v>1</v>
      </c>
      <c r="K7" s="420">
        <f ca="1">F7*J7</f>
        <v>2.6596316427478848</v>
      </c>
      <c r="L7" s="497">
        <v>1</v>
      </c>
      <c r="M7" s="358">
        <v>1</v>
      </c>
      <c r="N7" s="358">
        <v>15</v>
      </c>
      <c r="O7" s="414">
        <f ca="1">E7*J7/$M7</f>
        <v>3.2871885634114109</v>
      </c>
      <c r="P7" s="412">
        <f ca="1">F7*J7/$M7</f>
        <v>2.6596316427478848</v>
      </c>
      <c r="Q7" s="498">
        <f ca="1">0.6*P7</f>
        <v>1.5957789856487308</v>
      </c>
      <c r="R7" s="359">
        <v>0</v>
      </c>
      <c r="S7" s="40"/>
      <c r="T7" s="40"/>
      <c r="U7" s="40"/>
      <c r="V7" s="40"/>
      <c r="W7" s="258">
        <f ca="1">IF($E$9=0,0,E7/$E$9)</f>
        <v>0.78</v>
      </c>
      <c r="Y7" s="436">
        <f ca="1">IF(B6="*",MATCH(LEFT(B7,3),OFFSET(CalibData!$C$78,1,0,100),0),Y6)</f>
        <v>20</v>
      </c>
      <c r="Z7" s="361">
        <f ca="1">OFFSET(TechShar,$Y7,Z$3)</f>
        <v>0.78</v>
      </c>
      <c r="AA7" s="361">
        <f ca="1">OFFSET(TechShar,$Y7,AA$3)</f>
        <v>0.78</v>
      </c>
    </row>
    <row r="8" spans="1:27" ht="14.1" customHeight="1">
      <c r="B8" s="455" t="s">
        <v>625</v>
      </c>
      <c r="C8" s="460" t="s">
        <v>549</v>
      </c>
      <c r="D8" s="142" t="s">
        <v>837</v>
      </c>
      <c r="E8" s="456">
        <f ca="1">Z8*IEAData!$E$88</f>
        <v>0.92715574865450046</v>
      </c>
      <c r="F8" s="456">
        <f ca="1">AA8*AuxData!$E$88</f>
        <v>0.75015251462119814</v>
      </c>
      <c r="G8" s="457">
        <v>1</v>
      </c>
      <c r="H8" s="458" t="str">
        <f ca="1">RIGHT(D8,3)</f>
        <v>ELC</v>
      </c>
      <c r="I8" s="146">
        <v>1</v>
      </c>
      <c r="J8" s="499">
        <f>G8*I8</f>
        <v>1</v>
      </c>
      <c r="K8" s="458">
        <f ca="1">F8*J8</f>
        <v>0.75015251462119814</v>
      </c>
      <c r="L8" s="500">
        <v>1</v>
      </c>
      <c r="M8" s="501">
        <v>1</v>
      </c>
      <c r="N8" s="501">
        <v>15</v>
      </c>
      <c r="O8" s="502">
        <f ca="1">E8*J8/$M8</f>
        <v>0.92715574865450046</v>
      </c>
      <c r="P8" s="503">
        <f ca="1">F8*J8/$M8</f>
        <v>0.75015251462119814</v>
      </c>
      <c r="Q8" s="504">
        <f ca="1">0.6*P8</f>
        <v>0.45009150877271886</v>
      </c>
      <c r="R8" s="505">
        <v>0</v>
      </c>
      <c r="S8" s="340"/>
      <c r="T8" s="340"/>
      <c r="U8" s="340"/>
      <c r="V8" s="340"/>
      <c r="W8" s="258">
        <f ca="1">IF($E$9=0,0,E8/$E$9)</f>
        <v>0.21999999999999997</v>
      </c>
      <c r="Y8" s="436">
        <f ca="1">IF(B7="*",MATCH(LEFT(B8,3),OFFSET(CalibData!$C$78,1,0,100),0),Y7)</f>
        <v>20</v>
      </c>
      <c r="Z8" s="358">
        <f ca="1">1-Z7</f>
        <v>0.21999999999999997</v>
      </c>
      <c r="AA8" s="358">
        <f ca="1">1-AA7</f>
        <v>0.21999999999999997</v>
      </c>
    </row>
    <row r="9" spans="1:27" ht="14.1" customHeight="1">
      <c r="B9" s="451" t="s">
        <v>999</v>
      </c>
      <c r="C9" s="452"/>
      <c r="D9" s="452"/>
      <c r="E9" s="453">
        <f ca="1">SUM(E7:E8)</f>
        <v>4.2143443120659114</v>
      </c>
      <c r="F9" s="453">
        <f ca="1">SUM(F7:F8)</f>
        <v>3.4097841573690828</v>
      </c>
      <c r="G9" s="453"/>
      <c r="H9" s="506">
        <f ca="1">SUMPRODUCT(E7:E8,J7:J8)</f>
        <v>4.2143443120659114</v>
      </c>
      <c r="I9" s="452"/>
      <c r="J9" s="507"/>
      <c r="K9" s="506">
        <f ca="1">SUM(K7:K8)</f>
        <v>3.4097841573690828</v>
      </c>
      <c r="L9" s="508"/>
      <c r="M9" s="508"/>
      <c r="N9" s="506"/>
      <c r="O9" s="509">
        <f ca="1">SUM(O7:O8)</f>
        <v>4.2143443120659114</v>
      </c>
      <c r="P9" s="508"/>
      <c r="Q9" s="508"/>
      <c r="R9" s="509"/>
      <c r="S9" s="452"/>
      <c r="T9" s="452"/>
      <c r="U9" s="452"/>
      <c r="V9" s="452"/>
      <c r="W9" s="259">
        <f ca="1">SUM(W7:W8)</f>
        <v>1</v>
      </c>
      <c r="Y9" s="190"/>
      <c r="Z9" s="190"/>
      <c r="AA9" s="190"/>
    </row>
    <row r="10" spans="1:27" ht="14.1" customHeight="1">
      <c r="B10" s="455" t="s">
        <v>628</v>
      </c>
      <c r="C10" s="460" t="s">
        <v>550</v>
      </c>
      <c r="D10" s="142" t="s">
        <v>838</v>
      </c>
      <c r="E10" s="456">
        <f ca="1">IEAData!H88</f>
        <v>0.7495306264164453</v>
      </c>
      <c r="F10" s="456">
        <f ca="1">AuxData!H88</f>
        <v>0.60643779107001172</v>
      </c>
      <c r="G10" s="457">
        <v>1</v>
      </c>
      <c r="H10" s="458" t="str">
        <f ca="1">RIGHT(D10,3)</f>
        <v>ELC</v>
      </c>
      <c r="I10" s="146">
        <v>1</v>
      </c>
      <c r="J10" s="499">
        <f>G10*I10</f>
        <v>1</v>
      </c>
      <c r="K10" s="458">
        <f ca="1">F10*J10</f>
        <v>0.60643779107001172</v>
      </c>
      <c r="L10" s="500">
        <v>1</v>
      </c>
      <c r="M10" s="501">
        <v>1</v>
      </c>
      <c r="N10" s="501">
        <v>15</v>
      </c>
      <c r="O10" s="502">
        <f ca="1">E10*J10/$M10</f>
        <v>0.7495306264164453</v>
      </c>
      <c r="P10" s="503">
        <f ca="1">F10*J10/$M10</f>
        <v>0.60643779107001172</v>
      </c>
      <c r="Q10" s="504">
        <f ca="1">0.6*P10</f>
        <v>0.363862674642007</v>
      </c>
      <c r="R10" s="504">
        <v>0</v>
      </c>
      <c r="S10" s="340"/>
      <c r="T10" s="340"/>
      <c r="U10" s="340"/>
      <c r="V10" s="340"/>
      <c r="W10" s="258">
        <f ca="1">IF($E$11=0,0,E10/$E$11)</f>
        <v>1</v>
      </c>
      <c r="Y10" s="436"/>
      <c r="Z10" s="436"/>
      <c r="AA10" s="436"/>
    </row>
    <row r="11" spans="1:27" ht="14.1" customHeight="1">
      <c r="B11" s="451" t="s">
        <v>999</v>
      </c>
      <c r="C11" s="459"/>
      <c r="D11" s="452"/>
      <c r="E11" s="453">
        <f ca="1">SUM(E10:E10)</f>
        <v>0.7495306264164453</v>
      </c>
      <c r="F11" s="453">
        <f ca="1">SUM(F10:F10)</f>
        <v>0.60643779107001172</v>
      </c>
      <c r="G11" s="453"/>
      <c r="H11" s="506">
        <f ca="1">SUMPRODUCT(E10:E10,J10:J10)</f>
        <v>0.7495306264164453</v>
      </c>
      <c r="I11" s="452"/>
      <c r="J11" s="507"/>
      <c r="K11" s="506">
        <f ca="1">SUM(K10:K10)</f>
        <v>0.60643779107001172</v>
      </c>
      <c r="L11" s="508"/>
      <c r="M11" s="508"/>
      <c r="N11" s="506"/>
      <c r="O11" s="422">
        <f ca="1">SUM(O10:O10)</f>
        <v>0.7495306264164453</v>
      </c>
      <c r="P11" s="508"/>
      <c r="Q11" s="508"/>
      <c r="R11" s="509"/>
      <c r="S11" s="452"/>
      <c r="T11" s="452"/>
      <c r="U11" s="452"/>
      <c r="V11" s="452"/>
      <c r="W11" s="259">
        <f ca="1">SUM(W10)</f>
        <v>1</v>
      </c>
      <c r="Y11" s="190"/>
      <c r="Z11" s="190"/>
      <c r="AA11" s="190"/>
    </row>
    <row r="12" spans="1:27" ht="14.1" customHeight="1">
      <c r="B12" s="76" t="s">
        <v>626</v>
      </c>
      <c r="C12" s="378" t="s">
        <v>279</v>
      </c>
      <c r="D12" s="12" t="str">
        <f ca="1">IEAData!H9</f>
        <v>RESNGA</v>
      </c>
      <c r="E12" s="33">
        <f ca="1">IEAData!$F$81</f>
        <v>0</v>
      </c>
      <c r="F12" s="33">
        <f ca="1">AuxData!$F$81</f>
        <v>0</v>
      </c>
      <c r="G12" s="40">
        <v>1</v>
      </c>
      <c r="H12" s="343" t="str">
        <f ca="1">RIGHT(D12,3)</f>
        <v>NGA</v>
      </c>
      <c r="I12" s="81">
        <v>1</v>
      </c>
      <c r="J12" s="366">
        <f>G12*I12</f>
        <v>1</v>
      </c>
      <c r="K12" s="420">
        <f ca="1">F12*J12</f>
        <v>0</v>
      </c>
      <c r="L12" s="497">
        <v>1</v>
      </c>
      <c r="M12" s="358">
        <v>1</v>
      </c>
      <c r="N12" s="358">
        <v>15</v>
      </c>
      <c r="O12" s="414">
        <f ca="1">E12*J12/$M12</f>
        <v>0</v>
      </c>
      <c r="P12" s="412">
        <f ca="1">F12*J12/$M12</f>
        <v>0</v>
      </c>
      <c r="Q12" s="359">
        <f ca="1">0.6*P12</f>
        <v>0</v>
      </c>
      <c r="R12" s="359">
        <v>0</v>
      </c>
      <c r="S12" s="40"/>
      <c r="T12" s="40"/>
      <c r="U12" s="40"/>
      <c r="V12" s="40"/>
      <c r="W12" s="258">
        <f ca="1">IF($E$14=0,0,E12/$E$14)</f>
        <v>0</v>
      </c>
      <c r="Y12" s="436"/>
      <c r="Z12" s="436"/>
      <c r="AA12" s="436"/>
    </row>
    <row r="13" spans="1:27" ht="14.1" customHeight="1">
      <c r="B13" s="455" t="s">
        <v>627</v>
      </c>
      <c r="C13" s="460" t="s">
        <v>280</v>
      </c>
      <c r="D13" s="461" t="s">
        <v>838</v>
      </c>
      <c r="E13" s="456">
        <f ca="1">IEAData!$F$88</f>
        <v>0.51890581828830828</v>
      </c>
      <c r="F13" s="456">
        <f ca="1">AuxData!$F$88</f>
        <v>0.41984154766385429</v>
      </c>
      <c r="G13" s="457">
        <v>1</v>
      </c>
      <c r="H13" s="458" t="str">
        <f ca="1">RIGHT(D13,3)</f>
        <v>ELC</v>
      </c>
      <c r="I13" s="146">
        <v>1</v>
      </c>
      <c r="J13" s="499">
        <f>G13*I13</f>
        <v>1</v>
      </c>
      <c r="K13" s="458">
        <f ca="1">F13*J13</f>
        <v>0.41984154766385429</v>
      </c>
      <c r="L13" s="500">
        <v>1</v>
      </c>
      <c r="M13" s="501">
        <v>1</v>
      </c>
      <c r="N13" s="501">
        <v>15</v>
      </c>
      <c r="O13" s="502">
        <f ca="1">E13*J13/$M13</f>
        <v>0.51890581828830828</v>
      </c>
      <c r="P13" s="503">
        <f ca="1">F13*J13/$M13</f>
        <v>0.41984154766385429</v>
      </c>
      <c r="Q13" s="505">
        <f ca="1">0.6*P13</f>
        <v>0.25190492859831254</v>
      </c>
      <c r="R13" s="505">
        <v>0</v>
      </c>
      <c r="S13" s="340"/>
      <c r="T13" s="340"/>
      <c r="U13" s="340"/>
      <c r="V13" s="340"/>
      <c r="W13" s="258">
        <f ca="1">IF($E$14=0,0,E13/$E$14)</f>
        <v>1</v>
      </c>
      <c r="Y13" s="436"/>
      <c r="Z13" s="436"/>
      <c r="AA13" s="436"/>
    </row>
    <row r="14" spans="1:27" ht="14.1" customHeight="1">
      <c r="B14" s="451" t="s">
        <v>999</v>
      </c>
      <c r="C14" s="190"/>
      <c r="D14" s="452"/>
      <c r="E14" s="453">
        <f ca="1">SUM(E12:E13)</f>
        <v>0.51890581828830828</v>
      </c>
      <c r="F14" s="453">
        <f ca="1">SUM(F12:F13)</f>
        <v>0.41984154766385429</v>
      </c>
      <c r="G14" s="453"/>
      <c r="H14" s="506">
        <f ca="1">SUMPRODUCT(E12:E13,J12:J13)</f>
        <v>0.51890581828830828</v>
      </c>
      <c r="I14" s="452"/>
      <c r="J14" s="507"/>
      <c r="K14" s="506">
        <f ca="1">SUM(K12:K13)</f>
        <v>0.41984154766385429</v>
      </c>
      <c r="L14" s="508"/>
      <c r="M14" s="508"/>
      <c r="N14" s="506"/>
      <c r="O14" s="422">
        <f ca="1">SUM(O12:O13)</f>
        <v>0.51890581828830828</v>
      </c>
      <c r="P14" s="508"/>
      <c r="Q14" s="508"/>
      <c r="R14" s="509"/>
      <c r="S14" s="452"/>
      <c r="T14" s="452"/>
      <c r="U14" s="452"/>
      <c r="V14" s="452"/>
      <c r="W14" s="259">
        <f ca="1">SUM(W12:W13)</f>
        <v>1</v>
      </c>
      <c r="Y14" s="190"/>
      <c r="Z14" s="190"/>
      <c r="AA14" s="190"/>
    </row>
    <row r="15" spans="1:27" ht="14.1" customHeight="1">
      <c r="B15" s="455" t="s">
        <v>629</v>
      </c>
      <c r="C15" s="141" t="s">
        <v>355</v>
      </c>
      <c r="D15" s="142" t="s">
        <v>838</v>
      </c>
      <c r="E15" s="456">
        <f ca="1">IEAData!I88</f>
        <v>1.0666397375926335</v>
      </c>
      <c r="F15" s="456">
        <f ca="1">AuxData!I88</f>
        <v>0.86300762575347822</v>
      </c>
      <c r="G15" s="457">
        <v>1</v>
      </c>
      <c r="H15" s="458" t="str">
        <f ca="1">RIGHT(D15,3)</f>
        <v>ELC</v>
      </c>
      <c r="I15" s="146">
        <v>1</v>
      </c>
      <c r="J15" s="499">
        <f>G15*I15</f>
        <v>1</v>
      </c>
      <c r="K15" s="458">
        <f ca="1">F15*J15</f>
        <v>0.86300762575347822</v>
      </c>
      <c r="L15" s="500">
        <v>1</v>
      </c>
      <c r="M15" s="501">
        <v>1</v>
      </c>
      <c r="N15" s="501">
        <v>15</v>
      </c>
      <c r="O15" s="502">
        <f ca="1">E15*J15/$M15</f>
        <v>1.0666397375926335</v>
      </c>
      <c r="P15" s="503">
        <f ca="1">F15*J15/$M15</f>
        <v>0.86300762575347822</v>
      </c>
      <c r="Q15" s="504">
        <f ca="1">0.6*P15</f>
        <v>0.51780457545208691</v>
      </c>
      <c r="R15" s="504">
        <v>0</v>
      </c>
      <c r="S15" s="340"/>
      <c r="T15" s="340"/>
      <c r="U15" s="340"/>
      <c r="V15" s="340"/>
      <c r="W15" s="258">
        <f ca="1">IF($E$16=0,0,E15/$E$16)</f>
        <v>1</v>
      </c>
      <c r="Y15" s="436"/>
      <c r="Z15" s="436"/>
      <c r="AA15" s="436"/>
    </row>
    <row r="16" spans="1:27" ht="14.1" customHeight="1">
      <c r="B16" s="451" t="s">
        <v>999</v>
      </c>
      <c r="C16" s="190"/>
      <c r="D16" s="452"/>
      <c r="E16" s="453">
        <f ca="1">SUM(E15:E15)</f>
        <v>1.0666397375926335</v>
      </c>
      <c r="F16" s="453">
        <f ca="1">SUM(F15:F15)</f>
        <v>0.86300762575347822</v>
      </c>
      <c r="G16" s="453"/>
      <c r="H16" s="506">
        <f ca="1">SUMPRODUCT(E$15:E15,J$15:J15)</f>
        <v>1.0666397375926335</v>
      </c>
      <c r="I16" s="452"/>
      <c r="J16" s="507"/>
      <c r="K16" s="506">
        <f ca="1">SUM(K15:K15)</f>
        <v>0.86300762575347822</v>
      </c>
      <c r="L16" s="508"/>
      <c r="M16" s="508"/>
      <c r="N16" s="506"/>
      <c r="O16" s="422">
        <f ca="1">SUM(O15:O15)</f>
        <v>1.0666397375926335</v>
      </c>
      <c r="P16" s="508"/>
      <c r="Q16" s="508"/>
      <c r="R16" s="509"/>
      <c r="S16" s="452"/>
      <c r="T16" s="452"/>
      <c r="U16" s="452"/>
      <c r="V16" s="452"/>
      <c r="W16" s="259">
        <f ca="1">SUM(W15)</f>
        <v>1</v>
      </c>
      <c r="Y16" s="190"/>
      <c r="Z16" s="190"/>
      <c r="AA16" s="190"/>
    </row>
    <row r="17" spans="2:27" ht="14.1" customHeight="1">
      <c r="B17" s="455" t="s">
        <v>643</v>
      </c>
      <c r="C17" s="460" t="s">
        <v>357</v>
      </c>
      <c r="D17" s="142" t="s">
        <v>838</v>
      </c>
      <c r="E17" s="456">
        <f ca="1">IEAData!K88</f>
        <v>15.438095169424853</v>
      </c>
      <c r="F17" s="456">
        <f ca="1">AuxData!K88</f>
        <v>13.400788033743753</v>
      </c>
      <c r="G17" s="457">
        <v>1</v>
      </c>
      <c r="H17" s="458" t="str">
        <f ca="1">RIGHT(D17,3)</f>
        <v>ELC</v>
      </c>
      <c r="I17" s="146">
        <v>1</v>
      </c>
      <c r="J17" s="499">
        <f>G17*I17</f>
        <v>1</v>
      </c>
      <c r="K17" s="458">
        <f ca="1">F17*J17</f>
        <v>13.400788033743753</v>
      </c>
      <c r="L17" s="500">
        <v>1</v>
      </c>
      <c r="M17" s="501">
        <v>1</v>
      </c>
      <c r="N17" s="501">
        <v>5</v>
      </c>
      <c r="O17" s="502">
        <f ca="1">E17*J17/$M17</f>
        <v>15.438095169424853</v>
      </c>
      <c r="P17" s="503">
        <f ca="1">F17*J17/$M17</f>
        <v>13.400788033743753</v>
      </c>
      <c r="Q17" s="504">
        <f ca="1">0.6*P17</f>
        <v>8.0404728202462508</v>
      </c>
      <c r="R17" s="505">
        <v>0</v>
      </c>
      <c r="S17" s="340"/>
      <c r="T17" s="340"/>
      <c r="U17" s="340"/>
      <c r="V17" s="340"/>
      <c r="Y17" s="436"/>
      <c r="Z17" s="436"/>
      <c r="AA17" s="436"/>
    </row>
    <row r="18" spans="2:27" ht="14.1" customHeight="1">
      <c r="B18" s="451" t="s">
        <v>999</v>
      </c>
      <c r="C18" s="452"/>
      <c r="D18" s="452"/>
      <c r="E18" s="453">
        <f ca="1">SUM(E17:E17)</f>
        <v>15.438095169424853</v>
      </c>
      <c r="F18" s="453">
        <f ca="1">SUM(F17:F17)</f>
        <v>13.400788033743753</v>
      </c>
      <c r="G18" s="453"/>
      <c r="H18" s="506">
        <f ca="1">SUMPRODUCT(E$17:E17,J$17:J17)</f>
        <v>15.438095169424853</v>
      </c>
      <c r="I18" s="452"/>
      <c r="J18" s="454"/>
      <c r="K18" s="506">
        <f ca="1">SUM(K17:K17)</f>
        <v>13.400788033743753</v>
      </c>
      <c r="L18" s="452"/>
      <c r="M18" s="452"/>
      <c r="N18" s="506"/>
      <c r="O18" s="422">
        <f ca="1">SUM(O17:O17)</f>
        <v>15.438095169424853</v>
      </c>
      <c r="P18" s="508"/>
      <c r="Q18" s="508"/>
      <c r="R18" s="509"/>
      <c r="S18" s="452"/>
      <c r="T18" s="452"/>
      <c r="U18" s="452"/>
      <c r="V18" s="452"/>
      <c r="W18" s="123"/>
      <c r="Y18" s="190"/>
      <c r="Z18" s="190"/>
      <c r="AA18" s="190"/>
    </row>
    <row r="19" spans="2:27" ht="14.1" customHeight="1">
      <c r="B19" s="267" t="s">
        <v>644</v>
      </c>
      <c r="C19" s="99" t="s">
        <v>358</v>
      </c>
      <c r="D19" s="99" t="str">
        <f ca="1">IEAData!H10</f>
        <v>RESDST</v>
      </c>
      <c r="E19" s="103">
        <f ca="1">IEAData!J82</f>
        <v>0</v>
      </c>
      <c r="F19" s="103">
        <f ca="1">AuxData!J82</f>
        <v>0</v>
      </c>
      <c r="G19" s="69">
        <v>1</v>
      </c>
      <c r="H19" s="343" t="str">
        <f ca="1">RIGHT(D19,3)</f>
        <v>DST</v>
      </c>
      <c r="I19" s="81">
        <v>1</v>
      </c>
      <c r="J19" s="366">
        <f>G19*I19</f>
        <v>1</v>
      </c>
      <c r="K19" s="420">
        <f ca="1">F19*J19</f>
        <v>0</v>
      </c>
      <c r="L19" s="410">
        <v>1</v>
      </c>
      <c r="M19" s="411">
        <v>1</v>
      </c>
      <c r="N19" s="411">
        <v>10</v>
      </c>
      <c r="O19" s="414">
        <f ca="1">E19*J19/$M19</f>
        <v>0</v>
      </c>
      <c r="P19" s="412">
        <f ca="1">F19*J19/$M19</f>
        <v>0</v>
      </c>
      <c r="Q19" s="409"/>
      <c r="R19" s="413">
        <v>0</v>
      </c>
      <c r="S19" s="413"/>
      <c r="T19" s="413"/>
      <c r="U19" s="53"/>
      <c r="V19" s="53"/>
      <c r="W19" s="258">
        <f ca="1">IF($E$24=0,0,E19/$E$24)</f>
        <v>0</v>
      </c>
      <c r="X19" s="123"/>
      <c r="Y19" s="123"/>
      <c r="Z19" s="123"/>
      <c r="AA19" s="123"/>
    </row>
    <row r="20" spans="2:27" ht="14.1" customHeight="1">
      <c r="B20" s="267" t="s">
        <v>659</v>
      </c>
      <c r="C20" s="99" t="s">
        <v>366</v>
      </c>
      <c r="D20" s="99" t="str">
        <f ca="1">IEAData!H12</f>
        <v>RESKER</v>
      </c>
      <c r="E20" s="103">
        <f ca="1">IEAData!J84</f>
        <v>0</v>
      </c>
      <c r="F20" s="103">
        <f ca="1">AuxData!J84</f>
        <v>0</v>
      </c>
      <c r="G20" s="69">
        <v>1</v>
      </c>
      <c r="H20" s="343" t="str">
        <f ca="1">RIGHT(D20,3)</f>
        <v>KER</v>
      </c>
      <c r="I20" s="81">
        <v>1</v>
      </c>
      <c r="J20" s="366">
        <f>G20*I20</f>
        <v>1</v>
      </c>
      <c r="K20" s="420">
        <f ca="1">F20*J20</f>
        <v>0</v>
      </c>
      <c r="L20" s="410">
        <v>1</v>
      </c>
      <c r="M20" s="411">
        <v>1</v>
      </c>
      <c r="N20" s="411">
        <v>10</v>
      </c>
      <c r="O20" s="414">
        <f ca="1">E20*J20/$M20</f>
        <v>0</v>
      </c>
      <c r="P20" s="412">
        <f ca="1">F20*J20/$M20</f>
        <v>0</v>
      </c>
      <c r="Q20" s="409"/>
      <c r="R20" s="413">
        <v>0</v>
      </c>
      <c r="S20" s="413"/>
      <c r="T20" s="413"/>
      <c r="U20" s="53"/>
      <c r="V20" s="81"/>
      <c r="W20" s="258">
        <f ca="1">IF($E$24=0,0,E20/$E$24)</f>
        <v>0</v>
      </c>
      <c r="X20" s="123"/>
      <c r="Y20" s="123"/>
      <c r="Z20" s="123"/>
      <c r="AA20" s="123"/>
    </row>
    <row r="21" spans="2:27" ht="14.1" customHeight="1">
      <c r="B21" s="267" t="s">
        <v>660</v>
      </c>
      <c r="C21" s="99" t="s">
        <v>60</v>
      </c>
      <c r="D21" s="99" t="str">
        <f ca="1">IEAData!$H$15</f>
        <v>RESBIO</v>
      </c>
      <c r="E21" s="103">
        <f ca="1">IEAData!J87</f>
        <v>6.4089655480344234</v>
      </c>
      <c r="F21" s="103">
        <f ca="1">AuxData!J87</f>
        <v>5.9219998998592036</v>
      </c>
      <c r="G21" s="69">
        <v>0.05</v>
      </c>
      <c r="H21" s="343" t="str">
        <f ca="1">RIGHT(D21,3)</f>
        <v>BIO</v>
      </c>
      <c r="I21" s="81">
        <v>1</v>
      </c>
      <c r="J21" s="366">
        <f>G21*I21</f>
        <v>0.05</v>
      </c>
      <c r="K21" s="420">
        <f ca="1">F21*J21</f>
        <v>0.29609999499296019</v>
      </c>
      <c r="L21" s="410">
        <v>1</v>
      </c>
      <c r="M21" s="411">
        <v>0.1</v>
      </c>
      <c r="N21" s="411">
        <v>100</v>
      </c>
      <c r="O21" s="414">
        <f ca="1">E21*J21/$M21</f>
        <v>3.2044827740172122</v>
      </c>
      <c r="P21" s="412">
        <f ca="1">F21*J21/$M21</f>
        <v>2.9609999499296018</v>
      </c>
      <c r="Q21" s="409"/>
      <c r="R21" s="413"/>
      <c r="S21" s="409">
        <f ca="1">P21</f>
        <v>2.9609999499296018</v>
      </c>
      <c r="T21" s="423">
        <v>0.1</v>
      </c>
      <c r="U21" s="53"/>
      <c r="V21" s="81"/>
      <c r="W21" s="258">
        <f ca="1">IF($E$24=0,0,E21/$E$24)</f>
        <v>0.99092770064658597</v>
      </c>
      <c r="X21" s="55"/>
      <c r="Y21" s="55"/>
      <c r="Z21" s="55"/>
      <c r="AA21" s="55"/>
    </row>
    <row r="22" spans="2:27" ht="14.1" customHeight="1">
      <c r="B22" s="267" t="s">
        <v>645</v>
      </c>
      <c r="C22" s="99" t="s">
        <v>61</v>
      </c>
      <c r="D22" s="99" t="str">
        <f ca="1">IEAData!H14</f>
        <v>RESLPG</v>
      </c>
      <c r="E22" s="103">
        <f ca="1">IEAData!J86</f>
        <v>5.8676383715529239E-2</v>
      </c>
      <c r="F22" s="103">
        <f ca="1">AuxData!J86</f>
        <v>1.2980758315079943E-3</v>
      </c>
      <c r="G22" s="69">
        <v>1</v>
      </c>
      <c r="H22" s="343" t="str">
        <f ca="1">RIGHT(D22,3)</f>
        <v>LPG</v>
      </c>
      <c r="I22" s="81">
        <v>1</v>
      </c>
      <c r="J22" s="366">
        <f>G22*I22</f>
        <v>1</v>
      </c>
      <c r="K22" s="420">
        <f ca="1">F22*J22</f>
        <v>1.2980758315079943E-3</v>
      </c>
      <c r="L22" s="410">
        <v>1</v>
      </c>
      <c r="M22" s="411">
        <v>1</v>
      </c>
      <c r="N22" s="411">
        <v>10</v>
      </c>
      <c r="O22" s="414">
        <f ca="1">E22*J22/$M22</f>
        <v>5.8676383715529239E-2</v>
      </c>
      <c r="P22" s="412">
        <f ca="1">F22*J22/$M22</f>
        <v>1.2980758315079943E-3</v>
      </c>
      <c r="Q22" s="409"/>
      <c r="R22" s="413">
        <v>0</v>
      </c>
      <c r="S22" s="413"/>
      <c r="T22" s="413"/>
      <c r="U22" s="53"/>
      <c r="V22" s="81"/>
      <c r="W22" s="258">
        <f ca="1">IF($E$24=0,0,E22/$E$24)</f>
        <v>9.0722993534141354E-3</v>
      </c>
      <c r="X22" s="55"/>
      <c r="Y22" s="55"/>
      <c r="Z22" s="55"/>
      <c r="AA22" s="55"/>
    </row>
    <row r="23" spans="2:27" ht="14.1" customHeight="1" thickBot="1">
      <c r="B23" s="266" t="s">
        <v>667</v>
      </c>
      <c r="C23" s="26" t="s">
        <v>62</v>
      </c>
      <c r="D23" s="24" t="str">
        <f ca="1">IEAData!H9</f>
        <v>RESNGA</v>
      </c>
      <c r="E23" s="34">
        <f ca="1">IEAData!J81</f>
        <v>0</v>
      </c>
      <c r="F23" s="34">
        <f ca="1">AuxData!J81</f>
        <v>0</v>
      </c>
      <c r="G23" s="71">
        <v>1</v>
      </c>
      <c r="H23" s="464" t="str">
        <f ca="1">RIGHT(D23,3)</f>
        <v>NGA</v>
      </c>
      <c r="I23" s="20">
        <v>1</v>
      </c>
      <c r="J23" s="510">
        <f>G23*I23</f>
        <v>1</v>
      </c>
      <c r="K23" s="464">
        <f ca="1">F23*J23</f>
        <v>0</v>
      </c>
      <c r="L23" s="415">
        <v>1</v>
      </c>
      <c r="M23" s="416">
        <v>1</v>
      </c>
      <c r="N23" s="416">
        <v>10</v>
      </c>
      <c r="O23" s="417">
        <f ca="1">E23*J23/$M23</f>
        <v>0</v>
      </c>
      <c r="P23" s="418">
        <f ca="1">F23*J23/$M23</f>
        <v>0</v>
      </c>
      <c r="Q23" s="418"/>
      <c r="R23" s="419">
        <v>0</v>
      </c>
      <c r="S23" s="419"/>
      <c r="T23" s="419"/>
      <c r="U23" s="54"/>
      <c r="V23" s="20"/>
      <c r="W23" s="258">
        <f ca="1">IF($E$24=0,0,E23/$E$24)</f>
        <v>0</v>
      </c>
      <c r="X23" s="55"/>
      <c r="Y23" s="55"/>
      <c r="Z23" s="55"/>
      <c r="AA23" s="55"/>
    </row>
    <row r="24" spans="2:27" ht="14.1" customHeight="1">
      <c r="B24" s="451" t="s">
        <v>999</v>
      </c>
      <c r="C24" s="190"/>
      <c r="D24" s="190"/>
      <c r="E24" s="191">
        <f ca="1">SUM(E19:E23)</f>
        <v>6.4676419317499523</v>
      </c>
      <c r="F24" s="191">
        <f ca="1">SUM(F19:F23)</f>
        <v>5.923297975690712</v>
      </c>
      <c r="G24" s="191"/>
      <c r="H24" s="506">
        <f ca="1">SUMPRODUCT(E$19:E23,J$19:J23)</f>
        <v>0.37912466111725046</v>
      </c>
      <c r="I24" s="452"/>
      <c r="J24" s="507"/>
      <c r="K24" s="506">
        <f ca="1">SUM(K19:K23)</f>
        <v>0.29739807082446817</v>
      </c>
      <c r="L24" s="190"/>
      <c r="M24" s="190"/>
      <c r="N24" s="191"/>
      <c r="O24" s="422">
        <f ca="1">SUM(O19:O23)</f>
        <v>3.2631591577327415</v>
      </c>
      <c r="P24" s="190"/>
      <c r="Q24" s="190"/>
      <c r="R24" s="192"/>
      <c r="S24" s="190"/>
      <c r="T24" s="190"/>
      <c r="U24" s="190"/>
      <c r="V24" s="190"/>
      <c r="W24" s="259">
        <f ca="1">SUM(W19:W23)</f>
        <v>1</v>
      </c>
      <c r="X24" s="55"/>
      <c r="Y24" s="55"/>
      <c r="Z24" s="55"/>
      <c r="AA24" s="55"/>
    </row>
    <row r="25" spans="2:27">
      <c r="N25" s="55"/>
      <c r="O25" s="55"/>
      <c r="P25" s="55"/>
      <c r="Q25" s="55"/>
      <c r="R25" s="55"/>
      <c r="S25" s="55"/>
      <c r="T25" s="55"/>
      <c r="U25" s="55"/>
      <c r="V25" s="55"/>
      <c r="W25" s="55"/>
      <c r="X25" s="55"/>
      <c r="Y25" s="55"/>
      <c r="Z25" s="55"/>
      <c r="AA25" s="55"/>
    </row>
    <row r="26" spans="2:27">
      <c r="N26" s="55"/>
      <c r="O26" s="55"/>
      <c r="P26" s="55"/>
      <c r="Q26" s="55"/>
      <c r="R26" s="55"/>
      <c r="S26" s="55"/>
      <c r="T26" s="55"/>
      <c r="U26" s="55"/>
      <c r="V26" s="55"/>
      <c r="W26" s="55"/>
      <c r="X26" s="55"/>
      <c r="Y26" s="55"/>
      <c r="Z26" s="55"/>
      <c r="AA26" s="55"/>
    </row>
    <row r="27" spans="2:27">
      <c r="N27" s="55"/>
      <c r="O27" s="55"/>
      <c r="P27" s="55"/>
      <c r="Q27" s="55"/>
      <c r="R27" s="55"/>
      <c r="S27" s="55"/>
      <c r="T27" s="55"/>
      <c r="U27" s="55"/>
      <c r="V27" s="55"/>
      <c r="W27" s="55"/>
      <c r="X27" s="55"/>
      <c r="Y27" s="55"/>
      <c r="Z27" s="55"/>
      <c r="AA27" s="55"/>
    </row>
    <row r="28" spans="2:27" ht="14.25" customHeight="1">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2:27">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2:27" ht="18">
      <c r="B30" s="155" t="s">
        <v>592</v>
      </c>
      <c r="C30" s="156"/>
      <c r="D30" s="252" t="str">
        <f>"~FI_T: "&amp;Region</f>
        <v>~FI_T: FIN</v>
      </c>
      <c r="N30" s="55"/>
      <c r="O30" s="55"/>
      <c r="P30" s="55"/>
      <c r="Q30" s="55"/>
      <c r="R30" s="55"/>
      <c r="S30" s="55"/>
      <c r="T30" s="55"/>
      <c r="U30" s="55"/>
      <c r="V30" s="55"/>
      <c r="W30" s="55"/>
      <c r="X30" s="55"/>
      <c r="Y30" s="55"/>
      <c r="Z30" s="55"/>
      <c r="AA30" s="55"/>
    </row>
    <row r="31" spans="2:27" ht="13.5" thickBot="1">
      <c r="B31" s="27" t="s">
        <v>384</v>
      </c>
      <c r="C31" s="27" t="s">
        <v>385</v>
      </c>
      <c r="D31" s="27" t="s">
        <v>243</v>
      </c>
      <c r="E31" s="344" t="s">
        <v>942</v>
      </c>
      <c r="F31" s="344" t="s">
        <v>942</v>
      </c>
      <c r="G31" s="344" t="s">
        <v>379</v>
      </c>
      <c r="H31" s="344" t="str">
        <f ca="1">G31&amp;"~"&amp;AuxYear</f>
        <v>DEMAND~2017</v>
      </c>
      <c r="I31" s="344" t="s">
        <v>940</v>
      </c>
      <c r="J31" s="344" t="str">
        <f ca="1">I31&amp;"~"&amp;AuxYear</f>
        <v>COM_IE~2017</v>
      </c>
      <c r="K31" s="27"/>
      <c r="N31" s="55"/>
      <c r="O31" s="55"/>
      <c r="P31" s="55"/>
      <c r="Q31" s="55"/>
      <c r="R31" s="55"/>
      <c r="S31" s="55"/>
      <c r="T31" s="55"/>
      <c r="U31" s="55"/>
      <c r="V31" s="55"/>
      <c r="W31" s="55"/>
      <c r="X31" s="55"/>
      <c r="Y31" s="55"/>
      <c r="Z31" s="55"/>
      <c r="AA31" s="55"/>
    </row>
    <row r="32" spans="2:27">
      <c r="B32" s="58" t="str">
        <f ca="1">RCL!B26</f>
        <v>RC1</v>
      </c>
      <c r="C32" s="28" t="str">
        <f ca="1">RCL!C26</f>
        <v>Residential Cooling - Region1</v>
      </c>
      <c r="D32" s="95" t="s">
        <v>249</v>
      </c>
      <c r="E32" s="63">
        <f ca="1">RCL!E26</f>
        <v>0.61158146772834243</v>
      </c>
      <c r="F32" s="63">
        <f ca="1">RCL!F26</f>
        <v>1.8743352115928502</v>
      </c>
      <c r="G32" s="63">
        <f t="shared" ref="G32:G43" ca="1" si="0">IF(E32,1,0)</f>
        <v>1</v>
      </c>
      <c r="H32" s="63">
        <f t="shared" ref="H32:H43" ca="1" si="1">IF(F32,1,0)</f>
        <v>1</v>
      </c>
      <c r="I32" s="368">
        <f t="shared" ref="I32:I43" ca="1" si="2">IF(E32,1/E32,1)</f>
        <v>1.6351051376922832</v>
      </c>
      <c r="J32" s="368">
        <f t="shared" ref="J32:J43" ca="1" si="3">IF(F32,1/F32,1)</f>
        <v>0.5335224957707424</v>
      </c>
      <c r="K32" s="18"/>
      <c r="N32" s="55"/>
      <c r="O32" s="55"/>
      <c r="P32" s="55"/>
      <c r="Q32" s="55"/>
      <c r="R32" s="55"/>
      <c r="S32" s="55"/>
      <c r="T32" s="55"/>
      <c r="U32" s="55"/>
      <c r="V32" s="55"/>
      <c r="W32" s="55"/>
      <c r="X32" s="55"/>
      <c r="Y32" s="55"/>
      <c r="Z32" s="55"/>
      <c r="AA32" s="55"/>
    </row>
    <row r="33" spans="2:27">
      <c r="B33" s="58" t="str">
        <f ca="1">RCL!B27</f>
        <v>RC2</v>
      </c>
      <c r="C33" s="28" t="str">
        <f ca="1">RCL!C27</f>
        <v>Residential Cooling - Region2</v>
      </c>
      <c r="D33" s="95" t="s">
        <v>249</v>
      </c>
      <c r="E33" s="63">
        <f ca="1">RCL!E27</f>
        <v>0</v>
      </c>
      <c r="F33" s="63">
        <f ca="1">RCL!F27</f>
        <v>0</v>
      </c>
      <c r="G33" s="63">
        <f t="shared" ca="1" si="0"/>
        <v>0</v>
      </c>
      <c r="H33" s="63">
        <f t="shared" ca="1" si="1"/>
        <v>0</v>
      </c>
      <c r="I33" s="368">
        <f t="shared" ca="1" si="2"/>
        <v>1</v>
      </c>
      <c r="J33" s="368">
        <f t="shared" ca="1" si="3"/>
        <v>1</v>
      </c>
      <c r="K33" s="18"/>
      <c r="N33" s="55"/>
      <c r="O33" s="55"/>
      <c r="P33" s="55"/>
      <c r="Q33" s="55"/>
      <c r="R33" s="55"/>
      <c r="S33" s="55"/>
      <c r="T33" s="55"/>
      <c r="U33" s="55"/>
      <c r="V33" s="55"/>
      <c r="W33" s="55"/>
      <c r="X33" s="55"/>
      <c r="Y33" s="55"/>
      <c r="Z33" s="55"/>
      <c r="AA33" s="55"/>
    </row>
    <row r="34" spans="2:27">
      <c r="B34" s="80" t="str">
        <f ca="1">RCK!B30</f>
        <v>RK1</v>
      </c>
      <c r="C34" s="28" t="str">
        <f ca="1">RCK!C30</f>
        <v>Residential Cooking - Region1</v>
      </c>
      <c r="D34" s="95" t="s">
        <v>249</v>
      </c>
      <c r="E34" s="63">
        <f ca="1">RCK!E30</f>
        <v>2.4352653409101159</v>
      </c>
      <c r="F34" s="63">
        <f ca="1">RCK!F30</f>
        <v>2.1002218777891422</v>
      </c>
      <c r="G34" s="63">
        <f t="shared" ca="1" si="0"/>
        <v>1</v>
      </c>
      <c r="H34" s="63">
        <f t="shared" ca="1" si="1"/>
        <v>1</v>
      </c>
      <c r="I34" s="368">
        <f t="shared" ca="1" si="2"/>
        <v>0.41063287158116268</v>
      </c>
      <c r="J34" s="368">
        <f t="shared" ca="1" si="3"/>
        <v>0.47614016908188683</v>
      </c>
      <c r="K34" s="18"/>
      <c r="N34" s="55"/>
      <c r="O34" s="55"/>
      <c r="P34" s="55"/>
      <c r="Q34" s="55"/>
      <c r="R34" s="55"/>
      <c r="S34" s="55"/>
      <c r="T34" s="55"/>
      <c r="U34" s="55"/>
      <c r="V34" s="55"/>
      <c r="W34" s="55"/>
      <c r="X34" s="55"/>
      <c r="Y34" s="55"/>
      <c r="Z34" s="55"/>
      <c r="AA34" s="55"/>
    </row>
    <row r="35" spans="2:27">
      <c r="B35" s="80" t="str">
        <f ca="1">RCK!B31</f>
        <v>RK2</v>
      </c>
      <c r="C35" s="28" t="str">
        <f ca="1">RCK!C31</f>
        <v>Residential Cooking - Region2</v>
      </c>
      <c r="D35" s="95" t="s">
        <v>249</v>
      </c>
      <c r="E35" s="63">
        <f ca="1">RCK!E31</f>
        <v>0</v>
      </c>
      <c r="F35" s="63">
        <f ca="1">RCK!F31</f>
        <v>0</v>
      </c>
      <c r="G35" s="63">
        <f t="shared" ca="1" si="0"/>
        <v>0</v>
      </c>
      <c r="H35" s="63">
        <f t="shared" ca="1" si="1"/>
        <v>0</v>
      </c>
      <c r="I35" s="368">
        <f t="shared" ca="1" si="2"/>
        <v>1</v>
      </c>
      <c r="J35" s="368">
        <f t="shared" ca="1" si="3"/>
        <v>1</v>
      </c>
      <c r="K35" s="18"/>
      <c r="N35" s="55"/>
      <c r="O35" s="55"/>
      <c r="P35" s="55"/>
      <c r="Q35" s="55"/>
      <c r="R35" s="55"/>
      <c r="S35" s="55"/>
      <c r="T35" s="55"/>
      <c r="U35" s="55"/>
      <c r="V35" s="55"/>
      <c r="W35" s="55"/>
      <c r="X35" s="55"/>
      <c r="Y35" s="55"/>
      <c r="Z35" s="55"/>
      <c r="AA35" s="55"/>
    </row>
    <row r="36" spans="2:27">
      <c r="B36" s="80" t="str">
        <f ca="1">RLT!B27</f>
        <v>RL1</v>
      </c>
      <c r="C36" s="28" t="str">
        <f ca="1">RLT!C27</f>
        <v>Residential Lighting - Region1</v>
      </c>
      <c r="D36" s="95" t="s">
        <v>249</v>
      </c>
      <c r="E36" s="63">
        <f ca="1">RLT!E27</f>
        <v>9.7863111883744782</v>
      </c>
      <c r="F36" s="63">
        <f ca="1">RLT!F27</f>
        <v>12.485527838792809</v>
      </c>
      <c r="G36" s="63">
        <f t="shared" ca="1" si="0"/>
        <v>1</v>
      </c>
      <c r="H36" s="63">
        <f t="shared" ca="1" si="1"/>
        <v>1</v>
      </c>
      <c r="I36" s="368">
        <f t="shared" ca="1" si="2"/>
        <v>0.10218354809603204</v>
      </c>
      <c r="J36" s="368">
        <f t="shared" ca="1" si="3"/>
        <v>8.0092729191070161E-2</v>
      </c>
      <c r="K36" s="18"/>
      <c r="N36" s="55"/>
      <c r="O36" s="55"/>
      <c r="P36" s="55"/>
      <c r="Q36" s="55"/>
      <c r="R36" s="55"/>
      <c r="S36" s="55"/>
      <c r="T36" s="55"/>
      <c r="U36" s="55"/>
      <c r="V36" s="55"/>
      <c r="W36" s="55"/>
      <c r="X36" s="55"/>
      <c r="Y36" s="55"/>
      <c r="Z36" s="55"/>
      <c r="AA36" s="55"/>
    </row>
    <row r="37" spans="2:27">
      <c r="B37" s="80" t="str">
        <f ca="1">RLT!B28</f>
        <v>RL2</v>
      </c>
      <c r="C37" s="28" t="str">
        <f ca="1">RLT!C28</f>
        <v>Residential Lighting - Region2</v>
      </c>
      <c r="D37" s="95" t="s">
        <v>249</v>
      </c>
      <c r="E37" s="63">
        <f ca="1">RLT!E28</f>
        <v>0</v>
      </c>
      <c r="F37" s="63">
        <f ca="1">RLT!F28</f>
        <v>0</v>
      </c>
      <c r="G37" s="63">
        <f t="shared" ca="1" si="0"/>
        <v>0</v>
      </c>
      <c r="H37" s="63">
        <f t="shared" ca="1" si="1"/>
        <v>0</v>
      </c>
      <c r="I37" s="368">
        <f t="shared" ca="1" si="2"/>
        <v>1</v>
      </c>
      <c r="J37" s="368">
        <f t="shared" ca="1" si="3"/>
        <v>1</v>
      </c>
      <c r="K37" s="18"/>
      <c r="N37" s="55"/>
      <c r="O37" s="55"/>
      <c r="P37" s="55"/>
      <c r="Q37" s="55"/>
      <c r="R37" s="55"/>
      <c r="S37" s="55"/>
      <c r="T37" s="55"/>
      <c r="U37" s="55"/>
      <c r="V37" s="55"/>
      <c r="W37" s="55"/>
      <c r="X37" s="55"/>
      <c r="Y37" s="55"/>
      <c r="Z37" s="55"/>
      <c r="AA37" s="55"/>
    </row>
    <row r="38" spans="2:27">
      <c r="B38" s="560" t="s">
        <v>91</v>
      </c>
      <c r="C38" s="58" t="s">
        <v>98</v>
      </c>
      <c r="D38" s="95" t="s">
        <v>249</v>
      </c>
      <c r="E38" s="63">
        <f ca="1">H9</f>
        <v>4.2143443120659114</v>
      </c>
      <c r="F38" s="63">
        <f ca="1">SUMPRODUCT(F7:F8,J7:J8)</f>
        <v>3.4097841573690828</v>
      </c>
      <c r="G38" s="63">
        <f t="shared" ca="1" si="0"/>
        <v>1</v>
      </c>
      <c r="H38" s="63">
        <f t="shared" ca="1" si="1"/>
        <v>1</v>
      </c>
      <c r="I38" s="368">
        <f t="shared" ca="1" si="2"/>
        <v>0.23728483625244909</v>
      </c>
      <c r="J38" s="368">
        <f t="shared" ca="1" si="3"/>
        <v>0.29327369529793895</v>
      </c>
      <c r="K38" s="18"/>
    </row>
    <row r="39" spans="2:27">
      <c r="B39" s="560" t="s">
        <v>96</v>
      </c>
      <c r="C39" s="58" t="s">
        <v>100</v>
      </c>
      <c r="D39" s="95" t="s">
        <v>249</v>
      </c>
      <c r="E39" s="63">
        <f ca="1">H11</f>
        <v>0.7495306264164453</v>
      </c>
      <c r="F39" s="63">
        <f ca="1">SUMPRODUCT(F$10:F10,J$10:J10)</f>
        <v>0.60643779107001172</v>
      </c>
      <c r="G39" s="63">
        <f t="shared" ca="1" si="0"/>
        <v>1</v>
      </c>
      <c r="H39" s="63">
        <f t="shared" ca="1" si="1"/>
        <v>1</v>
      </c>
      <c r="I39" s="368">
        <f t="shared" ca="1" si="2"/>
        <v>1.3341682978066756</v>
      </c>
      <c r="J39" s="368">
        <f t="shared" ca="1" si="3"/>
        <v>1.6489737525024268</v>
      </c>
      <c r="K39" s="18"/>
    </row>
    <row r="40" spans="2:27">
      <c r="B40" s="560" t="s">
        <v>94</v>
      </c>
      <c r="C40" s="58" t="s">
        <v>99</v>
      </c>
      <c r="D40" s="95" t="s">
        <v>249</v>
      </c>
      <c r="E40" s="63">
        <f ca="1">H14</f>
        <v>0.51890581828830828</v>
      </c>
      <c r="F40" s="63">
        <f ca="1">$K$14</f>
        <v>0.41984154766385429</v>
      </c>
      <c r="G40" s="63">
        <f t="shared" ca="1" si="0"/>
        <v>1</v>
      </c>
      <c r="H40" s="63">
        <f t="shared" ca="1" si="1"/>
        <v>1</v>
      </c>
      <c r="I40" s="368">
        <f t="shared" ca="1" si="2"/>
        <v>1.9271319857207534</v>
      </c>
      <c r="J40" s="368">
        <f t="shared" ca="1" si="3"/>
        <v>2.3818509758368389</v>
      </c>
      <c r="K40" s="18"/>
    </row>
    <row r="41" spans="2:27">
      <c r="B41" s="560" t="s">
        <v>92</v>
      </c>
      <c r="C41" s="58" t="s">
        <v>101</v>
      </c>
      <c r="D41" s="95" t="s">
        <v>249</v>
      </c>
      <c r="E41" s="63">
        <f ca="1">H16</f>
        <v>1.0666397375926335</v>
      </c>
      <c r="F41" s="63">
        <f ca="1">$K$16</f>
        <v>0.86300762575347822</v>
      </c>
      <c r="G41" s="63">
        <f t="shared" ca="1" si="0"/>
        <v>1</v>
      </c>
      <c r="H41" s="63">
        <f t="shared" ca="1" si="1"/>
        <v>1</v>
      </c>
      <c r="I41" s="368">
        <f t="shared" ca="1" si="2"/>
        <v>0.93752366872901538</v>
      </c>
      <c r="J41" s="368">
        <f t="shared" ca="1" si="3"/>
        <v>1.158738312569273</v>
      </c>
      <c r="K41" s="18"/>
    </row>
    <row r="42" spans="2:27">
      <c r="B42" s="560" t="s">
        <v>639</v>
      </c>
      <c r="C42" s="58" t="s">
        <v>638</v>
      </c>
      <c r="D42" s="95" t="s">
        <v>249</v>
      </c>
      <c r="E42" s="63">
        <f ca="1">H18</f>
        <v>15.438095169424853</v>
      </c>
      <c r="F42" s="63">
        <f ca="1">$K$18</f>
        <v>13.400788033743753</v>
      </c>
      <c r="G42" s="63">
        <f t="shared" ca="1" si="0"/>
        <v>1</v>
      </c>
      <c r="H42" s="63">
        <f t="shared" ca="1" si="1"/>
        <v>1</v>
      </c>
      <c r="I42" s="368">
        <f t="shared" ca="1" si="2"/>
        <v>6.4774830639760528E-2</v>
      </c>
      <c r="J42" s="368">
        <f t="shared" ca="1" si="3"/>
        <v>7.4622477236559334E-2</v>
      </c>
      <c r="K42" s="18"/>
      <c r="M42" s="55"/>
    </row>
    <row r="43" spans="2:27">
      <c r="B43" s="560" t="s">
        <v>637</v>
      </c>
      <c r="C43" s="58" t="s">
        <v>609</v>
      </c>
      <c r="D43" s="95" t="s">
        <v>249</v>
      </c>
      <c r="E43" s="63">
        <f ca="1">ROT!H24</f>
        <v>0.37912466111725046</v>
      </c>
      <c r="F43" s="63">
        <f ca="1">$K$24</f>
        <v>0.29739807082446817</v>
      </c>
      <c r="G43" s="63">
        <f t="shared" ca="1" si="0"/>
        <v>1</v>
      </c>
      <c r="H43" s="63">
        <f t="shared" ca="1" si="1"/>
        <v>1</v>
      </c>
      <c r="I43" s="368">
        <f t="shared" ca="1" si="2"/>
        <v>2.6376548469653196</v>
      </c>
      <c r="J43" s="368">
        <f t="shared" ca="1" si="3"/>
        <v>3.362496593295742</v>
      </c>
      <c r="K43" s="18"/>
      <c r="M43" s="55"/>
    </row>
    <row r="51" spans="1:32">
      <c r="A51" s="55"/>
      <c r="B51" s="55"/>
      <c r="C51" s="120"/>
      <c r="D51" s="123"/>
      <c r="E51" s="120"/>
      <c r="F51" s="120"/>
      <c r="G51" s="120"/>
      <c r="H51" s="120"/>
      <c r="I51" s="120"/>
      <c r="J51" s="120"/>
      <c r="K51" s="120"/>
      <c r="L51" s="120"/>
      <c r="M51" s="120"/>
      <c r="N51" s="120"/>
      <c r="O51" s="120"/>
      <c r="P51" s="120"/>
      <c r="Q51" s="120"/>
      <c r="R51" s="120"/>
      <c r="S51" s="120"/>
      <c r="T51" s="120"/>
      <c r="U51" s="120"/>
      <c r="V51" s="123"/>
      <c r="W51" s="123"/>
      <c r="X51" s="123"/>
      <c r="Y51" s="123"/>
      <c r="Z51" s="123"/>
      <c r="AA51" s="123"/>
      <c r="AB51" s="55"/>
      <c r="AC51" s="55"/>
      <c r="AD51" s="55"/>
      <c r="AE51" s="55"/>
      <c r="AF51" s="55"/>
    </row>
    <row r="52" spans="1:32">
      <c r="A52" s="55"/>
      <c r="B52" s="55"/>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55"/>
      <c r="AC52" s="55"/>
      <c r="AD52" s="55"/>
      <c r="AE52" s="55"/>
      <c r="AF52" s="55"/>
    </row>
    <row r="53" spans="1:32">
      <c r="A53" s="55"/>
      <c r="B53" s="55"/>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55"/>
      <c r="AC53" s="55"/>
      <c r="AD53" s="55"/>
      <c r="AE53" s="55"/>
      <c r="AF53" s="55"/>
    </row>
    <row r="54" spans="1:32">
      <c r="A54" s="55"/>
      <c r="B54" s="55"/>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55"/>
      <c r="AC54" s="55"/>
      <c r="AD54" s="55"/>
      <c r="AE54" s="55"/>
      <c r="AF54" s="55"/>
    </row>
    <row r="55" spans="1:32">
      <c r="A55" s="55"/>
      <c r="B55" s="55"/>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55"/>
      <c r="AC55" s="55"/>
      <c r="AD55" s="55"/>
      <c r="AE55" s="55"/>
      <c r="AF55" s="55"/>
    </row>
    <row r="56" spans="1:32">
      <c r="A56" s="55"/>
      <c r="B56" s="55"/>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55"/>
      <c r="AC56" s="55"/>
      <c r="AD56" s="55"/>
      <c r="AE56" s="55"/>
      <c r="AF56" s="55"/>
    </row>
    <row r="57" spans="1:32">
      <c r="A57" s="55"/>
      <c r="B57" s="55"/>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55"/>
      <c r="AC57" s="55"/>
      <c r="AD57" s="55"/>
      <c r="AE57" s="55"/>
      <c r="AF57" s="55"/>
    </row>
    <row r="58" spans="1:32">
      <c r="A58" s="55"/>
      <c r="B58" s="55"/>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55"/>
      <c r="AC58" s="55"/>
      <c r="AD58" s="55"/>
      <c r="AE58" s="55"/>
      <c r="AF58" s="55"/>
    </row>
    <row r="59" spans="1:32">
      <c r="A59" s="55"/>
      <c r="B59" s="55"/>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55"/>
      <c r="AC59" s="55"/>
      <c r="AD59" s="55"/>
      <c r="AE59" s="55"/>
      <c r="AF59" s="55"/>
    </row>
    <row r="60" spans="1:32">
      <c r="A60" s="55"/>
      <c r="B60" s="55"/>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55"/>
      <c r="AC60" s="55"/>
      <c r="AD60" s="55"/>
      <c r="AE60" s="55"/>
      <c r="AF60" s="55"/>
    </row>
    <row r="61" spans="1:32">
      <c r="A61" s="55"/>
      <c r="B61" s="55"/>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55"/>
      <c r="AC61" s="55"/>
      <c r="AD61" s="55"/>
      <c r="AE61" s="55"/>
      <c r="AF61" s="55"/>
    </row>
    <row r="62" spans="1:32">
      <c r="A62" s="55"/>
      <c r="B62" s="55"/>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55"/>
      <c r="AC62" s="55"/>
      <c r="AD62" s="55"/>
      <c r="AE62" s="55"/>
      <c r="AF62" s="55"/>
    </row>
    <row r="63" spans="1:32">
      <c r="A63" s="55"/>
      <c r="B63" s="55"/>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55"/>
      <c r="AC63" s="55"/>
      <c r="AD63" s="55"/>
      <c r="AE63" s="55"/>
      <c r="AF63" s="55"/>
    </row>
    <row r="64" spans="1:32">
      <c r="A64" s="55"/>
      <c r="B64" s="55"/>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55"/>
      <c r="AC64" s="55"/>
      <c r="AD64" s="55"/>
      <c r="AE64" s="55"/>
      <c r="AF64" s="55"/>
    </row>
    <row r="65" spans="1:32">
      <c r="A65" s="55"/>
      <c r="B65" s="55"/>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55"/>
      <c r="AC65" s="55"/>
      <c r="AD65" s="55"/>
      <c r="AE65" s="55"/>
      <c r="AF65" s="55"/>
    </row>
    <row r="66" spans="1:32">
      <c r="A66" s="55"/>
      <c r="B66" s="55"/>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55"/>
      <c r="AC66" s="55"/>
      <c r="AD66" s="55"/>
      <c r="AE66" s="55"/>
      <c r="AF66" s="55"/>
    </row>
    <row r="67" spans="1:32">
      <c r="A67" s="55"/>
      <c r="B67" s="55"/>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55"/>
      <c r="AC67" s="55"/>
      <c r="AD67" s="55"/>
      <c r="AE67" s="55"/>
      <c r="AF67" s="55"/>
    </row>
    <row r="68" spans="1:32">
      <c r="A68" s="55"/>
      <c r="B68" s="55"/>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55"/>
      <c r="AC68" s="55"/>
      <c r="AD68" s="55"/>
      <c r="AE68" s="55"/>
      <c r="AF68" s="55"/>
    </row>
    <row r="69" spans="1:32">
      <c r="A69" s="55"/>
      <c r="B69" s="55"/>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55"/>
      <c r="AC69" s="55"/>
      <c r="AD69" s="55"/>
      <c r="AE69" s="55"/>
      <c r="AF69" s="55"/>
    </row>
    <row r="70" spans="1:32">
      <c r="A70" s="55"/>
      <c r="B70" s="55"/>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55"/>
      <c r="AC70" s="55"/>
      <c r="AD70" s="55"/>
      <c r="AE70" s="55"/>
      <c r="AF70" s="55"/>
    </row>
    <row r="71" spans="1:32">
      <c r="A71" s="55"/>
      <c r="B71" s="55"/>
      <c r="C71" s="120"/>
      <c r="D71" s="120"/>
      <c r="E71" s="120"/>
      <c r="F71" s="120"/>
      <c r="G71" s="120"/>
      <c r="H71" s="120"/>
      <c r="I71" s="120"/>
      <c r="J71" s="120"/>
      <c r="K71" s="120"/>
      <c r="L71" s="120"/>
      <c r="M71" s="120"/>
      <c r="N71" s="120"/>
      <c r="O71" s="120"/>
      <c r="P71" s="120"/>
      <c r="Q71" s="120"/>
      <c r="R71" s="120"/>
      <c r="S71" s="120"/>
      <c r="T71" s="120"/>
      <c r="U71" s="120"/>
      <c r="V71" s="123"/>
      <c r="W71" s="123"/>
      <c r="X71" s="123"/>
      <c r="Y71" s="123"/>
      <c r="Z71" s="123"/>
      <c r="AA71" s="123"/>
      <c r="AB71" s="55"/>
      <c r="AC71" s="55"/>
      <c r="AD71" s="55"/>
      <c r="AE71" s="55"/>
      <c r="AF71" s="55"/>
    </row>
    <row r="72" spans="1:32">
      <c r="A72" s="55"/>
      <c r="B72" s="55"/>
      <c r="C72" s="120"/>
      <c r="D72" s="120"/>
      <c r="E72" s="120"/>
      <c r="F72" s="120"/>
      <c r="G72" s="120"/>
      <c r="H72" s="120"/>
      <c r="I72" s="120"/>
      <c r="J72" s="120"/>
      <c r="K72" s="120"/>
      <c r="L72" s="120"/>
      <c r="M72" s="120"/>
      <c r="N72" s="120"/>
      <c r="O72" s="120"/>
      <c r="P72" s="120"/>
      <c r="Q72" s="120"/>
      <c r="R72" s="120"/>
      <c r="S72" s="120"/>
      <c r="T72" s="120"/>
      <c r="U72" s="120"/>
      <c r="V72" s="123"/>
      <c r="W72" s="123"/>
      <c r="X72" s="123"/>
      <c r="Y72" s="123"/>
      <c r="Z72" s="123"/>
      <c r="AA72" s="123"/>
      <c r="AB72" s="55"/>
      <c r="AC72" s="55"/>
      <c r="AD72" s="55"/>
      <c r="AE72" s="55"/>
      <c r="AF72" s="55"/>
    </row>
    <row r="73" spans="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row>
    <row r="74" spans="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row>
    <row r="75" spans="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row>
    <row r="76" spans="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row>
    <row r="77" spans="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16.xml><?xml version="1.0" encoding="utf-8"?>
<worksheet xmlns="http://schemas.openxmlformats.org/spreadsheetml/2006/main" xmlns:r="http://schemas.openxmlformats.org/officeDocument/2006/relationships">
  <dimension ref="A1:Y113"/>
  <sheetViews>
    <sheetView zoomScale="85" workbookViewId="0">
      <selection activeCell="B73" sqref="B73"/>
    </sheetView>
  </sheetViews>
  <sheetFormatPr defaultRowHeight="12.75"/>
  <cols>
    <col min="2" max="2" width="13.7109375" customWidth="1"/>
    <col min="3" max="3" width="28.7109375" customWidth="1"/>
    <col min="6" max="6" width="8.42578125" customWidth="1"/>
    <col min="7" max="7" width="11.42578125" customWidth="1"/>
    <col min="9" max="9" width="6.7109375" customWidth="1"/>
    <col min="10" max="15" width="7.7109375" customWidth="1"/>
    <col min="17" max="19" width="7.42578125" customWidth="1"/>
    <col min="20" max="21" width="7.140625" customWidth="1"/>
  </cols>
  <sheetData>
    <row r="1" spans="1:25" ht="18">
      <c r="A1" s="10" t="s">
        <v>1156</v>
      </c>
    </row>
    <row r="2" spans="1:25">
      <c r="I2" s="556" t="s">
        <v>1157</v>
      </c>
      <c r="J2" s="293"/>
      <c r="K2" s="293"/>
      <c r="L2" s="293"/>
      <c r="M2" s="293"/>
      <c r="N2" s="293"/>
      <c r="O2" s="556" t="s">
        <v>1158</v>
      </c>
      <c r="P2" s="293"/>
      <c r="Q2" s="293"/>
      <c r="R2" s="293"/>
      <c r="S2" s="293"/>
    </row>
    <row r="3" spans="1:25">
      <c r="I3" s="557"/>
      <c r="J3" s="558">
        <v>2020</v>
      </c>
      <c r="K3" s="558">
        <v>2030</v>
      </c>
      <c r="L3" s="558">
        <v>2050</v>
      </c>
      <c r="M3" s="558">
        <v>2100</v>
      </c>
      <c r="N3" s="293"/>
      <c r="O3" s="557"/>
      <c r="P3" s="558">
        <v>2020</v>
      </c>
      <c r="Q3" s="558">
        <v>2030</v>
      </c>
      <c r="R3" s="558">
        <v>2050</v>
      </c>
      <c r="S3" s="558">
        <v>2100</v>
      </c>
    </row>
    <row r="4" spans="1:25">
      <c r="I4" s="293" t="s">
        <v>253</v>
      </c>
      <c r="J4" s="317">
        <v>0.99299999999999999</v>
      </c>
      <c r="K4" s="317">
        <v>0.99299999999999999</v>
      </c>
      <c r="L4" s="317">
        <v>0.99299999999999999</v>
      </c>
      <c r="M4" s="317">
        <v>0.99299999999999999</v>
      </c>
      <c r="N4" s="293"/>
      <c r="O4" s="293" t="s">
        <v>253</v>
      </c>
      <c r="P4" s="317">
        <v>0.96499999999999997</v>
      </c>
      <c r="Q4" s="317">
        <v>0.91</v>
      </c>
      <c r="R4" s="317">
        <v>0.82</v>
      </c>
      <c r="S4" s="317">
        <v>0.74</v>
      </c>
    </row>
    <row r="5" spans="1:25">
      <c r="I5" s="293" t="s">
        <v>252</v>
      </c>
      <c r="J5" s="317">
        <v>0.99299999999999999</v>
      </c>
      <c r="K5" s="317">
        <v>0.99299999999999999</v>
      </c>
      <c r="L5" s="317">
        <v>0.99299999999999999</v>
      </c>
      <c r="M5" s="317">
        <v>0.99299999999999999</v>
      </c>
      <c r="N5" s="293"/>
      <c r="O5" s="293" t="s">
        <v>252</v>
      </c>
      <c r="P5" s="317">
        <v>0.95499999999999996</v>
      </c>
      <c r="Q5" s="317">
        <v>0.9</v>
      </c>
      <c r="R5" s="317">
        <v>0.8</v>
      </c>
      <c r="S5" s="317">
        <v>0.72</v>
      </c>
    </row>
    <row r="6" spans="1:25">
      <c r="I6" s="293" t="s">
        <v>237</v>
      </c>
      <c r="J6" s="317">
        <v>0.98899999999999999</v>
      </c>
      <c r="K6" s="317">
        <v>0.98899999999999999</v>
      </c>
      <c r="L6" s="317">
        <v>0.98899999999999999</v>
      </c>
      <c r="M6" s="317">
        <v>0.98899999999999999</v>
      </c>
      <c r="N6" s="293"/>
      <c r="O6" s="293" t="s">
        <v>237</v>
      </c>
      <c r="P6" s="317">
        <v>0.95499999999999996</v>
      </c>
      <c r="Q6" s="317">
        <v>0.89</v>
      </c>
      <c r="R6" s="317">
        <v>0.8</v>
      </c>
      <c r="S6" s="317">
        <v>0.72</v>
      </c>
    </row>
    <row r="12" spans="1:25">
      <c r="H12" s="252" t="str">
        <f>"~FI_T: "&amp;Region&amp;"~EUR10"</f>
        <v>~FI_T: FIN~EUR10</v>
      </c>
    </row>
    <row r="13" spans="1:25" ht="24.75" thickBot="1">
      <c r="B13" s="525" t="s">
        <v>57</v>
      </c>
      <c r="C13" s="525" t="s">
        <v>58</v>
      </c>
      <c r="D13" s="525" t="s">
        <v>56</v>
      </c>
      <c r="E13" s="525" t="s">
        <v>59</v>
      </c>
      <c r="F13" s="525" t="s">
        <v>741</v>
      </c>
      <c r="G13" s="525" t="s">
        <v>1068</v>
      </c>
      <c r="H13" s="525" t="s">
        <v>86</v>
      </c>
      <c r="I13" s="530" t="s">
        <v>1058</v>
      </c>
      <c r="J13" s="525">
        <v>2010</v>
      </c>
      <c r="K13" s="525">
        <v>2017</v>
      </c>
      <c r="L13" s="525">
        <v>2020</v>
      </c>
      <c r="M13" s="525">
        <v>2030</v>
      </c>
      <c r="N13" s="525">
        <v>2050</v>
      </c>
      <c r="O13" s="525">
        <v>2100</v>
      </c>
      <c r="P13" s="529" t="s">
        <v>1059</v>
      </c>
      <c r="Q13" s="525" t="s">
        <v>662</v>
      </c>
      <c r="R13" s="525" t="s">
        <v>88</v>
      </c>
      <c r="S13" s="525" t="s">
        <v>993</v>
      </c>
      <c r="T13" s="525" t="s">
        <v>1060</v>
      </c>
      <c r="U13" s="525" t="s">
        <v>1120</v>
      </c>
      <c r="V13" s="525" t="s">
        <v>1144</v>
      </c>
      <c r="X13" s="533" t="s">
        <v>1092</v>
      </c>
    </row>
    <row r="14" spans="1:25">
      <c r="B14" s="528" t="s">
        <v>1064</v>
      </c>
      <c r="C14" s="528" t="s">
        <v>1061</v>
      </c>
      <c r="D14" s="528" t="s">
        <v>1115</v>
      </c>
      <c r="E14" s="528" t="s">
        <v>1128</v>
      </c>
      <c r="F14" s="528"/>
      <c r="G14" s="528" t="s">
        <v>1069</v>
      </c>
      <c r="H14" s="532" t="s">
        <v>924</v>
      </c>
      <c r="I14" s="314"/>
      <c r="J14" s="527">
        <v>1</v>
      </c>
      <c r="K14" s="527">
        <v>1</v>
      </c>
      <c r="L14" s="526">
        <f>K14*HLOOKUP(L$13,$J$3:$M$6,$Y14)^(L$13-K$13)</f>
        <v>0.97914665699999992</v>
      </c>
      <c r="M14" s="526">
        <f>L14*HLOOKUP(M$13,$J$3:$M$6,$Y14)^(M$13-L$13)</f>
        <v>0.91272559728487057</v>
      </c>
      <c r="N14" s="526">
        <f>M14*HLOOKUP(N$13,$J$3:$M$6,$Y14)^(N$13-M$13)</f>
        <v>0.79309497887840863</v>
      </c>
      <c r="O14" s="526">
        <f>N14*HLOOKUP(O$13,$J$3:$M$6,$Y14)^(O$13-N$13)</f>
        <v>0.55819716329724978</v>
      </c>
      <c r="P14" s="554" t="str">
        <f t="array" ref="P14:Q25">T(0)</f>
        <v/>
      </c>
      <c r="Q14" s="411" t="str">
        <v/>
      </c>
      <c r="R14" s="532">
        <v>150</v>
      </c>
      <c r="S14" s="81"/>
      <c r="T14" s="81"/>
      <c r="U14" s="81"/>
      <c r="V14" s="36"/>
      <c r="X14" s="444"/>
      <c r="Y14">
        <f>MATCH(LEFT(D14,3),$I$4:$I$6,0)+1</f>
        <v>2</v>
      </c>
    </row>
    <row r="15" spans="1:25">
      <c r="B15" s="36"/>
      <c r="C15" s="36"/>
      <c r="D15" s="36"/>
      <c r="E15" s="36" t="s">
        <v>1062</v>
      </c>
      <c r="F15" s="36" t="s">
        <v>1115</v>
      </c>
      <c r="G15" s="36" t="s">
        <v>1063</v>
      </c>
      <c r="H15" s="538"/>
      <c r="I15" s="536">
        <v>2</v>
      </c>
      <c r="J15" s="537">
        <v>9999</v>
      </c>
      <c r="K15" s="538">
        <v>9999</v>
      </c>
      <c r="L15" s="538"/>
      <c r="M15" s="537"/>
      <c r="N15" s="537"/>
      <c r="O15" s="538"/>
      <c r="P15" s="554" t="str">
        <v/>
      </c>
      <c r="Q15" s="411" t="str">
        <v/>
      </c>
      <c r="R15" s="36"/>
      <c r="S15" s="81"/>
      <c r="T15" s="81"/>
      <c r="U15" s="81"/>
      <c r="V15" s="538">
        <v>1</v>
      </c>
      <c r="X15" s="444"/>
    </row>
    <row r="16" spans="1:25">
      <c r="B16" s="36"/>
      <c r="C16" s="36"/>
      <c r="D16" s="36" t="s">
        <v>1115</v>
      </c>
      <c r="E16" s="36"/>
      <c r="F16" s="36"/>
      <c r="G16" s="36" t="s">
        <v>1070</v>
      </c>
      <c r="H16" s="538" t="s">
        <v>767</v>
      </c>
      <c r="I16" s="536">
        <v>4</v>
      </c>
      <c r="J16" s="539">
        <v>0.997</v>
      </c>
      <c r="K16" s="539">
        <v>0.997</v>
      </c>
      <c r="L16" s="538">
        <v>0.9</v>
      </c>
      <c r="M16" s="538"/>
      <c r="N16" s="538"/>
      <c r="O16" s="538"/>
      <c r="P16" s="554" t="str">
        <v/>
      </c>
      <c r="Q16" s="411" t="str">
        <v/>
      </c>
      <c r="R16" s="36"/>
      <c r="S16" s="81"/>
      <c r="T16" s="81"/>
      <c r="U16" s="81"/>
      <c r="V16" s="36"/>
      <c r="X16" s="444"/>
    </row>
    <row r="17" spans="2:25">
      <c r="B17" s="36"/>
      <c r="C17" s="36"/>
      <c r="D17" s="36" t="s">
        <v>1115</v>
      </c>
      <c r="E17" s="36"/>
      <c r="F17" s="538" t="s">
        <v>1128</v>
      </c>
      <c r="G17" s="36" t="s">
        <v>1065</v>
      </c>
      <c r="H17" s="36"/>
      <c r="I17" s="536"/>
      <c r="J17" s="539">
        <v>1</v>
      </c>
      <c r="K17" s="540">
        <v>1</v>
      </c>
      <c r="L17" s="538">
        <f>HLOOKUP(L$13,$P$3:$S$6,$Y14)</f>
        <v>0.96499999999999997</v>
      </c>
      <c r="M17" s="538">
        <f>HLOOKUP(M$13,$P$3:$S$6,$Y14)</f>
        <v>0.91</v>
      </c>
      <c r="N17" s="538">
        <f>HLOOKUP(N$13,$P$3:$S$6,$Y14)</f>
        <v>0.82</v>
      </c>
      <c r="O17" s="538">
        <f>HLOOKUP(O$13,$P$3:$S$6,$Y14)</f>
        <v>0.74</v>
      </c>
      <c r="P17" s="554" t="str">
        <v/>
      </c>
      <c r="Q17" s="411" t="str">
        <v/>
      </c>
      <c r="R17" s="36"/>
      <c r="S17" s="81"/>
      <c r="T17" s="81"/>
      <c r="U17" s="81"/>
      <c r="V17" s="36"/>
      <c r="X17" s="444"/>
    </row>
    <row r="18" spans="2:25">
      <c r="B18" s="528" t="s">
        <v>1073</v>
      </c>
      <c r="C18" s="528" t="s">
        <v>1074</v>
      </c>
      <c r="D18" s="528" t="s">
        <v>1116</v>
      </c>
      <c r="E18" s="528" t="s">
        <v>1129</v>
      </c>
      <c r="F18" s="528"/>
      <c r="G18" s="528" t="s">
        <v>1069</v>
      </c>
      <c r="H18" s="532" t="s">
        <v>924</v>
      </c>
      <c r="I18" s="314"/>
      <c r="J18" s="527">
        <v>1</v>
      </c>
      <c r="K18" s="527">
        <v>1</v>
      </c>
      <c r="L18" s="526">
        <f>K18*HLOOKUP(L$13,$J$3:$M$6,$Y18)^(L$13-K$13)</f>
        <v>0.97914665699999992</v>
      </c>
      <c r="M18" s="526">
        <f>L18*HLOOKUP(M$13,$J$3:$M$6,$Y18)^(M$13-L$13)</f>
        <v>0.91272559728487057</v>
      </c>
      <c r="N18" s="526">
        <f>M18*HLOOKUP(N$13,$J$3:$M$6,$Y18)^(N$13-M$13)</f>
        <v>0.79309497887840863</v>
      </c>
      <c r="O18" s="526">
        <f>N18*HLOOKUP(O$13,$J$3:$M$6,$Y18)^(O$13-N$13)</f>
        <v>0.55819716329724978</v>
      </c>
      <c r="P18" s="554" t="str">
        <v/>
      </c>
      <c r="Q18" s="411" t="str">
        <v/>
      </c>
      <c r="R18" s="532">
        <v>150</v>
      </c>
      <c r="S18" s="81"/>
      <c r="T18" s="81"/>
      <c r="U18" s="81"/>
      <c r="V18" s="36"/>
      <c r="X18" s="444"/>
      <c r="Y18">
        <f>MATCH(LEFT(D18,3),$I$4:$I$6,0)+1</f>
        <v>3</v>
      </c>
    </row>
    <row r="19" spans="2:25">
      <c r="B19" s="36"/>
      <c r="C19" s="36"/>
      <c r="D19" s="36"/>
      <c r="E19" s="36" t="s">
        <v>1076</v>
      </c>
      <c r="F19" s="36" t="s">
        <v>1116</v>
      </c>
      <c r="G19" s="36" t="s">
        <v>1063</v>
      </c>
      <c r="H19" s="538"/>
      <c r="I19" s="536">
        <v>2</v>
      </c>
      <c r="J19" s="537">
        <v>9999</v>
      </c>
      <c r="K19" s="538">
        <v>9999</v>
      </c>
      <c r="L19" s="538"/>
      <c r="M19" s="537"/>
      <c r="N19" s="537"/>
      <c r="O19" s="538"/>
      <c r="P19" s="554" t="str">
        <v/>
      </c>
      <c r="Q19" s="411" t="str">
        <v/>
      </c>
      <c r="R19" s="36"/>
      <c r="S19" s="81"/>
      <c r="T19" s="81"/>
      <c r="U19" s="81"/>
      <c r="V19" s="538">
        <v>1</v>
      </c>
      <c r="X19" s="444"/>
    </row>
    <row r="20" spans="2:25">
      <c r="B20" s="36"/>
      <c r="C20" s="36"/>
      <c r="D20" s="36" t="s">
        <v>1116</v>
      </c>
      <c r="E20" s="36"/>
      <c r="F20" s="36"/>
      <c r="G20" s="36" t="s">
        <v>1070</v>
      </c>
      <c r="H20" s="538" t="s">
        <v>767</v>
      </c>
      <c r="I20" s="536">
        <v>4</v>
      </c>
      <c r="J20" s="539">
        <v>0.997</v>
      </c>
      <c r="K20" s="539">
        <v>0.997</v>
      </c>
      <c r="L20" s="538">
        <v>0.9</v>
      </c>
      <c r="M20" s="538"/>
      <c r="N20" s="538"/>
      <c r="O20" s="538"/>
      <c r="P20" s="554" t="str">
        <v/>
      </c>
      <c r="Q20" s="411" t="str">
        <v/>
      </c>
      <c r="R20" s="36"/>
      <c r="S20" s="81"/>
      <c r="T20" s="81"/>
      <c r="U20" s="81"/>
      <c r="V20" s="36"/>
      <c r="X20" s="444"/>
    </row>
    <row r="21" spans="2:25">
      <c r="B21" s="36"/>
      <c r="C21" s="36"/>
      <c r="D21" s="36" t="s">
        <v>1116</v>
      </c>
      <c r="E21" s="36"/>
      <c r="F21" s="538" t="s">
        <v>1129</v>
      </c>
      <c r="G21" s="36" t="s">
        <v>1065</v>
      </c>
      <c r="H21" s="36"/>
      <c r="I21" s="536"/>
      <c r="J21" s="539">
        <v>1</v>
      </c>
      <c r="K21" s="540">
        <v>1</v>
      </c>
      <c r="L21" s="538">
        <f>HLOOKUP(L$13,$P$3:$S$6,$Y18)</f>
        <v>0.95499999999999996</v>
      </c>
      <c r="M21" s="538">
        <f>HLOOKUP(M$13,$P$3:$S$6,$Y18)</f>
        <v>0.9</v>
      </c>
      <c r="N21" s="538">
        <f>HLOOKUP(N$13,$P$3:$S$6,$Y18)</f>
        <v>0.8</v>
      </c>
      <c r="O21" s="538">
        <f>HLOOKUP(O$13,$P$3:$S$6,$Y18)</f>
        <v>0.72</v>
      </c>
      <c r="P21" s="554" t="str">
        <v/>
      </c>
      <c r="Q21" s="411" t="str">
        <v/>
      </c>
      <c r="R21" s="36"/>
      <c r="S21" s="81"/>
      <c r="T21" s="81"/>
      <c r="U21" s="81"/>
      <c r="V21" s="36"/>
      <c r="X21" s="444"/>
    </row>
    <row r="22" spans="2:25">
      <c r="B22" s="528" t="s">
        <v>1078</v>
      </c>
      <c r="C22" s="528" t="s">
        <v>1079</v>
      </c>
      <c r="D22" s="528" t="s">
        <v>1117</v>
      </c>
      <c r="E22" s="528" t="s">
        <v>1130</v>
      </c>
      <c r="F22" s="528"/>
      <c r="G22" s="528" t="s">
        <v>1069</v>
      </c>
      <c r="H22" s="532" t="s">
        <v>924</v>
      </c>
      <c r="I22" s="314"/>
      <c r="J22" s="527">
        <v>1</v>
      </c>
      <c r="K22" s="527">
        <v>1</v>
      </c>
      <c r="L22" s="526">
        <f>K22*HLOOKUP(L$13,$J$3:$M$6,$Y22)^(L$13-K$13)</f>
        <v>0.96736166899999998</v>
      </c>
      <c r="M22" s="526">
        <f>L22*HLOOKUP(M$13,$J$3:$M$6,$Y22)^(M$13-L$13)</f>
        <v>0.86606759804919597</v>
      </c>
      <c r="N22" s="526">
        <f>M22*HLOOKUP(N$13,$J$3:$M$6,$Y22)^(N$13-M$13)</f>
        <v>0.69418883228160755</v>
      </c>
      <c r="O22" s="526">
        <f>N22*HLOOKUP(O$13,$J$3:$M$6,$Y22)^(O$13-N$13)</f>
        <v>0.39929346514189512</v>
      </c>
      <c r="P22" s="554" t="str">
        <v/>
      </c>
      <c r="Q22" s="411" t="str">
        <v/>
      </c>
      <c r="R22" s="532">
        <v>150</v>
      </c>
      <c r="S22" s="81"/>
      <c r="T22" s="81"/>
      <c r="U22" s="81"/>
      <c r="V22" s="36"/>
      <c r="X22" s="444"/>
      <c r="Y22">
        <f>MATCH(LEFT(D22,3),$I$4:$I$6,0)+1</f>
        <v>4</v>
      </c>
    </row>
    <row r="23" spans="2:25">
      <c r="B23" s="36"/>
      <c r="C23" s="36"/>
      <c r="D23" s="36"/>
      <c r="E23" s="36" t="s">
        <v>1159</v>
      </c>
      <c r="F23" s="36" t="s">
        <v>1117</v>
      </c>
      <c r="G23" s="36" t="s">
        <v>1063</v>
      </c>
      <c r="H23" s="538"/>
      <c r="I23" s="536">
        <v>2</v>
      </c>
      <c r="J23" s="537">
        <v>9999</v>
      </c>
      <c r="K23" s="538">
        <v>9999</v>
      </c>
      <c r="L23" s="538"/>
      <c r="M23" s="537"/>
      <c r="N23" s="537"/>
      <c r="O23" s="538"/>
      <c r="P23" s="554" t="str">
        <v/>
      </c>
      <c r="Q23" s="81" t="str">
        <v/>
      </c>
      <c r="R23" s="36"/>
      <c r="S23" s="81"/>
      <c r="T23" s="81"/>
      <c r="U23" s="81"/>
      <c r="V23" s="538">
        <v>1</v>
      </c>
      <c r="X23" s="444"/>
    </row>
    <row r="24" spans="2:25">
      <c r="B24" s="36"/>
      <c r="C24" s="36"/>
      <c r="D24" s="36" t="s">
        <v>1117</v>
      </c>
      <c r="E24" s="36"/>
      <c r="F24" s="36"/>
      <c r="G24" s="36" t="s">
        <v>1070</v>
      </c>
      <c r="H24" s="538" t="s">
        <v>767</v>
      </c>
      <c r="I24" s="536">
        <v>4</v>
      </c>
      <c r="J24" s="539">
        <v>0.997</v>
      </c>
      <c r="K24" s="539">
        <v>0.997</v>
      </c>
      <c r="L24" s="538">
        <v>0.9</v>
      </c>
      <c r="M24" s="538"/>
      <c r="N24" s="538"/>
      <c r="O24" s="538"/>
      <c r="P24" s="554" t="str">
        <v/>
      </c>
      <c r="Q24" s="81" t="str">
        <v/>
      </c>
      <c r="R24" s="36"/>
      <c r="S24" s="81"/>
      <c r="T24" s="81"/>
      <c r="U24" s="81"/>
      <c r="V24" s="36"/>
      <c r="X24" s="444"/>
    </row>
    <row r="25" spans="2:25">
      <c r="B25" s="36"/>
      <c r="C25" s="36"/>
      <c r="D25" s="36" t="s">
        <v>1117</v>
      </c>
      <c r="E25" s="36"/>
      <c r="F25" s="538" t="s">
        <v>1130</v>
      </c>
      <c r="G25" s="36" t="s">
        <v>1065</v>
      </c>
      <c r="H25" s="36"/>
      <c r="I25" s="536"/>
      <c r="J25" s="539">
        <v>1</v>
      </c>
      <c r="K25" s="540">
        <v>1</v>
      </c>
      <c r="L25" s="538">
        <f>HLOOKUP(L$13,$P$3:$S$6,$Y22)</f>
        <v>0.95499999999999996</v>
      </c>
      <c r="M25" s="538">
        <f>HLOOKUP(M$13,$P$3:$S$6,$Y22)</f>
        <v>0.89</v>
      </c>
      <c r="N25" s="538">
        <f>HLOOKUP(N$13,$P$3:$S$6,$Y22)</f>
        <v>0.8</v>
      </c>
      <c r="O25" s="538">
        <f>HLOOKUP(O$13,$P$3:$S$6,$Y22)</f>
        <v>0.72</v>
      </c>
      <c r="P25" s="554" t="str">
        <v/>
      </c>
      <c r="Q25" s="81" t="str">
        <v/>
      </c>
      <c r="R25" s="36"/>
      <c r="S25" s="81"/>
      <c r="T25" s="81"/>
      <c r="U25" s="81"/>
      <c r="V25" s="36"/>
      <c r="X25" s="444"/>
    </row>
    <row r="26" spans="2:25">
      <c r="B26" s="293" t="s">
        <v>1067</v>
      </c>
      <c r="C26" s="293" t="str">
        <f>"Residential.1.INS.New."&amp;TEXT(X26,"0%")</f>
        <v>Residential.1.INS.New.40%</v>
      </c>
      <c r="D26" s="293" t="s">
        <v>1115</v>
      </c>
      <c r="E26" s="293"/>
      <c r="F26" s="295"/>
      <c r="G26" s="293" t="s">
        <v>861</v>
      </c>
      <c r="H26" s="293"/>
      <c r="I26" s="314"/>
      <c r="J26" s="411"/>
      <c r="K26" s="531">
        <f>1/$X26-1</f>
        <v>1.5</v>
      </c>
      <c r="L26" s="526"/>
      <c r="M26" s="526"/>
      <c r="N26" s="526"/>
      <c r="O26" s="526"/>
      <c r="P26" s="555">
        <v>24.5493701414375</v>
      </c>
      <c r="Q26" s="295">
        <v>1</v>
      </c>
      <c r="R26" s="295">
        <v>100</v>
      </c>
      <c r="S26" s="295">
        <f ca="1">AuxYear+1</f>
        <v>2018</v>
      </c>
      <c r="T26" s="295"/>
      <c r="U26" s="295"/>
      <c r="V26" s="295"/>
      <c r="X26" s="444">
        <v>0.4</v>
      </c>
    </row>
    <row r="27" spans="2:25">
      <c r="B27" s="12"/>
      <c r="C27" s="12"/>
      <c r="D27" s="12" t="s">
        <v>1066</v>
      </c>
      <c r="E27" s="12"/>
      <c r="F27" s="12"/>
      <c r="G27" s="12" t="s">
        <v>861</v>
      </c>
      <c r="H27" s="12"/>
      <c r="I27" s="536"/>
      <c r="J27" s="411"/>
      <c r="K27" s="541">
        <f>MIN(K26,(K26)*(1/0.75/(K26+1))^2)</f>
        <v>0.42666666666666664</v>
      </c>
      <c r="L27" s="541"/>
      <c r="M27" s="541"/>
      <c r="N27" s="541"/>
      <c r="O27" s="541"/>
      <c r="P27" s="515"/>
      <c r="Q27" s="369"/>
      <c r="R27" s="369"/>
      <c r="S27" s="369"/>
      <c r="T27" s="369"/>
      <c r="U27" s="369"/>
      <c r="V27" s="369"/>
      <c r="X27" s="444"/>
    </row>
    <row r="28" spans="2:25">
      <c r="B28" s="12"/>
      <c r="C28" s="12"/>
      <c r="D28" s="12"/>
      <c r="E28" s="12" t="s">
        <v>1062</v>
      </c>
      <c r="F28" s="369" t="s">
        <v>1072</v>
      </c>
      <c r="G28" s="12" t="s">
        <v>1071</v>
      </c>
      <c r="H28" s="12"/>
      <c r="I28" s="296"/>
      <c r="J28" s="411"/>
      <c r="K28" s="540">
        <f>$K26/K$17</f>
        <v>1.5</v>
      </c>
      <c r="L28" s="540">
        <f>$K26/L$17</f>
        <v>1.5544041450777202</v>
      </c>
      <c r="M28" s="540">
        <f>$K26/M$17</f>
        <v>1.6483516483516483</v>
      </c>
      <c r="N28" s="540">
        <f>$K26/N$17</f>
        <v>1.8292682926829269</v>
      </c>
      <c r="O28" s="540">
        <f>$K26/O$17</f>
        <v>2.0270270270270272</v>
      </c>
      <c r="P28" s="515"/>
      <c r="Q28" s="369"/>
      <c r="R28" s="369"/>
      <c r="S28" s="369"/>
      <c r="T28" s="369">
        <v>40</v>
      </c>
      <c r="U28" s="369">
        <v>40</v>
      </c>
      <c r="V28" s="369"/>
      <c r="X28" s="444"/>
    </row>
    <row r="29" spans="2:25">
      <c r="B29" s="12"/>
      <c r="C29" s="12"/>
      <c r="D29" s="12"/>
      <c r="E29" s="12" t="s">
        <v>1128</v>
      </c>
      <c r="F29" s="12"/>
      <c r="G29" s="12" t="s">
        <v>1094</v>
      </c>
      <c r="H29" s="12"/>
      <c r="I29" s="296"/>
      <c r="J29" s="358"/>
      <c r="K29" s="368">
        <f>1/(K$17*$X26)</f>
        <v>2.5</v>
      </c>
      <c r="L29" s="368">
        <f>1/(L$17*$X26)</f>
        <v>2.5906735751295336</v>
      </c>
      <c r="M29" s="368">
        <f>1/(M$17*$X26)</f>
        <v>2.7472527472527468</v>
      </c>
      <c r="N29" s="368">
        <f>1/(N$17*$X26)</f>
        <v>3.0487804878048781</v>
      </c>
      <c r="O29" s="368">
        <f>1/(O$17*$X26)</f>
        <v>3.3783783783783785</v>
      </c>
      <c r="P29" s="515"/>
      <c r="Q29" s="369"/>
      <c r="R29" s="369"/>
      <c r="S29" s="369"/>
      <c r="T29" s="369"/>
      <c r="U29" s="369"/>
      <c r="V29" s="369"/>
      <c r="X29" s="444"/>
    </row>
    <row r="30" spans="2:25">
      <c r="B30" s="293" t="s">
        <v>1081</v>
      </c>
      <c r="C30" s="293" t="str">
        <f>"Residential.1.INS.New."&amp;TEXT(X30,"0%")</f>
        <v>Residential.1.INS.New.55%</v>
      </c>
      <c r="D30" s="293" t="s">
        <v>1115</v>
      </c>
      <c r="E30" s="293"/>
      <c r="F30" s="295"/>
      <c r="G30" s="293" t="s">
        <v>861</v>
      </c>
      <c r="H30" s="293"/>
      <c r="I30" s="314"/>
      <c r="J30" s="411"/>
      <c r="K30" s="531">
        <f>1/$X30-1</f>
        <v>0.81818181818181812</v>
      </c>
      <c r="L30" s="526"/>
      <c r="M30" s="526"/>
      <c r="N30" s="526"/>
      <c r="O30" s="526"/>
      <c r="P30" s="555">
        <f>P26+100</f>
        <v>124.54937014143749</v>
      </c>
      <c r="Q30" s="295">
        <v>1</v>
      </c>
      <c r="R30" s="295">
        <v>100</v>
      </c>
      <c r="S30" s="295">
        <f ca="1">AuxYear+1</f>
        <v>2018</v>
      </c>
      <c r="T30" s="295"/>
      <c r="U30" s="295"/>
      <c r="V30" s="295"/>
      <c r="X30" s="444">
        <v>0.55000000000000004</v>
      </c>
    </row>
    <row r="31" spans="2:25">
      <c r="B31" s="12"/>
      <c r="C31" s="12"/>
      <c r="D31" s="12" t="s">
        <v>1066</v>
      </c>
      <c r="E31" s="12"/>
      <c r="F31" s="12"/>
      <c r="G31" s="12" t="s">
        <v>861</v>
      </c>
      <c r="H31" s="12"/>
      <c r="I31" s="536"/>
      <c r="J31" s="411"/>
      <c r="K31" s="541">
        <f>MIN(K30,(K30)*(1/0.75/(K30+1))^2)</f>
        <v>0.43999999999999989</v>
      </c>
      <c r="L31" s="541"/>
      <c r="M31" s="541"/>
      <c r="N31" s="541"/>
      <c r="O31" s="541"/>
      <c r="P31" s="515"/>
      <c r="Q31" s="369"/>
      <c r="R31" s="369"/>
      <c r="S31" s="369"/>
      <c r="T31" s="369"/>
      <c r="U31" s="369"/>
      <c r="V31" s="369"/>
      <c r="X31" s="444"/>
    </row>
    <row r="32" spans="2:25">
      <c r="B32" s="12"/>
      <c r="C32" s="12"/>
      <c r="D32" s="12"/>
      <c r="E32" s="12" t="s">
        <v>1062</v>
      </c>
      <c r="F32" s="369" t="s">
        <v>1072</v>
      </c>
      <c r="G32" s="12" t="s">
        <v>1071</v>
      </c>
      <c r="H32" s="12"/>
      <c r="I32" s="296"/>
      <c r="J32" s="411"/>
      <c r="K32" s="540">
        <f>$K30/K$17</f>
        <v>0.81818181818181812</v>
      </c>
      <c r="L32" s="540">
        <f>$K30/L$17</f>
        <v>0.84785680640602912</v>
      </c>
      <c r="M32" s="540">
        <f>$K30/M$17</f>
        <v>0.89910089910089896</v>
      </c>
      <c r="N32" s="540">
        <f>$K30/N$17</f>
        <v>0.99778270509977829</v>
      </c>
      <c r="O32" s="540">
        <f>$K30/O$17</f>
        <v>1.1056511056511056</v>
      </c>
      <c r="P32" s="515"/>
      <c r="Q32" s="369"/>
      <c r="R32" s="369"/>
      <c r="S32" s="369"/>
      <c r="T32" s="369">
        <v>40</v>
      </c>
      <c r="U32" s="369">
        <v>40</v>
      </c>
      <c r="V32" s="369"/>
      <c r="X32" s="444"/>
    </row>
    <row r="33" spans="2:24">
      <c r="B33" s="12"/>
      <c r="C33" s="12"/>
      <c r="D33" s="12"/>
      <c r="E33" s="12" t="s">
        <v>1128</v>
      </c>
      <c r="F33" s="12"/>
      <c r="G33" s="12" t="s">
        <v>1094</v>
      </c>
      <c r="H33" s="12"/>
      <c r="I33" s="296"/>
      <c r="J33" s="358"/>
      <c r="K33" s="368">
        <f>1/(K$17*$X30)</f>
        <v>1.8181818181818181</v>
      </c>
      <c r="L33" s="368">
        <f>1/(L$17*$X30)</f>
        <v>1.8841262364578424</v>
      </c>
      <c r="M33" s="368">
        <f>1/(M$17*$X30)</f>
        <v>1.9980019980019978</v>
      </c>
      <c r="N33" s="368">
        <f>1/(N$17*$X30)</f>
        <v>2.2172949002217295</v>
      </c>
      <c r="O33" s="368">
        <f>1/(O$17*$X30)</f>
        <v>2.4570024570024569</v>
      </c>
      <c r="P33" s="515"/>
      <c r="Q33" s="369"/>
      <c r="R33" s="369"/>
      <c r="S33" s="369"/>
      <c r="T33" s="369"/>
      <c r="U33" s="369"/>
      <c r="V33" s="369"/>
      <c r="X33" s="444"/>
    </row>
    <row r="34" spans="2:24">
      <c r="B34" s="293" t="s">
        <v>1082</v>
      </c>
      <c r="C34" s="293" t="str">
        <f>"Residential.1.INS.New."&amp;TEXT(X34,"0%")</f>
        <v>Residential.1.INS.New.70%</v>
      </c>
      <c r="D34" s="293" t="s">
        <v>1115</v>
      </c>
      <c r="E34" s="293"/>
      <c r="F34" s="295"/>
      <c r="G34" s="293" t="s">
        <v>861</v>
      </c>
      <c r="H34" s="293"/>
      <c r="I34" s="314"/>
      <c r="J34" s="411"/>
      <c r="K34" s="531">
        <f>1/$X34-1</f>
        <v>0.4285714285714286</v>
      </c>
      <c r="L34" s="526"/>
      <c r="M34" s="526"/>
      <c r="N34" s="526"/>
      <c r="O34" s="526"/>
      <c r="P34" s="555">
        <f>P30+80</f>
        <v>204.54937014143749</v>
      </c>
      <c r="Q34" s="295">
        <v>1</v>
      </c>
      <c r="R34" s="295">
        <v>100</v>
      </c>
      <c r="S34" s="295">
        <f ca="1">AuxYear+1</f>
        <v>2018</v>
      </c>
      <c r="T34" s="295"/>
      <c r="U34" s="295"/>
      <c r="V34" s="295"/>
      <c r="X34" s="444">
        <v>0.7</v>
      </c>
    </row>
    <row r="35" spans="2:24">
      <c r="B35" s="12"/>
      <c r="C35" s="12"/>
      <c r="D35" s="12" t="s">
        <v>1066</v>
      </c>
      <c r="E35" s="12"/>
      <c r="F35" s="12"/>
      <c r="G35" s="12" t="s">
        <v>861</v>
      </c>
      <c r="H35" s="12"/>
      <c r="I35" s="536"/>
      <c r="J35" s="411"/>
      <c r="K35" s="541">
        <f>MIN(K34,(K34)*(1/0.75/(K34+1))^2)</f>
        <v>0.37333333333333329</v>
      </c>
      <c r="L35" s="541"/>
      <c r="M35" s="541"/>
      <c r="N35" s="541"/>
      <c r="O35" s="541"/>
      <c r="P35" s="515"/>
      <c r="Q35" s="369"/>
      <c r="R35" s="369"/>
      <c r="S35" s="369"/>
      <c r="T35" s="369"/>
      <c r="U35" s="369"/>
      <c r="V35" s="369"/>
      <c r="X35" s="444"/>
    </row>
    <row r="36" spans="2:24">
      <c r="B36" s="12"/>
      <c r="C36" s="12"/>
      <c r="D36" s="12"/>
      <c r="E36" s="12" t="s">
        <v>1062</v>
      </c>
      <c r="F36" s="369" t="s">
        <v>1072</v>
      </c>
      <c r="G36" s="12" t="s">
        <v>1071</v>
      </c>
      <c r="H36" s="12"/>
      <c r="I36" s="296"/>
      <c r="J36" s="411"/>
      <c r="K36" s="540">
        <f>$K34/K$17</f>
        <v>0.4285714285714286</v>
      </c>
      <c r="L36" s="540">
        <f>$K34/L$17</f>
        <v>0.4441154700222058</v>
      </c>
      <c r="M36" s="540">
        <f>$K34/M$17</f>
        <v>0.4709576138147567</v>
      </c>
      <c r="N36" s="540">
        <f>$K34/N$17</f>
        <v>0.52264808362369342</v>
      </c>
      <c r="O36" s="540">
        <f>$K34/O$17</f>
        <v>0.57915057915057921</v>
      </c>
      <c r="P36" s="515"/>
      <c r="Q36" s="369"/>
      <c r="R36" s="369"/>
      <c r="S36" s="369"/>
      <c r="T36" s="369">
        <v>40</v>
      </c>
      <c r="U36" s="369">
        <v>40</v>
      </c>
      <c r="V36" s="369"/>
      <c r="X36" s="444"/>
    </row>
    <row r="37" spans="2:24">
      <c r="B37" s="12"/>
      <c r="C37" s="12"/>
      <c r="D37" s="12"/>
      <c r="E37" s="12" t="s">
        <v>1128</v>
      </c>
      <c r="F37" s="12"/>
      <c r="G37" s="12" t="s">
        <v>1094</v>
      </c>
      <c r="H37" s="12"/>
      <c r="I37" s="296"/>
      <c r="J37" s="358"/>
      <c r="K37" s="368">
        <f>1/(K$17*$X34)</f>
        <v>1.4285714285714286</v>
      </c>
      <c r="L37" s="368">
        <f>1/(L$17*$X34)</f>
        <v>1.4803849000740192</v>
      </c>
      <c r="M37" s="368">
        <f>1/(M$17*$X34)</f>
        <v>1.5698587127158556</v>
      </c>
      <c r="N37" s="368">
        <f>1/(N$17*$X34)</f>
        <v>1.7421602787456447</v>
      </c>
      <c r="O37" s="368">
        <f>1/(O$17*$X34)</f>
        <v>1.9305019305019304</v>
      </c>
      <c r="P37" s="515"/>
      <c r="Q37" s="369"/>
      <c r="R37" s="369"/>
      <c r="S37" s="369"/>
      <c r="T37" s="369"/>
      <c r="U37" s="369"/>
      <c r="V37" s="369"/>
      <c r="X37" s="444"/>
    </row>
    <row r="38" spans="2:24">
      <c r="B38" s="293" t="s">
        <v>1083</v>
      </c>
      <c r="C38" s="293" t="str">
        <f>"Residential.1.INS.New."&amp;TEXT(X38,"0%")</f>
        <v>Residential.1.INS.New.80%</v>
      </c>
      <c r="D38" s="293" t="s">
        <v>1115</v>
      </c>
      <c r="E38" s="293"/>
      <c r="F38" s="295"/>
      <c r="G38" s="293" t="s">
        <v>861</v>
      </c>
      <c r="H38" s="293"/>
      <c r="I38" s="314"/>
      <c r="J38" s="411"/>
      <c r="K38" s="531">
        <f>1/$X38-1</f>
        <v>0.25</v>
      </c>
      <c r="L38" s="526"/>
      <c r="M38" s="526"/>
      <c r="N38" s="526"/>
      <c r="O38" s="526"/>
      <c r="P38" s="555">
        <f>P34+80</f>
        <v>284.54937014143752</v>
      </c>
      <c r="Q38" s="295">
        <v>1</v>
      </c>
      <c r="R38" s="295">
        <v>100</v>
      </c>
      <c r="S38" s="295">
        <f ca="1">AuxYear+1</f>
        <v>2018</v>
      </c>
      <c r="T38" s="295"/>
      <c r="U38" s="295"/>
      <c r="V38" s="295"/>
      <c r="X38" s="444">
        <v>0.8</v>
      </c>
    </row>
    <row r="39" spans="2:24">
      <c r="B39" s="12"/>
      <c r="C39" s="12"/>
      <c r="D39" s="12" t="s">
        <v>1066</v>
      </c>
      <c r="E39" s="12"/>
      <c r="F39" s="12"/>
      <c r="G39" s="12" t="s">
        <v>861</v>
      </c>
      <c r="H39" s="12"/>
      <c r="I39" s="536"/>
      <c r="J39" s="411"/>
      <c r="K39" s="541">
        <f>MIN(K38,(K38)*(1/0.75/(K38+1))^2)</f>
        <v>0.25</v>
      </c>
      <c r="L39" s="541"/>
      <c r="M39" s="541"/>
      <c r="N39" s="541"/>
      <c r="O39" s="541"/>
      <c r="P39" s="515"/>
      <c r="Q39" s="369"/>
      <c r="R39" s="369"/>
      <c r="S39" s="369"/>
      <c r="T39" s="369"/>
      <c r="U39" s="369"/>
      <c r="V39" s="369"/>
      <c r="X39" s="444"/>
    </row>
    <row r="40" spans="2:24">
      <c r="B40" s="12"/>
      <c r="C40" s="12"/>
      <c r="D40" s="12"/>
      <c r="E40" s="12" t="s">
        <v>1062</v>
      </c>
      <c r="F40" s="369" t="s">
        <v>1072</v>
      </c>
      <c r="G40" s="12" t="s">
        <v>1071</v>
      </c>
      <c r="H40" s="12"/>
      <c r="I40" s="296"/>
      <c r="J40" s="411"/>
      <c r="K40" s="540">
        <f>$K38/K$17</f>
        <v>0.25</v>
      </c>
      <c r="L40" s="540">
        <f>$K38/L$17</f>
        <v>0.2590673575129534</v>
      </c>
      <c r="M40" s="540">
        <f>$K38/M$17</f>
        <v>0.27472527472527469</v>
      </c>
      <c r="N40" s="540">
        <f>$K38/N$17</f>
        <v>0.3048780487804878</v>
      </c>
      <c r="O40" s="540">
        <f>$K38/O$17</f>
        <v>0.33783783783783783</v>
      </c>
      <c r="P40" s="515"/>
      <c r="Q40" s="369"/>
      <c r="R40" s="369"/>
      <c r="S40" s="369"/>
      <c r="T40" s="369">
        <v>40</v>
      </c>
      <c r="U40" s="369">
        <v>40</v>
      </c>
      <c r="V40" s="369"/>
      <c r="X40" s="444"/>
    </row>
    <row r="41" spans="2:24">
      <c r="B41" s="12"/>
      <c r="C41" s="12"/>
      <c r="D41" s="12"/>
      <c r="E41" s="12" t="s">
        <v>1128</v>
      </c>
      <c r="F41" s="12"/>
      <c r="G41" s="12" t="s">
        <v>1094</v>
      </c>
      <c r="H41" s="12"/>
      <c r="I41" s="296"/>
      <c r="J41" s="358"/>
      <c r="K41" s="368">
        <f>1/(K$17*$X38)</f>
        <v>1.25</v>
      </c>
      <c r="L41" s="368">
        <f>1/(L$17*$X38)</f>
        <v>1.2953367875647668</v>
      </c>
      <c r="M41" s="368">
        <f>1/(M$17*$X38)</f>
        <v>1.3736263736263734</v>
      </c>
      <c r="N41" s="368">
        <f>1/(N$17*$X38)</f>
        <v>1.524390243902439</v>
      </c>
      <c r="O41" s="368">
        <f>1/(O$17*$X38)</f>
        <v>1.6891891891891893</v>
      </c>
      <c r="P41" s="515"/>
      <c r="Q41" s="369"/>
      <c r="R41" s="369"/>
      <c r="S41" s="369"/>
      <c r="T41" s="369"/>
      <c r="U41" s="369"/>
      <c r="V41" s="369"/>
      <c r="X41" s="444"/>
    </row>
    <row r="42" spans="2:24">
      <c r="B42" s="293" t="s">
        <v>1135</v>
      </c>
      <c r="C42" s="293" t="str">
        <f>"Residential.1.INS.New."&amp;TEXT(X42,"0%")</f>
        <v>Residential.1.INS.New.90%</v>
      </c>
      <c r="D42" s="293" t="s">
        <v>1115</v>
      </c>
      <c r="E42" s="293"/>
      <c r="F42" s="295"/>
      <c r="G42" s="293" t="s">
        <v>861</v>
      </c>
      <c r="H42" s="293"/>
      <c r="I42" s="314"/>
      <c r="J42" s="411"/>
      <c r="K42" s="531">
        <f>1/$X42-1</f>
        <v>0.11111111111111116</v>
      </c>
      <c r="L42" s="526"/>
      <c r="M42" s="526"/>
      <c r="N42" s="526"/>
      <c r="O42" s="526"/>
      <c r="P42" s="555">
        <f>P38+80</f>
        <v>364.54937014143752</v>
      </c>
      <c r="Q42" s="295">
        <v>1</v>
      </c>
      <c r="R42" s="295">
        <v>100</v>
      </c>
      <c r="S42" s="295">
        <f ca="1">AuxYear+1</f>
        <v>2018</v>
      </c>
      <c r="T42" s="295"/>
      <c r="U42" s="295"/>
      <c r="V42" s="295"/>
      <c r="X42" s="444">
        <v>0.9</v>
      </c>
    </row>
    <row r="43" spans="2:24">
      <c r="B43" s="12"/>
      <c r="C43" s="12"/>
      <c r="D43" s="12" t="s">
        <v>1066</v>
      </c>
      <c r="E43" s="12"/>
      <c r="F43" s="12"/>
      <c r="G43" s="12" t="s">
        <v>861</v>
      </c>
      <c r="H43" s="12"/>
      <c r="I43" s="536"/>
      <c r="J43" s="411"/>
      <c r="K43" s="541">
        <f>MIN(K42,(K42)*(1/0.75/(K42+1))^2)</f>
        <v>0.11111111111111116</v>
      </c>
      <c r="L43" s="541"/>
      <c r="M43" s="541"/>
      <c r="N43" s="541"/>
      <c r="O43" s="541"/>
      <c r="P43" s="515"/>
      <c r="Q43" s="369"/>
      <c r="R43" s="369"/>
      <c r="S43" s="369"/>
      <c r="T43" s="369"/>
      <c r="U43" s="369"/>
      <c r="V43" s="369"/>
      <c r="X43" s="444"/>
    </row>
    <row r="44" spans="2:24">
      <c r="B44" s="12"/>
      <c r="C44" s="12"/>
      <c r="D44" s="12"/>
      <c r="E44" s="12" t="s">
        <v>1062</v>
      </c>
      <c r="F44" s="369" t="s">
        <v>1072</v>
      </c>
      <c r="G44" s="12" t="s">
        <v>1071</v>
      </c>
      <c r="H44" s="12"/>
      <c r="I44" s="296"/>
      <c r="J44" s="411"/>
      <c r="K44" s="540">
        <f>$K42/K$17</f>
        <v>0.11111111111111116</v>
      </c>
      <c r="L44" s="540">
        <f>$K42/L$17</f>
        <v>0.11514104778353489</v>
      </c>
      <c r="M44" s="540">
        <f>$K42/M$17</f>
        <v>0.12210012210012215</v>
      </c>
      <c r="N44" s="540">
        <f>$K42/N$17</f>
        <v>0.13550135501355021</v>
      </c>
      <c r="O44" s="540">
        <f>$K42/O$17</f>
        <v>0.15015015015015021</v>
      </c>
      <c r="P44" s="515"/>
      <c r="Q44" s="369"/>
      <c r="R44" s="369"/>
      <c r="S44" s="369"/>
      <c r="T44" s="369">
        <v>40</v>
      </c>
      <c r="U44" s="369">
        <v>40</v>
      </c>
      <c r="V44" s="369"/>
      <c r="X44" s="444"/>
    </row>
    <row r="45" spans="2:24">
      <c r="B45" s="12"/>
      <c r="C45" s="12"/>
      <c r="D45" s="12"/>
      <c r="E45" s="12" t="s">
        <v>1128</v>
      </c>
      <c r="F45" s="12"/>
      <c r="G45" s="12" t="s">
        <v>1094</v>
      </c>
      <c r="H45" s="12"/>
      <c r="I45" s="296"/>
      <c r="J45" s="358"/>
      <c r="K45" s="368">
        <f>1/(K$17*$X42)</f>
        <v>1.1111111111111112</v>
      </c>
      <c r="L45" s="368">
        <f>1/(L$17*$X42)</f>
        <v>1.1514104778353484</v>
      </c>
      <c r="M45" s="368">
        <f>1/(M$17*$X42)</f>
        <v>1.2210012210012209</v>
      </c>
      <c r="N45" s="368">
        <f>1/(N$17*$X42)</f>
        <v>1.3550135501355014</v>
      </c>
      <c r="O45" s="368">
        <f>1/(O$17*$X42)</f>
        <v>1.5015015015015014</v>
      </c>
      <c r="P45" s="515"/>
      <c r="Q45" s="369"/>
      <c r="R45" s="369"/>
      <c r="S45" s="369"/>
      <c r="T45" s="369"/>
      <c r="U45" s="369"/>
      <c r="V45" s="369"/>
      <c r="X45" s="444"/>
    </row>
    <row r="46" spans="2:24">
      <c r="B46" s="293" t="s">
        <v>1077</v>
      </c>
      <c r="C46" s="293" t="str">
        <f>"Residential.2.INS.New."&amp;TEXT(X46,"0%")</f>
        <v>Residential.2.INS.New.40%</v>
      </c>
      <c r="D46" s="293" t="s">
        <v>1116</v>
      </c>
      <c r="E46" s="293"/>
      <c r="F46" s="295"/>
      <c r="G46" s="293" t="s">
        <v>861</v>
      </c>
      <c r="H46" s="293"/>
      <c r="I46" s="314"/>
      <c r="J46" s="411"/>
      <c r="K46" s="531">
        <f>1/$X46-1</f>
        <v>1.5</v>
      </c>
      <c r="L46" s="526"/>
      <c r="M46" s="526"/>
      <c r="N46" s="526"/>
      <c r="O46" s="526"/>
      <c r="P46" s="555">
        <v>24.5493701414375</v>
      </c>
      <c r="Q46" s="295">
        <v>1</v>
      </c>
      <c r="R46" s="295">
        <v>100</v>
      </c>
      <c r="S46" s="295">
        <f ca="1">AuxYear+1</f>
        <v>2018</v>
      </c>
      <c r="T46" s="295"/>
      <c r="U46" s="295"/>
      <c r="V46" s="295"/>
      <c r="X46" s="444">
        <v>0.4</v>
      </c>
    </row>
    <row r="47" spans="2:24">
      <c r="B47" s="12"/>
      <c r="C47" s="12"/>
      <c r="D47" s="12" t="s">
        <v>1075</v>
      </c>
      <c r="E47" s="12"/>
      <c r="F47" s="12"/>
      <c r="G47" s="12" t="s">
        <v>861</v>
      </c>
      <c r="H47" s="12"/>
      <c r="I47" s="536"/>
      <c r="J47" s="411"/>
      <c r="K47" s="541">
        <f>MIN(K46,(K46)*(1/0.75/(K46+1))^2)</f>
        <v>0.42666666666666664</v>
      </c>
      <c r="L47" s="541"/>
      <c r="M47" s="541"/>
      <c r="N47" s="541"/>
      <c r="O47" s="541"/>
      <c r="P47" s="515"/>
      <c r="Q47" s="369"/>
      <c r="R47" s="369"/>
      <c r="S47" s="369"/>
      <c r="T47" s="369"/>
      <c r="U47" s="369"/>
      <c r="V47" s="369"/>
      <c r="X47" s="444"/>
    </row>
    <row r="48" spans="2:24">
      <c r="B48" s="12"/>
      <c r="C48" s="12"/>
      <c r="D48" s="12"/>
      <c r="E48" s="12" t="s">
        <v>1076</v>
      </c>
      <c r="F48" s="369" t="s">
        <v>1072</v>
      </c>
      <c r="G48" s="12" t="s">
        <v>1071</v>
      </c>
      <c r="H48" s="12"/>
      <c r="I48" s="296"/>
      <c r="J48" s="411"/>
      <c r="K48" s="540">
        <f>$K46/K$21</f>
        <v>1.5</v>
      </c>
      <c r="L48" s="540">
        <f>$K46/L$21</f>
        <v>1.5706806282722514</v>
      </c>
      <c r="M48" s="540">
        <f>$K46/M$21</f>
        <v>1.6666666666666665</v>
      </c>
      <c r="N48" s="540">
        <f>$K46/N$21</f>
        <v>1.875</v>
      </c>
      <c r="O48" s="540">
        <f>$K46/O$21</f>
        <v>2.0833333333333335</v>
      </c>
      <c r="P48" s="515"/>
      <c r="Q48" s="369"/>
      <c r="R48" s="369"/>
      <c r="S48" s="369"/>
      <c r="T48" s="369">
        <v>40</v>
      </c>
      <c r="U48" s="369">
        <v>40</v>
      </c>
      <c r="V48" s="369"/>
      <c r="X48" s="444"/>
    </row>
    <row r="49" spans="2:24">
      <c r="B49" s="12"/>
      <c r="C49" s="12"/>
      <c r="D49" s="12"/>
      <c r="E49" s="12" t="s">
        <v>1129</v>
      </c>
      <c r="F49" s="12"/>
      <c r="G49" s="12" t="s">
        <v>1094</v>
      </c>
      <c r="H49" s="12"/>
      <c r="I49" s="296"/>
      <c r="J49" s="358"/>
      <c r="K49" s="368">
        <f>1/(K$21*$X46)</f>
        <v>2.5</v>
      </c>
      <c r="L49" s="368">
        <f>1/(L$21*$X46)</f>
        <v>2.6178010471204187</v>
      </c>
      <c r="M49" s="368">
        <f>1/(M$21*$X46)</f>
        <v>2.7777777777777772</v>
      </c>
      <c r="N49" s="368">
        <f>1/(N$21*$X46)</f>
        <v>3.1249999999999996</v>
      </c>
      <c r="O49" s="368">
        <f>1/(O$21*$X46)</f>
        <v>3.4722222222222223</v>
      </c>
      <c r="P49" s="515"/>
      <c r="Q49" s="369"/>
      <c r="R49" s="369"/>
      <c r="S49" s="369"/>
      <c r="T49" s="369"/>
      <c r="U49" s="369"/>
      <c r="V49" s="369"/>
      <c r="X49" s="444"/>
    </row>
    <row r="50" spans="2:24">
      <c r="B50" s="293" t="s">
        <v>1084</v>
      </c>
      <c r="C50" s="293" t="str">
        <f>"Residential.2.INS.New."&amp;TEXT(X50,"0%")</f>
        <v>Residential.2.INS.New.55%</v>
      </c>
      <c r="D50" s="293" t="s">
        <v>1116</v>
      </c>
      <c r="E50" s="293"/>
      <c r="F50" s="295"/>
      <c r="G50" s="293" t="s">
        <v>861</v>
      </c>
      <c r="H50" s="293"/>
      <c r="I50" s="314"/>
      <c r="J50" s="411"/>
      <c r="K50" s="531">
        <f>1/$X50-1</f>
        <v>0.81818181818181812</v>
      </c>
      <c r="L50" s="526"/>
      <c r="M50" s="526"/>
      <c r="N50" s="526"/>
      <c r="O50" s="526"/>
      <c r="P50" s="555">
        <f>P46+100</f>
        <v>124.54937014143749</v>
      </c>
      <c r="Q50" s="295">
        <v>1</v>
      </c>
      <c r="R50" s="295">
        <v>100</v>
      </c>
      <c r="S50" s="295">
        <f ca="1">AuxYear+1</f>
        <v>2018</v>
      </c>
      <c r="T50" s="295"/>
      <c r="U50" s="295"/>
      <c r="V50" s="295"/>
      <c r="X50" s="444">
        <v>0.55000000000000004</v>
      </c>
    </row>
    <row r="51" spans="2:24">
      <c r="B51" s="12"/>
      <c r="C51" s="12"/>
      <c r="D51" s="12" t="s">
        <v>1075</v>
      </c>
      <c r="E51" s="12"/>
      <c r="F51" s="12"/>
      <c r="G51" s="12" t="s">
        <v>861</v>
      </c>
      <c r="H51" s="12"/>
      <c r="I51" s="536"/>
      <c r="J51" s="411"/>
      <c r="K51" s="541">
        <f>MIN(K50,(K50)*(1/0.75/(K50+1))^2)</f>
        <v>0.43999999999999989</v>
      </c>
      <c r="L51" s="541"/>
      <c r="M51" s="541"/>
      <c r="N51" s="541"/>
      <c r="O51" s="541"/>
      <c r="P51" s="515"/>
      <c r="Q51" s="369"/>
      <c r="R51" s="369"/>
      <c r="S51" s="369"/>
      <c r="T51" s="369"/>
      <c r="U51" s="369"/>
      <c r="V51" s="369"/>
      <c r="X51" s="444"/>
    </row>
    <row r="52" spans="2:24">
      <c r="B52" s="12"/>
      <c r="C52" s="12"/>
      <c r="D52" s="12"/>
      <c r="E52" s="12" t="s">
        <v>1076</v>
      </c>
      <c r="F52" s="369" t="s">
        <v>1072</v>
      </c>
      <c r="G52" s="12" t="s">
        <v>1071</v>
      </c>
      <c r="H52" s="12"/>
      <c r="I52" s="296"/>
      <c r="J52" s="411"/>
      <c r="K52" s="540">
        <f>$K50/K$21</f>
        <v>0.81818181818181812</v>
      </c>
      <c r="L52" s="540">
        <f>$K50/L$21</f>
        <v>0.85673488814850074</v>
      </c>
      <c r="M52" s="540">
        <f>$K50/M$21</f>
        <v>0.90909090909090895</v>
      </c>
      <c r="N52" s="540">
        <f>$K50/N$21</f>
        <v>1.0227272727272725</v>
      </c>
      <c r="O52" s="540">
        <f>$K50/O$21</f>
        <v>1.1363636363636362</v>
      </c>
      <c r="P52" s="515"/>
      <c r="Q52" s="369"/>
      <c r="R52" s="369"/>
      <c r="S52" s="369"/>
      <c r="T52" s="369">
        <v>40</v>
      </c>
      <c r="U52" s="369">
        <v>40</v>
      </c>
      <c r="V52" s="369"/>
      <c r="X52" s="444"/>
    </row>
    <row r="53" spans="2:24">
      <c r="B53" s="12"/>
      <c r="C53" s="12"/>
      <c r="D53" s="12"/>
      <c r="E53" s="12" t="s">
        <v>1129</v>
      </c>
      <c r="F53" s="12"/>
      <c r="G53" s="12" t="s">
        <v>1094</v>
      </c>
      <c r="H53" s="12"/>
      <c r="I53" s="296"/>
      <c r="J53" s="358"/>
      <c r="K53" s="368">
        <f>1/(K$21*$X50)</f>
        <v>1.8181818181818181</v>
      </c>
      <c r="L53" s="368">
        <f>1/(L$21*$X50)</f>
        <v>1.9038553069966682</v>
      </c>
      <c r="M53" s="368">
        <f>1/(M$21*$X50)</f>
        <v>2.0202020202020199</v>
      </c>
      <c r="N53" s="368">
        <f>1/(N$21*$X50)</f>
        <v>2.2727272727272725</v>
      </c>
      <c r="O53" s="368">
        <f>1/(O$21*$X50)</f>
        <v>2.5252525252525251</v>
      </c>
      <c r="P53" s="515"/>
      <c r="Q53" s="369"/>
      <c r="R53" s="369"/>
      <c r="S53" s="369"/>
      <c r="T53" s="369"/>
      <c r="U53" s="369"/>
      <c r="V53" s="369"/>
      <c r="X53" s="444"/>
    </row>
    <row r="54" spans="2:24">
      <c r="B54" s="293" t="s">
        <v>1085</v>
      </c>
      <c r="C54" s="293" t="str">
        <f>"Residential.2.INS.New."&amp;TEXT(X54,"0%")</f>
        <v>Residential.2.INS.New.70%</v>
      </c>
      <c r="D54" s="293" t="s">
        <v>1116</v>
      </c>
      <c r="E54" s="293"/>
      <c r="F54" s="295"/>
      <c r="G54" s="293" t="s">
        <v>861</v>
      </c>
      <c r="H54" s="293"/>
      <c r="I54" s="314"/>
      <c r="J54" s="411"/>
      <c r="K54" s="531">
        <f>1/$X54-1</f>
        <v>0.4285714285714286</v>
      </c>
      <c r="L54" s="526"/>
      <c r="M54" s="526"/>
      <c r="N54" s="526"/>
      <c r="O54" s="526"/>
      <c r="P54" s="555">
        <f>P50+80</f>
        <v>204.54937014143749</v>
      </c>
      <c r="Q54" s="295">
        <v>1</v>
      </c>
      <c r="R54" s="295">
        <v>100</v>
      </c>
      <c r="S54" s="295">
        <f ca="1">AuxYear+1</f>
        <v>2018</v>
      </c>
      <c r="T54" s="295"/>
      <c r="U54" s="295"/>
      <c r="V54" s="295"/>
      <c r="X54" s="444">
        <v>0.7</v>
      </c>
    </row>
    <row r="55" spans="2:24">
      <c r="B55" s="12"/>
      <c r="C55" s="12"/>
      <c r="D55" s="12" t="s">
        <v>1075</v>
      </c>
      <c r="E55" s="12"/>
      <c r="F55" s="12"/>
      <c r="G55" s="12" t="s">
        <v>861</v>
      </c>
      <c r="H55" s="12"/>
      <c r="I55" s="536"/>
      <c r="J55" s="411"/>
      <c r="K55" s="541">
        <f>MIN(K54,(K54)*(1/0.75/(K54+1))^2)</f>
        <v>0.37333333333333329</v>
      </c>
      <c r="L55" s="541"/>
      <c r="M55" s="541"/>
      <c r="N55" s="541"/>
      <c r="O55" s="541"/>
      <c r="P55" s="515"/>
      <c r="Q55" s="369"/>
      <c r="R55" s="369"/>
      <c r="S55" s="369"/>
      <c r="T55" s="369"/>
      <c r="U55" s="369"/>
      <c r="V55" s="369"/>
      <c r="X55" s="444"/>
    </row>
    <row r="56" spans="2:24">
      <c r="B56" s="12"/>
      <c r="C56" s="12"/>
      <c r="D56" s="12"/>
      <c r="E56" s="12" t="s">
        <v>1076</v>
      </c>
      <c r="F56" s="369" t="s">
        <v>1072</v>
      </c>
      <c r="G56" s="12" t="s">
        <v>1071</v>
      </c>
      <c r="H56" s="12"/>
      <c r="I56" s="296"/>
      <c r="J56" s="411"/>
      <c r="K56" s="540">
        <f>$K54/K$21</f>
        <v>0.4285714285714286</v>
      </c>
      <c r="L56" s="540">
        <f>$K54/L$21</f>
        <v>0.44876589379207188</v>
      </c>
      <c r="M56" s="540">
        <f>$K54/M$21</f>
        <v>0.47619047619047622</v>
      </c>
      <c r="N56" s="540">
        <f>$K54/N$21</f>
        <v>0.5357142857142857</v>
      </c>
      <c r="O56" s="540">
        <f>$K54/O$21</f>
        <v>0.59523809523809534</v>
      </c>
      <c r="P56" s="515"/>
      <c r="Q56" s="369"/>
      <c r="R56" s="369"/>
      <c r="S56" s="369"/>
      <c r="T56" s="369">
        <v>40</v>
      </c>
      <c r="U56" s="369">
        <v>40</v>
      </c>
      <c r="V56" s="369"/>
      <c r="X56" s="444"/>
    </row>
    <row r="57" spans="2:24">
      <c r="B57" s="12"/>
      <c r="C57" s="12"/>
      <c r="D57" s="12"/>
      <c r="E57" s="12" t="s">
        <v>1129</v>
      </c>
      <c r="F57" s="12"/>
      <c r="G57" s="12" t="s">
        <v>1094</v>
      </c>
      <c r="H57" s="12"/>
      <c r="I57" s="296"/>
      <c r="J57" s="358"/>
      <c r="K57" s="368">
        <f>1/(K$21*$X54)</f>
        <v>1.4285714285714286</v>
      </c>
      <c r="L57" s="368">
        <f>1/(L$21*$X54)</f>
        <v>1.4958863126402393</v>
      </c>
      <c r="M57" s="368">
        <f>1/(M$21*$X54)</f>
        <v>1.5873015873015872</v>
      </c>
      <c r="N57" s="368">
        <f>1/(N$21*$X54)</f>
        <v>1.7857142857142858</v>
      </c>
      <c r="O57" s="368">
        <f>1/(O$21*$X54)</f>
        <v>1.9841269841269842</v>
      </c>
      <c r="P57" s="515"/>
      <c r="Q57" s="369"/>
      <c r="R57" s="369"/>
      <c r="S57" s="369"/>
      <c r="T57" s="369"/>
      <c r="U57" s="369"/>
      <c r="V57" s="369"/>
      <c r="X57" s="444"/>
    </row>
    <row r="58" spans="2:24">
      <c r="B58" s="293" t="s">
        <v>1086</v>
      </c>
      <c r="C58" s="293" t="str">
        <f>"Residential.2.INS.New."&amp;TEXT(X58,"0%")</f>
        <v>Residential.2.INS.New.80%</v>
      </c>
      <c r="D58" s="293" t="s">
        <v>1116</v>
      </c>
      <c r="E58" s="293"/>
      <c r="F58" s="295"/>
      <c r="G58" s="293" t="s">
        <v>861</v>
      </c>
      <c r="H58" s="293"/>
      <c r="I58" s="314"/>
      <c r="J58" s="411"/>
      <c r="K58" s="531">
        <f>1/$X58-1</f>
        <v>0.25</v>
      </c>
      <c r="L58" s="526"/>
      <c r="M58" s="526"/>
      <c r="N58" s="526"/>
      <c r="O58" s="526"/>
      <c r="P58" s="555">
        <f>P54+80</f>
        <v>284.54937014143752</v>
      </c>
      <c r="Q58" s="295">
        <v>1</v>
      </c>
      <c r="R58" s="295">
        <v>100</v>
      </c>
      <c r="S58" s="295">
        <f ca="1">AuxYear+1</f>
        <v>2018</v>
      </c>
      <c r="T58" s="295"/>
      <c r="U58" s="295"/>
      <c r="V58" s="295"/>
      <c r="X58" s="444">
        <v>0.8</v>
      </c>
    </row>
    <row r="59" spans="2:24">
      <c r="B59" s="12"/>
      <c r="C59" s="12"/>
      <c r="D59" s="12" t="s">
        <v>1075</v>
      </c>
      <c r="E59" s="12"/>
      <c r="F59" s="12"/>
      <c r="G59" s="12" t="s">
        <v>861</v>
      </c>
      <c r="H59" s="12"/>
      <c r="I59" s="536"/>
      <c r="J59" s="411"/>
      <c r="K59" s="541">
        <f>MIN(K58,(K58)*(1/0.75/(K58+1))^2)</f>
        <v>0.25</v>
      </c>
      <c r="L59" s="541"/>
      <c r="M59" s="541"/>
      <c r="N59" s="541"/>
      <c r="O59" s="541"/>
      <c r="P59" s="515"/>
      <c r="Q59" s="369"/>
      <c r="R59" s="369"/>
      <c r="S59" s="369"/>
      <c r="T59" s="369"/>
      <c r="U59" s="369"/>
      <c r="V59" s="369"/>
      <c r="X59" s="444"/>
    </row>
    <row r="60" spans="2:24">
      <c r="B60" s="12"/>
      <c r="C60" s="12"/>
      <c r="D60" s="12"/>
      <c r="E60" s="12" t="s">
        <v>1076</v>
      </c>
      <c r="F60" s="369" t="s">
        <v>1072</v>
      </c>
      <c r="G60" s="12" t="s">
        <v>1071</v>
      </c>
      <c r="H60" s="12"/>
      <c r="I60" s="296"/>
      <c r="J60" s="411"/>
      <c r="K60" s="540">
        <f>$K58/K$21</f>
        <v>0.25</v>
      </c>
      <c r="L60" s="540">
        <f>$K58/L$21</f>
        <v>0.26178010471204188</v>
      </c>
      <c r="M60" s="540">
        <f>$K58/M$21</f>
        <v>0.27777777777777779</v>
      </c>
      <c r="N60" s="540">
        <f>$K58/N$21</f>
        <v>0.3125</v>
      </c>
      <c r="O60" s="540">
        <f>$K58/O$21</f>
        <v>0.34722222222222221</v>
      </c>
      <c r="P60" s="515"/>
      <c r="Q60" s="369"/>
      <c r="R60" s="369"/>
      <c r="S60" s="369"/>
      <c r="T60" s="369">
        <v>40</v>
      </c>
      <c r="U60" s="369">
        <v>40</v>
      </c>
      <c r="V60" s="369"/>
      <c r="X60" s="444"/>
    </row>
    <row r="61" spans="2:24">
      <c r="B61" s="12"/>
      <c r="C61" s="12"/>
      <c r="D61" s="12"/>
      <c r="E61" s="12" t="s">
        <v>1129</v>
      </c>
      <c r="F61" s="12"/>
      <c r="G61" s="12" t="s">
        <v>1094</v>
      </c>
      <c r="H61" s="12"/>
      <c r="I61" s="296"/>
      <c r="J61" s="358"/>
      <c r="K61" s="368">
        <f>1/(K$21*$X58)</f>
        <v>1.25</v>
      </c>
      <c r="L61" s="368">
        <f>1/(L$21*$X58)</f>
        <v>1.3089005235602094</v>
      </c>
      <c r="M61" s="368">
        <f>1/(M$21*$X58)</f>
        <v>1.3888888888888886</v>
      </c>
      <c r="N61" s="368">
        <f>1/(N$21*$X58)</f>
        <v>1.5624999999999998</v>
      </c>
      <c r="O61" s="368">
        <f>1/(O$21*$X58)</f>
        <v>1.7361111111111112</v>
      </c>
      <c r="P61" s="515"/>
      <c r="Q61" s="369"/>
      <c r="R61" s="369"/>
      <c r="S61" s="369"/>
      <c r="T61" s="369"/>
      <c r="U61" s="369"/>
      <c r="V61" s="369"/>
      <c r="X61" s="444"/>
    </row>
    <row r="62" spans="2:24">
      <c r="B62" s="293" t="s">
        <v>1134</v>
      </c>
      <c r="C62" s="293" t="str">
        <f>"Residential.2.INS.New."&amp;TEXT(X62,"0%")</f>
        <v>Residential.2.INS.New.90%</v>
      </c>
      <c r="D62" s="293" t="s">
        <v>1116</v>
      </c>
      <c r="E62" s="293"/>
      <c r="F62" s="295"/>
      <c r="G62" s="293" t="s">
        <v>861</v>
      </c>
      <c r="H62" s="293"/>
      <c r="I62" s="314"/>
      <c r="J62" s="411"/>
      <c r="K62" s="531">
        <f>1/$X62-1</f>
        <v>0.11111111111111116</v>
      </c>
      <c r="L62" s="526"/>
      <c r="M62" s="526"/>
      <c r="N62" s="526"/>
      <c r="O62" s="526"/>
      <c r="P62" s="555">
        <f>P58+80</f>
        <v>364.54937014143752</v>
      </c>
      <c r="Q62" s="295">
        <v>1</v>
      </c>
      <c r="R62" s="295">
        <v>100</v>
      </c>
      <c r="S62" s="295">
        <f ca="1">AuxYear+1</f>
        <v>2018</v>
      </c>
      <c r="T62" s="295"/>
      <c r="U62" s="295"/>
      <c r="V62" s="295"/>
      <c r="X62" s="444">
        <v>0.9</v>
      </c>
    </row>
    <row r="63" spans="2:24">
      <c r="B63" s="12"/>
      <c r="C63" s="12"/>
      <c r="D63" s="12" t="s">
        <v>1075</v>
      </c>
      <c r="E63" s="12"/>
      <c r="F63" s="12"/>
      <c r="G63" s="12" t="s">
        <v>861</v>
      </c>
      <c r="H63" s="12"/>
      <c r="I63" s="536"/>
      <c r="J63" s="411"/>
      <c r="K63" s="541">
        <f>MIN(K62,(K62)*(1/0.75/(K62+1))^2)</f>
        <v>0.11111111111111116</v>
      </c>
      <c r="L63" s="541"/>
      <c r="M63" s="541"/>
      <c r="N63" s="541"/>
      <c r="O63" s="541"/>
      <c r="P63" s="515"/>
      <c r="Q63" s="369"/>
      <c r="R63" s="369"/>
      <c r="S63" s="369"/>
      <c r="T63" s="369"/>
      <c r="U63" s="369"/>
      <c r="V63" s="369"/>
      <c r="X63" s="444"/>
    </row>
    <row r="64" spans="2:24">
      <c r="B64" s="12"/>
      <c r="C64" s="12"/>
      <c r="D64" s="12"/>
      <c r="E64" s="12" t="s">
        <v>1076</v>
      </c>
      <c r="F64" s="369" t="s">
        <v>1072</v>
      </c>
      <c r="G64" s="12" t="s">
        <v>1071</v>
      </c>
      <c r="H64" s="12"/>
      <c r="I64" s="296"/>
      <c r="J64" s="411"/>
      <c r="K64" s="540">
        <f>$K62/K$21</f>
        <v>0.11111111111111116</v>
      </c>
      <c r="L64" s="540">
        <f>$K62/L$21</f>
        <v>0.116346713205352</v>
      </c>
      <c r="M64" s="540">
        <f>$K62/M$21</f>
        <v>0.12345679012345684</v>
      </c>
      <c r="N64" s="540">
        <f>$K62/N$21</f>
        <v>0.13888888888888895</v>
      </c>
      <c r="O64" s="540">
        <f>$K62/O$21</f>
        <v>0.15432098765432106</v>
      </c>
      <c r="P64" s="515"/>
      <c r="Q64" s="369"/>
      <c r="R64" s="369"/>
      <c r="S64" s="369"/>
      <c r="T64" s="369">
        <v>40</v>
      </c>
      <c r="U64" s="369">
        <v>40</v>
      </c>
      <c r="V64" s="369"/>
      <c r="X64" s="444"/>
    </row>
    <row r="65" spans="2:24">
      <c r="B65" s="12"/>
      <c r="C65" s="12"/>
      <c r="D65" s="12"/>
      <c r="E65" s="12" t="s">
        <v>1129</v>
      </c>
      <c r="F65" s="12"/>
      <c r="G65" s="12" t="s">
        <v>1094</v>
      </c>
      <c r="H65" s="12"/>
      <c r="I65" s="296"/>
      <c r="J65" s="358"/>
      <c r="K65" s="368">
        <f>1/(K$21*$X62)</f>
        <v>1.1111111111111112</v>
      </c>
      <c r="L65" s="368">
        <f>1/(L$21*$X62)</f>
        <v>1.1634671320535195</v>
      </c>
      <c r="M65" s="368">
        <f>1/(M$21*$X62)</f>
        <v>1.2345679012345678</v>
      </c>
      <c r="N65" s="368">
        <f>1/(N$21*$X62)</f>
        <v>1.3888888888888886</v>
      </c>
      <c r="O65" s="368">
        <f>1/(O$21*$X62)</f>
        <v>1.5432098765432098</v>
      </c>
      <c r="P65" s="515"/>
      <c r="Q65" s="369"/>
      <c r="R65" s="369"/>
      <c r="S65" s="369"/>
      <c r="T65" s="369"/>
      <c r="U65" s="369"/>
      <c r="V65" s="369"/>
      <c r="X65" s="444"/>
    </row>
    <row r="66" spans="2:24">
      <c r="B66" s="293" t="s">
        <v>1080</v>
      </c>
      <c r="C66" s="293" t="str">
        <f>"Commercial.1.INS.New."&amp;TEXT(X66,"0%")</f>
        <v>Commercial.1.INS.New.40%</v>
      </c>
      <c r="D66" s="293" t="s">
        <v>1117</v>
      </c>
      <c r="E66" s="293"/>
      <c r="F66" s="295"/>
      <c r="G66" s="293" t="s">
        <v>861</v>
      </c>
      <c r="H66" s="293"/>
      <c r="I66" s="314"/>
      <c r="J66" s="411"/>
      <c r="K66" s="531">
        <f>1/$X66-1</f>
        <v>1.5</v>
      </c>
      <c r="L66" s="526"/>
      <c r="M66" s="526"/>
      <c r="N66" s="526"/>
      <c r="O66" s="526"/>
      <c r="P66" s="555">
        <v>24.5493701414375</v>
      </c>
      <c r="Q66" s="295">
        <v>1</v>
      </c>
      <c r="R66" s="295">
        <v>60</v>
      </c>
      <c r="S66" s="295">
        <f ca="1">AuxYear+1</f>
        <v>2018</v>
      </c>
      <c r="T66" s="295"/>
      <c r="U66" s="295"/>
      <c r="V66" s="295"/>
      <c r="X66" s="444">
        <v>0.4</v>
      </c>
    </row>
    <row r="67" spans="2:24">
      <c r="B67" s="12"/>
      <c r="C67" s="12"/>
      <c r="D67" s="12" t="s">
        <v>1160</v>
      </c>
      <c r="E67" s="12"/>
      <c r="F67" s="12"/>
      <c r="G67" s="12" t="s">
        <v>861</v>
      </c>
      <c r="H67" s="12"/>
      <c r="I67" s="536"/>
      <c r="J67" s="411"/>
      <c r="K67" s="541">
        <f>MIN(K66,(K66)*(1/0.75/(K66+1))^2)</f>
        <v>0.42666666666666664</v>
      </c>
      <c r="L67" s="541"/>
      <c r="M67" s="541"/>
      <c r="N67" s="541"/>
      <c r="O67" s="541"/>
      <c r="P67" s="515"/>
      <c r="Q67" s="369"/>
      <c r="R67" s="369"/>
      <c r="S67" s="369"/>
      <c r="T67" s="369"/>
      <c r="U67" s="369"/>
      <c r="V67" s="369"/>
      <c r="X67" s="444"/>
    </row>
    <row r="68" spans="2:24">
      <c r="B68" s="12"/>
      <c r="C68" s="12"/>
      <c r="D68" s="12"/>
      <c r="E68" s="12" t="s">
        <v>1159</v>
      </c>
      <c r="F68" s="369" t="s">
        <v>1072</v>
      </c>
      <c r="G68" s="12" t="s">
        <v>1071</v>
      </c>
      <c r="H68" s="12"/>
      <c r="I68" s="296"/>
      <c r="J68" s="411"/>
      <c r="K68" s="540">
        <f>$K66/K$25</f>
        <v>1.5</v>
      </c>
      <c r="L68" s="540">
        <f>$K66/L$25</f>
        <v>1.5706806282722514</v>
      </c>
      <c r="M68" s="540">
        <f>$K66/M$25</f>
        <v>1.6853932584269662</v>
      </c>
      <c r="N68" s="540">
        <f>$K66/N$25</f>
        <v>1.875</v>
      </c>
      <c r="O68" s="540">
        <f>$K66/O$25</f>
        <v>2.0833333333333335</v>
      </c>
      <c r="P68" s="515"/>
      <c r="Q68" s="369"/>
      <c r="R68" s="369"/>
      <c r="S68" s="369"/>
      <c r="T68" s="369">
        <v>40</v>
      </c>
      <c r="U68" s="369">
        <v>40</v>
      </c>
      <c r="V68" s="369"/>
      <c r="X68" s="444"/>
    </row>
    <row r="69" spans="2:24">
      <c r="B69" s="12"/>
      <c r="C69" s="12"/>
      <c r="D69" s="12"/>
      <c r="E69" s="12" t="s">
        <v>1130</v>
      </c>
      <c r="F69" s="12"/>
      <c r="G69" s="12" t="s">
        <v>1094</v>
      </c>
      <c r="H69" s="12"/>
      <c r="I69" s="296"/>
      <c r="J69" s="358"/>
      <c r="K69" s="368">
        <f>1/(K$25*$X66)</f>
        <v>2.5</v>
      </c>
      <c r="L69" s="368">
        <f>1/(L$25*$X66)</f>
        <v>2.6178010471204187</v>
      </c>
      <c r="M69" s="368">
        <f>1/(M$25*$X66)</f>
        <v>2.8089887640449436</v>
      </c>
      <c r="N69" s="368">
        <f>1/(N$25*$X66)</f>
        <v>3.1249999999999996</v>
      </c>
      <c r="O69" s="368">
        <f>1/(O$25*$X66)</f>
        <v>3.4722222222222223</v>
      </c>
      <c r="P69" s="515"/>
      <c r="Q69" s="369"/>
      <c r="R69" s="369"/>
      <c r="S69" s="369"/>
      <c r="T69" s="369"/>
      <c r="U69" s="369"/>
      <c r="V69" s="369"/>
      <c r="X69" s="444"/>
    </row>
    <row r="70" spans="2:24">
      <c r="B70" s="293" t="s">
        <v>1087</v>
      </c>
      <c r="C70" s="293" t="str">
        <f>"Commercial.1.INS.New."&amp;TEXT(X70,"0%")</f>
        <v>Commercial.1.INS.New.55%</v>
      </c>
      <c r="D70" s="293" t="s">
        <v>1117</v>
      </c>
      <c r="E70" s="293"/>
      <c r="F70" s="295"/>
      <c r="G70" s="293" t="s">
        <v>861</v>
      </c>
      <c r="H70" s="293"/>
      <c r="I70" s="314"/>
      <c r="J70" s="411"/>
      <c r="K70" s="531">
        <f>1/$X70-1</f>
        <v>0.81818181818181812</v>
      </c>
      <c r="L70" s="526"/>
      <c r="M70" s="526"/>
      <c r="N70" s="526"/>
      <c r="O70" s="526"/>
      <c r="P70" s="555">
        <f>P66+100</f>
        <v>124.54937014143749</v>
      </c>
      <c r="Q70" s="295">
        <v>1</v>
      </c>
      <c r="R70" s="295">
        <v>60</v>
      </c>
      <c r="S70" s="295">
        <f ca="1">AuxYear+1</f>
        <v>2018</v>
      </c>
      <c r="T70" s="295"/>
      <c r="U70" s="295"/>
      <c r="V70" s="295"/>
      <c r="X70" s="444">
        <v>0.55000000000000004</v>
      </c>
    </row>
    <row r="71" spans="2:24">
      <c r="B71" s="12"/>
      <c r="C71" s="12"/>
      <c r="D71" s="12" t="s">
        <v>1160</v>
      </c>
      <c r="E71" s="12"/>
      <c r="F71" s="12"/>
      <c r="G71" s="12" t="s">
        <v>861</v>
      </c>
      <c r="H71" s="12"/>
      <c r="I71" s="536"/>
      <c r="J71" s="411"/>
      <c r="K71" s="541">
        <f>MIN(K70,(K70)*(1/0.75/(K70+1))^2)</f>
        <v>0.43999999999999989</v>
      </c>
      <c r="L71" s="541"/>
      <c r="M71" s="541"/>
      <c r="N71" s="541"/>
      <c r="O71" s="541"/>
      <c r="P71" s="515"/>
      <c r="Q71" s="369"/>
      <c r="R71" s="369"/>
      <c r="S71" s="369"/>
      <c r="T71" s="369"/>
      <c r="U71" s="369"/>
      <c r="V71" s="369"/>
      <c r="X71" s="444"/>
    </row>
    <row r="72" spans="2:24">
      <c r="B72" s="12"/>
      <c r="C72" s="12"/>
      <c r="D72" s="12"/>
      <c r="E72" s="12" t="s">
        <v>1159</v>
      </c>
      <c r="F72" s="369" t="s">
        <v>1072</v>
      </c>
      <c r="G72" s="12" t="s">
        <v>1071</v>
      </c>
      <c r="H72" s="12"/>
      <c r="I72" s="296"/>
      <c r="J72" s="411"/>
      <c r="K72" s="540">
        <f>$K70/K$25</f>
        <v>0.81818181818181812</v>
      </c>
      <c r="L72" s="540">
        <f>$K70/L$25</f>
        <v>0.85673488814850074</v>
      </c>
      <c r="M72" s="540">
        <f>$K70/M$25</f>
        <v>0.91930541368743612</v>
      </c>
      <c r="N72" s="540">
        <f>$K70/N$25</f>
        <v>1.0227272727272725</v>
      </c>
      <c r="O72" s="540">
        <f>$K70/O$25</f>
        <v>1.1363636363636362</v>
      </c>
      <c r="P72" s="515"/>
      <c r="Q72" s="369"/>
      <c r="R72" s="369"/>
      <c r="S72" s="369"/>
      <c r="T72" s="369">
        <v>40</v>
      </c>
      <c r="U72" s="369">
        <v>40</v>
      </c>
      <c r="V72" s="369"/>
      <c r="X72" s="444"/>
    </row>
    <row r="73" spans="2:24">
      <c r="B73" s="12"/>
      <c r="C73" s="12"/>
      <c r="D73" s="12"/>
      <c r="E73" s="12" t="s">
        <v>1130</v>
      </c>
      <c r="F73" s="12"/>
      <c r="G73" s="12" t="s">
        <v>1094</v>
      </c>
      <c r="H73" s="12"/>
      <c r="I73" s="296"/>
      <c r="J73" s="358"/>
      <c r="K73" s="368">
        <f>1/(K$25*$X70)</f>
        <v>1.8181818181818181</v>
      </c>
      <c r="L73" s="368">
        <f>1/(L$25*$X70)</f>
        <v>1.9038553069966682</v>
      </c>
      <c r="M73" s="368">
        <f>1/(M$25*$X70)</f>
        <v>2.0429009193054135</v>
      </c>
      <c r="N73" s="368">
        <f>1/(N$25*$X70)</f>
        <v>2.2727272727272725</v>
      </c>
      <c r="O73" s="368">
        <f>1/(O$25*$X70)</f>
        <v>2.5252525252525251</v>
      </c>
      <c r="P73" s="515"/>
      <c r="Q73" s="369"/>
      <c r="R73" s="369"/>
      <c r="S73" s="369"/>
      <c r="T73" s="369"/>
      <c r="U73" s="369"/>
      <c r="V73" s="369"/>
      <c r="X73" s="444"/>
    </row>
    <row r="74" spans="2:24">
      <c r="B74" s="293" t="s">
        <v>1089</v>
      </c>
      <c r="C74" s="293" t="str">
        <f>"Commercial.1.INS.New."&amp;TEXT(X74,"0%")</f>
        <v>Commercial.1.INS.New.70%</v>
      </c>
      <c r="D74" s="293" t="s">
        <v>1117</v>
      </c>
      <c r="E74" s="293"/>
      <c r="F74" s="295"/>
      <c r="G74" s="293" t="s">
        <v>861</v>
      </c>
      <c r="H74" s="293"/>
      <c r="I74" s="314"/>
      <c r="J74" s="411"/>
      <c r="K74" s="531">
        <f>1/$X74-1</f>
        <v>0.4285714285714286</v>
      </c>
      <c r="L74" s="526"/>
      <c r="M74" s="526"/>
      <c r="N74" s="526"/>
      <c r="O74" s="526"/>
      <c r="P74" s="555">
        <f>P70+80</f>
        <v>204.54937014143749</v>
      </c>
      <c r="Q74" s="295">
        <v>1</v>
      </c>
      <c r="R74" s="295">
        <v>60</v>
      </c>
      <c r="S74" s="295">
        <f ca="1">AuxYear+1</f>
        <v>2018</v>
      </c>
      <c r="T74" s="295"/>
      <c r="U74" s="295"/>
      <c r="V74" s="295"/>
      <c r="X74" s="444">
        <v>0.7</v>
      </c>
    </row>
    <row r="75" spans="2:24">
      <c r="B75" s="12"/>
      <c r="C75" s="12"/>
      <c r="D75" s="12" t="s">
        <v>1160</v>
      </c>
      <c r="E75" s="12"/>
      <c r="F75" s="12"/>
      <c r="G75" s="12" t="s">
        <v>861</v>
      </c>
      <c r="H75" s="12"/>
      <c r="I75" s="536"/>
      <c r="J75" s="411"/>
      <c r="K75" s="541">
        <f>MIN(K74,(K74)*(1/0.75/(K74+1))^2)</f>
        <v>0.37333333333333329</v>
      </c>
      <c r="L75" s="541"/>
      <c r="M75" s="541"/>
      <c r="N75" s="541"/>
      <c r="O75" s="541"/>
      <c r="P75" s="515"/>
      <c r="Q75" s="369"/>
      <c r="R75" s="369"/>
      <c r="S75" s="369"/>
      <c r="T75" s="369"/>
      <c r="U75" s="369"/>
      <c r="V75" s="369"/>
      <c r="X75" s="444"/>
    </row>
    <row r="76" spans="2:24">
      <c r="B76" s="12"/>
      <c r="C76" s="12"/>
      <c r="D76" s="12"/>
      <c r="E76" s="12" t="s">
        <v>1159</v>
      </c>
      <c r="F76" s="369" t="s">
        <v>1072</v>
      </c>
      <c r="G76" s="12" t="s">
        <v>1071</v>
      </c>
      <c r="H76" s="12"/>
      <c r="I76" s="296"/>
      <c r="J76" s="411"/>
      <c r="K76" s="540">
        <f>$K74/K$25</f>
        <v>0.4285714285714286</v>
      </c>
      <c r="L76" s="540">
        <f>$K74/L$25</f>
        <v>0.44876589379207188</v>
      </c>
      <c r="M76" s="540">
        <f>$K74/M$25</f>
        <v>0.48154093097913325</v>
      </c>
      <c r="N76" s="540">
        <f>$K74/N$25</f>
        <v>0.5357142857142857</v>
      </c>
      <c r="O76" s="540">
        <f>$K74/O$25</f>
        <v>0.59523809523809534</v>
      </c>
      <c r="P76" s="515"/>
      <c r="Q76" s="369"/>
      <c r="R76" s="369"/>
      <c r="S76" s="369"/>
      <c r="T76" s="369">
        <v>40</v>
      </c>
      <c r="U76" s="369">
        <v>40</v>
      </c>
      <c r="V76" s="369"/>
      <c r="X76" s="444"/>
    </row>
    <row r="77" spans="2:24">
      <c r="B77" s="12"/>
      <c r="C77" s="12"/>
      <c r="D77" s="12"/>
      <c r="E77" s="12" t="s">
        <v>1130</v>
      </c>
      <c r="F77" s="12"/>
      <c r="G77" s="12" t="s">
        <v>1094</v>
      </c>
      <c r="H77" s="12"/>
      <c r="I77" s="296"/>
      <c r="J77" s="358"/>
      <c r="K77" s="368">
        <f>1/(K$25*$X74)</f>
        <v>1.4285714285714286</v>
      </c>
      <c r="L77" s="368">
        <f>1/(L$25*$X74)</f>
        <v>1.4958863126402393</v>
      </c>
      <c r="M77" s="368">
        <f>1/(M$25*$X74)</f>
        <v>1.6051364365971108</v>
      </c>
      <c r="N77" s="368">
        <f>1/(N$25*$X74)</f>
        <v>1.7857142857142858</v>
      </c>
      <c r="O77" s="368">
        <f>1/(O$25*$X74)</f>
        <v>1.9841269841269842</v>
      </c>
      <c r="P77" s="515"/>
      <c r="Q77" s="369"/>
      <c r="R77" s="369"/>
      <c r="S77" s="369"/>
      <c r="T77" s="369"/>
      <c r="U77" s="369"/>
      <c r="V77" s="369"/>
      <c r="X77" s="444"/>
    </row>
    <row r="78" spans="2:24">
      <c r="B78" s="293" t="s">
        <v>1088</v>
      </c>
      <c r="C78" s="293" t="str">
        <f>"Commercial.1.INS.New."&amp;TEXT(X78,"0%")</f>
        <v>Commercial.1.INS.New.80%</v>
      </c>
      <c r="D78" s="293" t="s">
        <v>1117</v>
      </c>
      <c r="E78" s="293"/>
      <c r="F78" s="295"/>
      <c r="G78" s="293" t="s">
        <v>861</v>
      </c>
      <c r="H78" s="293"/>
      <c r="I78" s="314"/>
      <c r="J78" s="411"/>
      <c r="K78" s="531">
        <f>1/$X78-1</f>
        <v>0.25</v>
      </c>
      <c r="L78" s="526"/>
      <c r="M78" s="526"/>
      <c r="N78" s="526"/>
      <c r="O78" s="526"/>
      <c r="P78" s="555">
        <f>P74+80</f>
        <v>284.54937014143752</v>
      </c>
      <c r="Q78" s="295">
        <v>1</v>
      </c>
      <c r="R78" s="295">
        <v>60</v>
      </c>
      <c r="S78" s="295">
        <f ca="1">AuxYear+1</f>
        <v>2018</v>
      </c>
      <c r="T78" s="295"/>
      <c r="U78" s="295"/>
      <c r="V78" s="295"/>
      <c r="X78" s="444">
        <v>0.8</v>
      </c>
    </row>
    <row r="79" spans="2:24">
      <c r="B79" s="12"/>
      <c r="C79" s="12"/>
      <c r="D79" s="12" t="s">
        <v>1160</v>
      </c>
      <c r="E79" s="12"/>
      <c r="F79" s="12"/>
      <c r="G79" s="12" t="s">
        <v>861</v>
      </c>
      <c r="H79" s="12"/>
      <c r="I79" s="536"/>
      <c r="J79" s="411"/>
      <c r="K79" s="541">
        <f>MIN(K78,(K78)*(1/0.75/(K78+1))^2)</f>
        <v>0.25</v>
      </c>
      <c r="L79" s="541"/>
      <c r="M79" s="541"/>
      <c r="N79" s="541"/>
      <c r="O79" s="541"/>
      <c r="P79" s="515"/>
      <c r="Q79" s="369"/>
      <c r="R79" s="369"/>
      <c r="S79" s="369"/>
      <c r="T79" s="369"/>
      <c r="U79" s="369"/>
      <c r="V79" s="369"/>
      <c r="X79" s="444"/>
    </row>
    <row r="80" spans="2:24">
      <c r="B80" s="12"/>
      <c r="C80" s="12"/>
      <c r="D80" s="12"/>
      <c r="E80" s="12" t="s">
        <v>1159</v>
      </c>
      <c r="F80" s="369" t="s">
        <v>1072</v>
      </c>
      <c r="G80" s="12" t="s">
        <v>1071</v>
      </c>
      <c r="H80" s="12"/>
      <c r="I80" s="296"/>
      <c r="J80" s="411"/>
      <c r="K80" s="540">
        <f>$K78/K$25</f>
        <v>0.25</v>
      </c>
      <c r="L80" s="540">
        <f>$K78/L$25</f>
        <v>0.26178010471204188</v>
      </c>
      <c r="M80" s="540">
        <f>$K78/M$25</f>
        <v>0.2808988764044944</v>
      </c>
      <c r="N80" s="540">
        <f>$K78/N$25</f>
        <v>0.3125</v>
      </c>
      <c r="O80" s="540">
        <f>$K78/O$25</f>
        <v>0.34722222222222221</v>
      </c>
      <c r="P80" s="515"/>
      <c r="Q80" s="369"/>
      <c r="R80" s="369"/>
      <c r="S80" s="369"/>
      <c r="T80" s="369">
        <v>40</v>
      </c>
      <c r="U80" s="369">
        <v>40</v>
      </c>
      <c r="V80" s="369"/>
      <c r="X80" s="444"/>
    </row>
    <row r="81" spans="2:24">
      <c r="B81" s="12"/>
      <c r="C81" s="12"/>
      <c r="D81" s="12"/>
      <c r="E81" s="12" t="s">
        <v>1130</v>
      </c>
      <c r="F81" s="12"/>
      <c r="G81" s="12" t="s">
        <v>1094</v>
      </c>
      <c r="H81" s="12"/>
      <c r="I81" s="296"/>
      <c r="J81" s="358"/>
      <c r="K81" s="368">
        <f>1/(K$25*$X78)</f>
        <v>1.25</v>
      </c>
      <c r="L81" s="368">
        <f>1/(L$25*$X78)</f>
        <v>1.3089005235602094</v>
      </c>
      <c r="M81" s="368">
        <f>1/(M$25*$X78)</f>
        <v>1.4044943820224718</v>
      </c>
      <c r="N81" s="368">
        <f>1/(N$25*$X78)</f>
        <v>1.5624999999999998</v>
      </c>
      <c r="O81" s="368">
        <f>1/(O$25*$X78)</f>
        <v>1.7361111111111112</v>
      </c>
      <c r="P81" s="515"/>
      <c r="Q81" s="369"/>
      <c r="R81" s="369"/>
      <c r="S81" s="369"/>
      <c r="T81" s="369"/>
      <c r="U81" s="369"/>
      <c r="V81" s="369"/>
      <c r="X81" s="444"/>
    </row>
    <row r="82" spans="2:24">
      <c r="B82" s="293" t="s">
        <v>1133</v>
      </c>
      <c r="C82" s="293" t="str">
        <f>"Commercial.1.INS.New."&amp;TEXT(X82,"0%")</f>
        <v>Commercial.1.INS.New.90%</v>
      </c>
      <c r="D82" s="293" t="s">
        <v>1117</v>
      </c>
      <c r="E82" s="293"/>
      <c r="F82" s="295"/>
      <c r="G82" s="293" t="s">
        <v>861</v>
      </c>
      <c r="H82" s="293"/>
      <c r="I82" s="314"/>
      <c r="J82" s="411"/>
      <c r="K82" s="531">
        <f>1/$X82-1</f>
        <v>0.11111111111111116</v>
      </c>
      <c r="L82" s="526"/>
      <c r="M82" s="526"/>
      <c r="N82" s="526"/>
      <c r="O82" s="526"/>
      <c r="P82" s="555">
        <f>P78+80</f>
        <v>364.54937014143752</v>
      </c>
      <c r="Q82" s="295">
        <v>1</v>
      </c>
      <c r="R82" s="295">
        <v>60</v>
      </c>
      <c r="S82" s="295">
        <f ca="1">AuxYear+1</f>
        <v>2018</v>
      </c>
      <c r="T82" s="295"/>
      <c r="U82" s="295"/>
      <c r="V82" s="295"/>
      <c r="X82" s="444">
        <v>0.9</v>
      </c>
    </row>
    <row r="83" spans="2:24">
      <c r="B83" s="12"/>
      <c r="C83" s="12"/>
      <c r="D83" s="12" t="s">
        <v>1160</v>
      </c>
      <c r="E83" s="12"/>
      <c r="F83" s="12"/>
      <c r="G83" s="12" t="s">
        <v>861</v>
      </c>
      <c r="H83" s="12"/>
      <c r="I83" s="536"/>
      <c r="J83" s="411"/>
      <c r="K83" s="541">
        <f>MIN(K82,(K82)*(1/0.75/(K82+1))^2)</f>
        <v>0.11111111111111116</v>
      </c>
      <c r="L83" s="541"/>
      <c r="M83" s="541"/>
      <c r="N83" s="541"/>
      <c r="O83" s="541"/>
      <c r="P83" s="515"/>
      <c r="Q83" s="369"/>
      <c r="R83" s="369"/>
      <c r="S83" s="369"/>
      <c r="T83" s="369"/>
      <c r="U83" s="369"/>
      <c r="V83" s="369"/>
      <c r="X83" s="444"/>
    </row>
    <row r="84" spans="2:24">
      <c r="B84" s="12"/>
      <c r="C84" s="12"/>
      <c r="D84" s="12"/>
      <c r="E84" s="12" t="s">
        <v>1159</v>
      </c>
      <c r="F84" s="369" t="s">
        <v>1072</v>
      </c>
      <c r="G84" s="12" t="s">
        <v>1071</v>
      </c>
      <c r="H84" s="12"/>
      <c r="I84" s="296"/>
      <c r="J84" s="411"/>
      <c r="K84" s="540">
        <f>$K82/K$25</f>
        <v>0.11111111111111116</v>
      </c>
      <c r="L84" s="540">
        <f>$K82/L$25</f>
        <v>0.116346713205352</v>
      </c>
      <c r="M84" s="540">
        <f>$K82/M$25</f>
        <v>0.12484394506866422</v>
      </c>
      <c r="N84" s="540">
        <f>$K82/N$25</f>
        <v>0.13888888888888895</v>
      </c>
      <c r="O84" s="540">
        <f>$K82/O$25</f>
        <v>0.15432098765432106</v>
      </c>
      <c r="P84" s="515"/>
      <c r="Q84" s="369"/>
      <c r="R84" s="369"/>
      <c r="S84" s="369"/>
      <c r="T84" s="369">
        <v>40</v>
      </c>
      <c r="U84" s="369">
        <v>40</v>
      </c>
      <c r="V84" s="369"/>
      <c r="X84" s="444"/>
    </row>
    <row r="85" spans="2:24">
      <c r="B85" s="12"/>
      <c r="C85" s="12"/>
      <c r="D85" s="12"/>
      <c r="E85" s="12" t="s">
        <v>1130</v>
      </c>
      <c r="F85" s="12"/>
      <c r="G85" s="12" t="s">
        <v>1094</v>
      </c>
      <c r="H85" s="12"/>
      <c r="I85" s="296"/>
      <c r="J85" s="358"/>
      <c r="K85" s="368">
        <f>1/(K$25*$X82)</f>
        <v>1.1111111111111112</v>
      </c>
      <c r="L85" s="368">
        <f>1/(L$25*$X82)</f>
        <v>1.1634671320535195</v>
      </c>
      <c r="M85" s="368">
        <f>1/(M$25*$X82)</f>
        <v>1.2484394506866416</v>
      </c>
      <c r="N85" s="368">
        <f>1/(N$25*$X82)</f>
        <v>1.3888888888888886</v>
      </c>
      <c r="O85" s="368">
        <f>1/(O$25*$X82)</f>
        <v>1.5432098765432098</v>
      </c>
      <c r="P85" s="515"/>
      <c r="Q85" s="369"/>
      <c r="R85" s="369"/>
      <c r="S85" s="369"/>
      <c r="T85" s="369"/>
      <c r="U85" s="369"/>
      <c r="V85" s="369"/>
      <c r="X85" s="444"/>
    </row>
    <row r="86" spans="2:24">
      <c r="B86" s="293" t="s">
        <v>1142</v>
      </c>
      <c r="C86" s="293" t="str">
        <f>"Residential.1.REN.New."&amp;TEXT(X86,"0%")</f>
        <v>Residential.1.REN.New.20%</v>
      </c>
      <c r="D86" s="293" t="str">
        <f>LEFT(B86,3)&amp;"-OLD"</f>
        <v>RH1-OLD</v>
      </c>
      <c r="E86" s="293"/>
      <c r="F86" s="295"/>
      <c r="G86" s="293" t="s">
        <v>1094</v>
      </c>
      <c r="H86" s="293"/>
      <c r="I86" s="314"/>
      <c r="J86" s="411"/>
      <c r="K86" s="531">
        <f>M86*2</f>
        <v>10</v>
      </c>
      <c r="L86" s="531"/>
      <c r="M86" s="531">
        <f>1/$X86</f>
        <v>5</v>
      </c>
      <c r="N86" s="526"/>
      <c r="O86" s="526"/>
      <c r="P86" s="555">
        <v>320</v>
      </c>
      <c r="Q86" s="295">
        <v>1</v>
      </c>
      <c r="R86" s="295">
        <v>40</v>
      </c>
      <c r="S86" s="295">
        <f ca="1">AuxYear+1</f>
        <v>2018</v>
      </c>
      <c r="T86" s="295"/>
      <c r="U86" s="295"/>
      <c r="V86" s="295"/>
      <c r="X86" s="444">
        <v>0.2</v>
      </c>
    </row>
    <row r="87" spans="2:24">
      <c r="B87" s="12"/>
      <c r="C87" s="12"/>
      <c r="D87" s="12" t="str">
        <f>LEFT(B86,3)&amp;"+INS"</f>
        <v>RH1+INS</v>
      </c>
      <c r="E87" s="12"/>
      <c r="F87" s="12"/>
      <c r="G87" s="12" t="s">
        <v>861</v>
      </c>
      <c r="H87" s="12"/>
      <c r="I87" s="536"/>
      <c r="J87" s="411"/>
      <c r="K87" s="541">
        <f>M87/2</f>
        <v>0.14222222222222222</v>
      </c>
      <c r="L87" s="541"/>
      <c r="M87" s="541">
        <f>(M86-1)*(1/0.75/M86)^2</f>
        <v>0.28444444444444444</v>
      </c>
      <c r="N87" s="541"/>
      <c r="O87" s="541"/>
      <c r="P87" s="515"/>
      <c r="Q87" s="369"/>
      <c r="R87" s="369"/>
      <c r="S87" s="369"/>
      <c r="T87" s="369"/>
      <c r="U87" s="369"/>
      <c r="V87" s="369"/>
      <c r="X87" s="444"/>
    </row>
    <row r="88" spans="2:24">
      <c r="B88" s="12"/>
      <c r="C88" s="12"/>
      <c r="D88" s="12" t="str">
        <f>LEFT(B86,3)&amp;"-NET"</f>
        <v>RH1-NET</v>
      </c>
      <c r="E88" s="12"/>
      <c r="F88" s="12" t="s">
        <v>1143</v>
      </c>
      <c r="G88" s="12" t="s">
        <v>1144</v>
      </c>
      <c r="H88" s="12"/>
      <c r="I88" s="296"/>
      <c r="J88" s="358"/>
      <c r="K88" s="540">
        <f>M88/2</f>
        <v>-0.5</v>
      </c>
      <c r="L88" s="540"/>
      <c r="M88" s="540">
        <v>-1</v>
      </c>
      <c r="N88" s="368"/>
      <c r="O88" s="368"/>
      <c r="P88" s="515"/>
      <c r="Q88" s="369"/>
      <c r="R88" s="369"/>
      <c r="S88" s="369"/>
      <c r="T88" s="369"/>
      <c r="U88" s="369">
        <v>40</v>
      </c>
      <c r="V88" s="369"/>
      <c r="X88" s="444"/>
    </row>
    <row r="89" spans="2:24">
      <c r="B89" s="293" t="s">
        <v>1145</v>
      </c>
      <c r="C89" s="293" t="str">
        <f>"Residential.1.REN.New."&amp;TEXT(X89,"0%")</f>
        <v>Residential.1.REN.New.40%</v>
      </c>
      <c r="D89" s="293" t="str">
        <f>LEFT(B89,3)&amp;"-OLD"</f>
        <v>RH1-OLD</v>
      </c>
      <c r="E89" s="293"/>
      <c r="F89" s="295"/>
      <c r="G89" s="293" t="s">
        <v>1094</v>
      </c>
      <c r="H89" s="293"/>
      <c r="I89" s="314"/>
      <c r="J89" s="411"/>
      <c r="K89" s="531">
        <f>M89*2</f>
        <v>5</v>
      </c>
      <c r="L89" s="531"/>
      <c r="M89" s="531">
        <f>1/$X89</f>
        <v>2.5</v>
      </c>
      <c r="N89" s="526"/>
      <c r="O89" s="526"/>
      <c r="P89" s="555">
        <v>450</v>
      </c>
      <c r="Q89" s="295">
        <v>1</v>
      </c>
      <c r="R89" s="295">
        <v>40</v>
      </c>
      <c r="S89" s="295">
        <f ca="1">AuxYear+1</f>
        <v>2018</v>
      </c>
      <c r="T89" s="295"/>
      <c r="U89" s="295"/>
      <c r="V89" s="295"/>
      <c r="X89" s="444">
        <v>0.4</v>
      </c>
    </row>
    <row r="90" spans="2:24">
      <c r="B90" s="12"/>
      <c r="C90" s="12"/>
      <c r="D90" s="12" t="str">
        <f>LEFT(B89,3)&amp;"+INS"</f>
        <v>RH1+INS</v>
      </c>
      <c r="E90" s="12"/>
      <c r="F90" s="12"/>
      <c r="G90" s="12" t="s">
        <v>861</v>
      </c>
      <c r="H90" s="12"/>
      <c r="I90" s="536"/>
      <c r="J90" s="411"/>
      <c r="K90" s="541">
        <f>M90/2</f>
        <v>0.21333333333333332</v>
      </c>
      <c r="L90" s="541"/>
      <c r="M90" s="541">
        <f>(M89-1)*(1/0.75/M89)^2</f>
        <v>0.42666666666666664</v>
      </c>
      <c r="N90" s="541"/>
      <c r="O90" s="541"/>
      <c r="P90" s="515"/>
      <c r="Q90" s="369"/>
      <c r="R90" s="369"/>
      <c r="S90" s="369"/>
      <c r="T90" s="369"/>
      <c r="U90" s="369"/>
      <c r="V90" s="369"/>
      <c r="X90" s="444"/>
    </row>
    <row r="91" spans="2:24">
      <c r="B91" s="12"/>
      <c r="C91" s="12"/>
      <c r="D91" s="12" t="str">
        <f>LEFT(B89,3)&amp;"-NET"</f>
        <v>RH1-NET</v>
      </c>
      <c r="E91" s="12"/>
      <c r="F91" s="12" t="s">
        <v>1143</v>
      </c>
      <c r="G91" s="12" t="s">
        <v>1144</v>
      </c>
      <c r="H91" s="12"/>
      <c r="I91" s="296"/>
      <c r="J91" s="358"/>
      <c r="K91" s="540">
        <f>M91/2</f>
        <v>-0.5</v>
      </c>
      <c r="L91" s="540"/>
      <c r="M91" s="540">
        <v>-1</v>
      </c>
      <c r="N91" s="368"/>
      <c r="O91" s="368"/>
      <c r="P91" s="515"/>
      <c r="Q91" s="369"/>
      <c r="R91" s="369"/>
      <c r="S91" s="369"/>
      <c r="T91" s="369"/>
      <c r="U91" s="369">
        <v>40</v>
      </c>
      <c r="V91" s="369"/>
      <c r="X91" s="444"/>
    </row>
    <row r="92" spans="2:24">
      <c r="B92" s="293" t="s">
        <v>1146</v>
      </c>
      <c r="C92" s="293" t="str">
        <f>"Residential.1.REN.New."&amp;TEXT(X92,"0%")</f>
        <v>Residential.1.REN.New.60%</v>
      </c>
      <c r="D92" s="293" t="str">
        <f>LEFT(B92,3)&amp;"-OLD"</f>
        <v>RH1-OLD</v>
      </c>
      <c r="E92" s="293"/>
      <c r="F92" s="295"/>
      <c r="G92" s="293" t="s">
        <v>1094</v>
      </c>
      <c r="H92" s="293"/>
      <c r="I92" s="314"/>
      <c r="J92" s="411"/>
      <c r="K92" s="531">
        <f>M92*2</f>
        <v>3.3333333333333335</v>
      </c>
      <c r="L92" s="531"/>
      <c r="M92" s="531">
        <f>1/$X92</f>
        <v>1.6666666666666667</v>
      </c>
      <c r="N92" s="526"/>
      <c r="O92" s="526"/>
      <c r="P92" s="555">
        <v>560</v>
      </c>
      <c r="Q92" s="295">
        <v>1</v>
      </c>
      <c r="R92" s="295">
        <v>40</v>
      </c>
      <c r="S92" s="295">
        <f ca="1">AuxYear+1</f>
        <v>2018</v>
      </c>
      <c r="T92" s="295"/>
      <c r="U92" s="295"/>
      <c r="V92" s="295"/>
      <c r="X92" s="444">
        <v>0.6</v>
      </c>
    </row>
    <row r="93" spans="2:24">
      <c r="B93" s="12"/>
      <c r="C93" s="12"/>
      <c r="D93" s="12" t="str">
        <f>LEFT(B92,3)&amp;"+INS"</f>
        <v>RH1+INS</v>
      </c>
      <c r="E93" s="12"/>
      <c r="F93" s="12"/>
      <c r="G93" s="12" t="s">
        <v>861</v>
      </c>
      <c r="H93" s="12"/>
      <c r="I93" s="536"/>
      <c r="J93" s="411"/>
      <c r="K93" s="541">
        <f>M93/2</f>
        <v>0.21333333333333332</v>
      </c>
      <c r="L93" s="541"/>
      <c r="M93" s="541">
        <f>(M92-1)*(1/0.75/M92)^2</f>
        <v>0.42666666666666664</v>
      </c>
      <c r="N93" s="541"/>
      <c r="O93" s="541"/>
      <c r="P93" s="515"/>
      <c r="Q93" s="369"/>
      <c r="R93" s="369"/>
      <c r="S93" s="369"/>
      <c r="T93" s="369"/>
      <c r="U93" s="369"/>
      <c r="V93" s="369"/>
      <c r="X93" s="444"/>
    </row>
    <row r="94" spans="2:24">
      <c r="B94" s="12"/>
      <c r="C94" s="12"/>
      <c r="D94" s="12" t="str">
        <f>LEFT(B92,3)&amp;"-NET"</f>
        <v>RH1-NET</v>
      </c>
      <c r="E94" s="12"/>
      <c r="F94" s="12" t="s">
        <v>1143</v>
      </c>
      <c r="G94" s="12" t="s">
        <v>1144</v>
      </c>
      <c r="H94" s="12"/>
      <c r="I94" s="296"/>
      <c r="J94" s="358"/>
      <c r="K94" s="540">
        <f>M94/2</f>
        <v>-0.5</v>
      </c>
      <c r="L94" s="540"/>
      <c r="M94" s="540">
        <v>-1</v>
      </c>
      <c r="N94" s="368"/>
      <c r="O94" s="368"/>
      <c r="P94" s="515"/>
      <c r="Q94" s="369"/>
      <c r="R94" s="369"/>
      <c r="S94" s="369"/>
      <c r="T94" s="369"/>
      <c r="U94" s="369">
        <v>40</v>
      </c>
      <c r="V94" s="369"/>
      <c r="X94" s="444"/>
    </row>
    <row r="95" spans="2:24">
      <c r="B95" s="293" t="s">
        <v>1147</v>
      </c>
      <c r="C95" s="293" t="str">
        <f>"Residential.1.REN.New."&amp;TEXT(X95,"0%")</f>
        <v>Residential.1.REN.New.20%</v>
      </c>
      <c r="D95" s="293" t="str">
        <f>LEFT(B95,3)&amp;"-OLD"</f>
        <v>RH2-OLD</v>
      </c>
      <c r="E95" s="293"/>
      <c r="F95" s="295"/>
      <c r="G95" s="293" t="s">
        <v>1094</v>
      </c>
      <c r="H95" s="293"/>
      <c r="I95" s="314"/>
      <c r="J95" s="411"/>
      <c r="K95" s="531">
        <f>M95*2</f>
        <v>10</v>
      </c>
      <c r="L95" s="531"/>
      <c r="M95" s="531">
        <f>1/$X95</f>
        <v>5</v>
      </c>
      <c r="N95" s="526"/>
      <c r="O95" s="526"/>
      <c r="P95" s="555">
        <v>250</v>
      </c>
      <c r="Q95" s="295">
        <v>1</v>
      </c>
      <c r="R95" s="295">
        <v>40</v>
      </c>
      <c r="S95" s="295">
        <f ca="1">AuxYear+1</f>
        <v>2018</v>
      </c>
      <c r="T95" s="295"/>
      <c r="U95" s="295"/>
      <c r="V95" s="295"/>
      <c r="X95" s="444">
        <v>0.2</v>
      </c>
    </row>
    <row r="96" spans="2:24">
      <c r="B96" s="12"/>
      <c r="C96" s="12"/>
      <c r="D96" s="12" t="str">
        <f>LEFT(B95,3)&amp;"+INS"</f>
        <v>RH2+INS</v>
      </c>
      <c r="E96" s="12"/>
      <c r="F96" s="12"/>
      <c r="G96" s="12" t="s">
        <v>861</v>
      </c>
      <c r="H96" s="12"/>
      <c r="I96" s="536"/>
      <c r="J96" s="411"/>
      <c r="K96" s="541">
        <f>M96/2</f>
        <v>0.14222222222222222</v>
      </c>
      <c r="L96" s="541"/>
      <c r="M96" s="541">
        <f>(M95-1)*(1/0.75/M95)^2</f>
        <v>0.28444444444444444</v>
      </c>
      <c r="N96" s="541"/>
      <c r="O96" s="541"/>
      <c r="P96" s="515"/>
      <c r="Q96" s="369"/>
      <c r="R96" s="369"/>
      <c r="S96" s="369"/>
      <c r="T96" s="369"/>
      <c r="U96" s="369"/>
      <c r="V96" s="369"/>
      <c r="X96" s="444"/>
    </row>
    <row r="97" spans="2:24">
      <c r="B97" s="12"/>
      <c r="C97" s="12"/>
      <c r="D97" s="12" t="str">
        <f>LEFT(B95,3)&amp;"-NET"</f>
        <v>RH2-NET</v>
      </c>
      <c r="E97" s="12"/>
      <c r="F97" s="12" t="s">
        <v>1143</v>
      </c>
      <c r="G97" s="12" t="s">
        <v>1144</v>
      </c>
      <c r="H97" s="12"/>
      <c r="I97" s="296"/>
      <c r="J97" s="358"/>
      <c r="K97" s="540">
        <f>M97/2</f>
        <v>-0.5</v>
      </c>
      <c r="L97" s="540"/>
      <c r="M97" s="540">
        <v>-1</v>
      </c>
      <c r="N97" s="368"/>
      <c r="O97" s="368"/>
      <c r="P97" s="515"/>
      <c r="Q97" s="369"/>
      <c r="R97" s="369"/>
      <c r="S97" s="369"/>
      <c r="T97" s="369"/>
      <c r="U97" s="369">
        <v>40</v>
      </c>
      <c r="V97" s="369"/>
      <c r="X97" s="444"/>
    </row>
    <row r="98" spans="2:24">
      <c r="B98" s="293" t="s">
        <v>1148</v>
      </c>
      <c r="C98" s="293" t="str">
        <f>"Residential.1.REN.New."&amp;TEXT(X98,"0%")</f>
        <v>Residential.1.REN.New.40%</v>
      </c>
      <c r="D98" s="293" t="str">
        <f>LEFT(B98,3)&amp;"-OLD"</f>
        <v>RH2-OLD</v>
      </c>
      <c r="E98" s="293"/>
      <c r="F98" s="295"/>
      <c r="G98" s="293" t="s">
        <v>1094</v>
      </c>
      <c r="H98" s="293"/>
      <c r="I98" s="314"/>
      <c r="J98" s="411"/>
      <c r="K98" s="531">
        <f>M98*2</f>
        <v>5</v>
      </c>
      <c r="L98" s="531"/>
      <c r="M98" s="531">
        <f>1/$X98</f>
        <v>2.5</v>
      </c>
      <c r="N98" s="526"/>
      <c r="O98" s="526"/>
      <c r="P98" s="555">
        <v>310</v>
      </c>
      <c r="Q98" s="295">
        <v>1</v>
      </c>
      <c r="R98" s="295">
        <v>40</v>
      </c>
      <c r="S98" s="295">
        <f ca="1">AuxYear+1</f>
        <v>2018</v>
      </c>
      <c r="T98" s="295"/>
      <c r="U98" s="295"/>
      <c r="V98" s="295"/>
      <c r="X98" s="444">
        <v>0.4</v>
      </c>
    </row>
    <row r="99" spans="2:24">
      <c r="B99" s="12"/>
      <c r="C99" s="12"/>
      <c r="D99" s="12" t="str">
        <f>LEFT(B98,3)&amp;"+INS"</f>
        <v>RH2+INS</v>
      </c>
      <c r="E99" s="12"/>
      <c r="F99" s="12"/>
      <c r="G99" s="12" t="s">
        <v>861</v>
      </c>
      <c r="H99" s="12"/>
      <c r="I99" s="536"/>
      <c r="J99" s="411"/>
      <c r="K99" s="541">
        <f>M99/2</f>
        <v>0.21333333333333332</v>
      </c>
      <c r="L99" s="541"/>
      <c r="M99" s="541">
        <f>(M98-1)*(1/0.75/M98)^2</f>
        <v>0.42666666666666664</v>
      </c>
      <c r="N99" s="541"/>
      <c r="O99" s="541"/>
      <c r="P99" s="515"/>
      <c r="Q99" s="369"/>
      <c r="R99" s="369"/>
      <c r="S99" s="369"/>
      <c r="T99" s="369"/>
      <c r="U99" s="369"/>
      <c r="V99" s="369"/>
      <c r="X99" s="444"/>
    </row>
    <row r="100" spans="2:24">
      <c r="B100" s="12"/>
      <c r="C100" s="12"/>
      <c r="D100" s="12" t="str">
        <f>LEFT(B98,3)&amp;"-NET"</f>
        <v>RH2-NET</v>
      </c>
      <c r="E100" s="12"/>
      <c r="F100" s="12" t="s">
        <v>1143</v>
      </c>
      <c r="G100" s="12" t="s">
        <v>1144</v>
      </c>
      <c r="H100" s="12"/>
      <c r="I100" s="296"/>
      <c r="J100" s="358"/>
      <c r="K100" s="540">
        <f>M100/2</f>
        <v>-0.5</v>
      </c>
      <c r="L100" s="540"/>
      <c r="M100" s="540">
        <v>-1</v>
      </c>
      <c r="N100" s="368"/>
      <c r="O100" s="368"/>
      <c r="P100" s="515"/>
      <c r="Q100" s="369"/>
      <c r="R100" s="369"/>
      <c r="S100" s="369"/>
      <c r="T100" s="369"/>
      <c r="U100" s="369">
        <v>40</v>
      </c>
      <c r="V100" s="369"/>
      <c r="X100" s="444"/>
    </row>
    <row r="101" spans="2:24">
      <c r="B101" s="293" t="s">
        <v>1149</v>
      </c>
      <c r="C101" s="293" t="str">
        <f>"Residential.1.REN.New."&amp;TEXT(X101,"0%")</f>
        <v>Residential.1.REN.New.60%</v>
      </c>
      <c r="D101" s="293" t="str">
        <f>LEFT(B101,3)&amp;"-OLD"</f>
        <v>RH2-OLD</v>
      </c>
      <c r="E101" s="293"/>
      <c r="F101" s="295"/>
      <c r="G101" s="293" t="s">
        <v>1094</v>
      </c>
      <c r="H101" s="293"/>
      <c r="I101" s="314"/>
      <c r="J101" s="411"/>
      <c r="K101" s="531">
        <f>M101*2</f>
        <v>3.3333333333333335</v>
      </c>
      <c r="L101" s="531"/>
      <c r="M101" s="531">
        <f>1/$X101</f>
        <v>1.6666666666666667</v>
      </c>
      <c r="N101" s="526"/>
      <c r="O101" s="526"/>
      <c r="P101" s="555">
        <f>P98+90</f>
        <v>400</v>
      </c>
      <c r="Q101" s="295">
        <v>1</v>
      </c>
      <c r="R101" s="295">
        <v>40</v>
      </c>
      <c r="S101" s="295">
        <f ca="1">AuxYear+1</f>
        <v>2018</v>
      </c>
      <c r="T101" s="295"/>
      <c r="U101" s="295"/>
      <c r="V101" s="295"/>
      <c r="X101" s="444">
        <v>0.6</v>
      </c>
    </row>
    <row r="102" spans="2:24">
      <c r="B102" s="12"/>
      <c r="C102" s="12"/>
      <c r="D102" s="12" t="str">
        <f>LEFT(B101,3)&amp;"+INS"</f>
        <v>RH2+INS</v>
      </c>
      <c r="E102" s="12"/>
      <c r="F102" s="12"/>
      <c r="G102" s="12" t="s">
        <v>861</v>
      </c>
      <c r="H102" s="12"/>
      <c r="I102" s="536"/>
      <c r="J102" s="411"/>
      <c r="K102" s="541">
        <f>M102/2</f>
        <v>0.21333333333333332</v>
      </c>
      <c r="L102" s="541"/>
      <c r="M102" s="541">
        <f>(M101-1)*(1/0.75/M101)^2</f>
        <v>0.42666666666666664</v>
      </c>
      <c r="N102" s="541"/>
      <c r="O102" s="541"/>
      <c r="P102" s="515"/>
      <c r="Q102" s="369"/>
      <c r="R102" s="369"/>
      <c r="S102" s="369"/>
      <c r="T102" s="369"/>
      <c r="U102" s="369"/>
      <c r="V102" s="369"/>
      <c r="X102" s="444"/>
    </row>
    <row r="103" spans="2:24">
      <c r="B103" s="12"/>
      <c r="C103" s="12"/>
      <c r="D103" s="12" t="str">
        <f>LEFT(B101,3)&amp;"-NET"</f>
        <v>RH2-NET</v>
      </c>
      <c r="E103" s="12"/>
      <c r="F103" s="12" t="s">
        <v>1143</v>
      </c>
      <c r="G103" s="12" t="s">
        <v>1144</v>
      </c>
      <c r="H103" s="12"/>
      <c r="I103" s="296"/>
      <c r="J103" s="358"/>
      <c r="K103" s="540">
        <f>M103/2</f>
        <v>-0.5</v>
      </c>
      <c r="L103" s="540"/>
      <c r="M103" s="540">
        <v>-1</v>
      </c>
      <c r="N103" s="368"/>
      <c r="O103" s="368"/>
      <c r="P103" s="515"/>
      <c r="Q103" s="369"/>
      <c r="R103" s="369"/>
      <c r="S103" s="369"/>
      <c r="T103" s="369"/>
      <c r="U103" s="369">
        <v>40</v>
      </c>
      <c r="V103" s="369"/>
      <c r="X103" s="444"/>
    </row>
    <row r="104" spans="2:24">
      <c r="B104" s="293" t="s">
        <v>1150</v>
      </c>
      <c r="C104" s="293" t="str">
        <f>"Residential.1.REN.New."&amp;TEXT(X104,"0%")</f>
        <v>Residential.1.REN.New.20%</v>
      </c>
      <c r="D104" s="293" t="str">
        <f>LEFT(B104,3)&amp;"-OLD"</f>
        <v>CH1-OLD</v>
      </c>
      <c r="E104" s="293"/>
      <c r="F104" s="295"/>
      <c r="G104" s="293" t="s">
        <v>1094</v>
      </c>
      <c r="H104" s="293"/>
      <c r="I104" s="314"/>
      <c r="J104" s="411"/>
      <c r="K104" s="531">
        <f>M104*2</f>
        <v>10</v>
      </c>
      <c r="L104" s="531"/>
      <c r="M104" s="531">
        <f>1/$X104</f>
        <v>5</v>
      </c>
      <c r="N104" s="526"/>
      <c r="O104" s="526"/>
      <c r="P104" s="555">
        <v>270</v>
      </c>
      <c r="Q104" s="295">
        <v>1</v>
      </c>
      <c r="R104" s="295">
        <v>40</v>
      </c>
      <c r="S104" s="295">
        <f ca="1">AuxYear+1</f>
        <v>2018</v>
      </c>
      <c r="T104" s="295"/>
      <c r="U104" s="295"/>
      <c r="V104" s="295"/>
      <c r="X104" s="444">
        <v>0.2</v>
      </c>
    </row>
    <row r="105" spans="2:24">
      <c r="B105" s="12"/>
      <c r="C105" s="12"/>
      <c r="D105" s="12" t="str">
        <f>LEFT(B104,3)&amp;"+INS"</f>
        <v>CH1+INS</v>
      </c>
      <c r="E105" s="12"/>
      <c r="F105" s="12"/>
      <c r="G105" s="12" t="s">
        <v>861</v>
      </c>
      <c r="H105" s="12"/>
      <c r="I105" s="536"/>
      <c r="J105" s="411"/>
      <c r="K105" s="541">
        <f>M105/2</f>
        <v>0.14222222222222222</v>
      </c>
      <c r="L105" s="541"/>
      <c r="M105" s="541">
        <f>(M104-1)*(1/0.75/M104)^2</f>
        <v>0.28444444444444444</v>
      </c>
      <c r="N105" s="541"/>
      <c r="O105" s="541"/>
      <c r="P105" s="515"/>
      <c r="Q105" s="369"/>
      <c r="R105" s="369"/>
      <c r="S105" s="369"/>
      <c r="T105" s="369"/>
      <c r="U105" s="369"/>
      <c r="V105" s="369"/>
      <c r="X105" s="444"/>
    </row>
    <row r="106" spans="2:24">
      <c r="B106" s="12"/>
      <c r="C106" s="12"/>
      <c r="D106" s="12" t="str">
        <f>LEFT(B104,3)&amp;"-NET"</f>
        <v>CH1-NET</v>
      </c>
      <c r="E106" s="12"/>
      <c r="F106" s="12" t="s">
        <v>1143</v>
      </c>
      <c r="G106" s="12" t="s">
        <v>1144</v>
      </c>
      <c r="H106" s="12"/>
      <c r="I106" s="296"/>
      <c r="J106" s="358"/>
      <c r="K106" s="540">
        <f>M106/2</f>
        <v>-0.5</v>
      </c>
      <c r="L106" s="540"/>
      <c r="M106" s="540">
        <v>-1</v>
      </c>
      <c r="N106" s="368"/>
      <c r="O106" s="368"/>
      <c r="P106" s="515"/>
      <c r="Q106" s="369"/>
      <c r="R106" s="369"/>
      <c r="S106" s="369"/>
      <c r="T106" s="369"/>
      <c r="U106" s="369">
        <v>40</v>
      </c>
      <c r="V106" s="369"/>
      <c r="X106" s="444"/>
    </row>
    <row r="107" spans="2:24">
      <c r="B107" s="293" t="s">
        <v>1151</v>
      </c>
      <c r="C107" s="293" t="str">
        <f>"Residential.1.REN.New."&amp;TEXT(X107,"0%")</f>
        <v>Residential.1.REN.New.40%</v>
      </c>
      <c r="D107" s="293" t="str">
        <f>LEFT(B107,3)&amp;"-OLD"</f>
        <v>CH1-OLD</v>
      </c>
      <c r="E107" s="293"/>
      <c r="F107" s="295"/>
      <c r="G107" s="293" t="s">
        <v>1094</v>
      </c>
      <c r="H107" s="293"/>
      <c r="I107" s="314"/>
      <c r="J107" s="411"/>
      <c r="K107" s="531">
        <f>M107*2</f>
        <v>5</v>
      </c>
      <c r="L107" s="531"/>
      <c r="M107" s="531">
        <f>1/$X107</f>
        <v>2.5</v>
      </c>
      <c r="N107" s="526"/>
      <c r="O107" s="526"/>
      <c r="P107" s="555">
        <v>330</v>
      </c>
      <c r="Q107" s="295">
        <v>1</v>
      </c>
      <c r="R107" s="295">
        <v>40</v>
      </c>
      <c r="S107" s="295">
        <f ca="1">AuxYear+1</f>
        <v>2018</v>
      </c>
      <c r="T107" s="295"/>
      <c r="U107" s="295"/>
      <c r="V107" s="295"/>
      <c r="X107" s="444">
        <v>0.4</v>
      </c>
    </row>
    <row r="108" spans="2:24">
      <c r="B108" s="12"/>
      <c r="C108" s="12"/>
      <c r="D108" s="12" t="str">
        <f>LEFT(B107,3)&amp;"+INS"</f>
        <v>CH1+INS</v>
      </c>
      <c r="E108" s="12"/>
      <c r="F108" s="12"/>
      <c r="G108" s="12" t="s">
        <v>861</v>
      </c>
      <c r="H108" s="12"/>
      <c r="I108" s="536"/>
      <c r="J108" s="411"/>
      <c r="K108" s="541">
        <f>M108/2</f>
        <v>0.21333333333333332</v>
      </c>
      <c r="L108" s="541"/>
      <c r="M108" s="541">
        <f>(M107-1)*(1/0.75/M107)^2</f>
        <v>0.42666666666666664</v>
      </c>
      <c r="N108" s="541"/>
      <c r="O108" s="541"/>
      <c r="P108" s="515"/>
      <c r="Q108" s="369"/>
      <c r="R108" s="369"/>
      <c r="S108" s="369"/>
      <c r="T108" s="369"/>
      <c r="U108" s="369"/>
      <c r="V108" s="369"/>
      <c r="X108" s="444"/>
    </row>
    <row r="109" spans="2:24">
      <c r="B109" s="12"/>
      <c r="C109" s="12"/>
      <c r="D109" s="12" t="str">
        <f>LEFT(B107,3)&amp;"-NET"</f>
        <v>CH1-NET</v>
      </c>
      <c r="E109" s="12"/>
      <c r="F109" s="12" t="s">
        <v>1143</v>
      </c>
      <c r="G109" s="12" t="s">
        <v>1144</v>
      </c>
      <c r="H109" s="12"/>
      <c r="I109" s="296"/>
      <c r="J109" s="358"/>
      <c r="K109" s="540">
        <f>M109/2</f>
        <v>-0.5</v>
      </c>
      <c r="L109" s="540"/>
      <c r="M109" s="540">
        <v>-1</v>
      </c>
      <c r="N109" s="368"/>
      <c r="O109" s="368"/>
      <c r="P109" s="515"/>
      <c r="Q109" s="369"/>
      <c r="R109" s="369"/>
      <c r="S109" s="369"/>
      <c r="T109" s="369"/>
      <c r="U109" s="369">
        <v>40</v>
      </c>
      <c r="V109" s="369"/>
      <c r="X109" s="444"/>
    </row>
    <row r="110" spans="2:24">
      <c r="B110" s="293" t="s">
        <v>1152</v>
      </c>
      <c r="C110" s="293" t="str">
        <f>"Residential.1.REN.New."&amp;TEXT(X110,"0%")</f>
        <v>Residential.1.REN.New.60%</v>
      </c>
      <c r="D110" s="293" t="str">
        <f>LEFT(B110,3)&amp;"-OLD"</f>
        <v>CH1-OLD</v>
      </c>
      <c r="E110" s="293"/>
      <c r="F110" s="295"/>
      <c r="G110" s="293" t="s">
        <v>1094</v>
      </c>
      <c r="H110" s="293"/>
      <c r="I110" s="314"/>
      <c r="J110" s="411"/>
      <c r="K110" s="531">
        <f>M110*2</f>
        <v>3.3333333333333335</v>
      </c>
      <c r="L110" s="531"/>
      <c r="M110" s="531">
        <f>1/$X110</f>
        <v>1.6666666666666667</v>
      </c>
      <c r="N110" s="526"/>
      <c r="O110" s="526"/>
      <c r="P110" s="555">
        <f>P107+90</f>
        <v>420</v>
      </c>
      <c r="Q110" s="295">
        <v>1</v>
      </c>
      <c r="R110" s="295">
        <v>40</v>
      </c>
      <c r="S110" s="295">
        <f ca="1">AuxYear+1</f>
        <v>2018</v>
      </c>
      <c r="T110" s="295"/>
      <c r="U110" s="295"/>
      <c r="V110" s="295"/>
      <c r="X110" s="444">
        <v>0.6</v>
      </c>
    </row>
    <row r="111" spans="2:24">
      <c r="B111" s="12"/>
      <c r="C111" s="12"/>
      <c r="D111" s="12" t="str">
        <f>LEFT(B110,3)&amp;"+INS"</f>
        <v>CH1+INS</v>
      </c>
      <c r="E111" s="12"/>
      <c r="F111" s="12"/>
      <c r="G111" s="12" t="s">
        <v>861</v>
      </c>
      <c r="H111" s="12"/>
      <c r="I111" s="536"/>
      <c r="J111" s="411"/>
      <c r="K111" s="541">
        <f>M111/2</f>
        <v>0.21333333333333332</v>
      </c>
      <c r="L111" s="541"/>
      <c r="M111" s="541">
        <f>(M110-1)*(1/0.75/M110)^2</f>
        <v>0.42666666666666664</v>
      </c>
      <c r="N111" s="541"/>
      <c r="O111" s="541"/>
      <c r="P111" s="515"/>
      <c r="Q111" s="369"/>
      <c r="R111" s="369"/>
      <c r="S111" s="369"/>
      <c r="T111" s="369"/>
      <c r="U111" s="369"/>
      <c r="V111" s="369"/>
      <c r="X111" s="444"/>
    </row>
    <row r="112" spans="2:24">
      <c r="B112" s="12"/>
      <c r="C112" s="12"/>
      <c r="D112" s="12" t="str">
        <f>LEFT(B110,3)&amp;"-NET"</f>
        <v>CH1-NET</v>
      </c>
      <c r="E112" s="12"/>
      <c r="F112" s="12" t="s">
        <v>1143</v>
      </c>
      <c r="G112" s="12" t="s">
        <v>1144</v>
      </c>
      <c r="H112" s="12"/>
      <c r="I112" s="296"/>
      <c r="J112" s="358"/>
      <c r="K112" s="540">
        <f>M112/2</f>
        <v>-0.5</v>
      </c>
      <c r="L112" s="540"/>
      <c r="M112" s="540">
        <v>-1</v>
      </c>
      <c r="N112" s="368"/>
      <c r="O112" s="368"/>
      <c r="P112" s="515"/>
      <c r="Q112" s="369"/>
      <c r="R112" s="369"/>
      <c r="S112" s="369"/>
      <c r="T112" s="369"/>
      <c r="U112" s="369">
        <v>40</v>
      </c>
      <c r="V112" s="369"/>
      <c r="X112" s="444"/>
    </row>
    <row r="113" spans="16:16">
      <c r="P113" s="15"/>
    </row>
  </sheetData>
  <phoneticPr fontId="35"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dimension ref="A1:Y129"/>
  <sheetViews>
    <sheetView topLeftCell="A67" zoomScale="75" workbookViewId="0">
      <selection activeCell="B73" sqref="B73"/>
    </sheetView>
  </sheetViews>
  <sheetFormatPr defaultColWidth="11.42578125" defaultRowHeight="12.75"/>
  <cols>
    <col min="1" max="1" width="15.85546875" customWidth="1"/>
    <col min="2" max="2" width="15.140625" customWidth="1"/>
    <col min="3" max="3" width="30.42578125" customWidth="1"/>
    <col min="4" max="4" width="12" customWidth="1"/>
    <col min="5" max="5" width="10.85546875" customWidth="1"/>
    <col min="6" max="8" width="9.140625" customWidth="1"/>
    <col min="9" max="9" width="9.28515625" bestFit="1" customWidth="1"/>
    <col min="10" max="10" width="9.5703125" customWidth="1"/>
    <col min="11" max="13" width="9.28515625" bestFit="1" customWidth="1"/>
    <col min="14" max="15" width="9.42578125" bestFit="1" customWidth="1"/>
    <col min="16" max="16" width="9.7109375" bestFit="1" customWidth="1"/>
    <col min="17" max="19" width="9.28515625" bestFit="1" customWidth="1"/>
    <col min="20" max="20" width="9.85546875" customWidth="1"/>
    <col min="21" max="23" width="9.28515625" bestFit="1" customWidth="1"/>
    <col min="24" max="24" width="9.5703125" bestFit="1" customWidth="1"/>
  </cols>
  <sheetData>
    <row r="1" spans="1:21" ht="18">
      <c r="A1" s="590" t="s">
        <v>572</v>
      </c>
      <c r="B1" s="7"/>
      <c r="C1" s="7"/>
      <c r="D1" s="7"/>
    </row>
    <row r="2" spans="1:21" ht="18">
      <c r="A2" s="10"/>
      <c r="F2" s="245"/>
    </row>
    <row r="3" spans="1:21">
      <c r="A3" s="9"/>
      <c r="F3" s="245"/>
    </row>
    <row r="4" spans="1:21">
      <c r="A4" s="9"/>
      <c r="F4" s="245"/>
      <c r="G4" s="23"/>
      <c r="H4" s="19"/>
      <c r="J4" s="19"/>
      <c r="K4" s="137"/>
      <c r="Q4" s="18">
        <v>1.05</v>
      </c>
    </row>
    <row r="5" spans="1:21" ht="18">
      <c r="A5" s="9"/>
      <c r="B5" s="253" t="s">
        <v>678</v>
      </c>
      <c r="C5" s="131"/>
      <c r="D5" s="131"/>
      <c r="E5" s="131"/>
      <c r="F5" s="252" t="str">
        <f>"~FI_T: "&amp;Region</f>
        <v>~FI_T: FIN</v>
      </c>
    </row>
    <row r="6" spans="1:21" ht="39" thickBot="1">
      <c r="A6" s="9"/>
      <c r="B6" s="52" t="s">
        <v>57</v>
      </c>
      <c r="C6" s="52" t="s">
        <v>58</v>
      </c>
      <c r="D6" s="52" t="s">
        <v>56</v>
      </c>
      <c r="E6" s="52" t="s">
        <v>59</v>
      </c>
      <c r="F6" s="52" t="s">
        <v>385</v>
      </c>
      <c r="G6" s="52" t="s">
        <v>661</v>
      </c>
      <c r="H6" s="52" t="s">
        <v>734</v>
      </c>
      <c r="I6" s="52" t="s">
        <v>976</v>
      </c>
      <c r="J6" s="52" t="s">
        <v>534</v>
      </c>
      <c r="K6" s="52" t="s">
        <v>535</v>
      </c>
      <c r="L6" s="52" t="s">
        <v>536</v>
      </c>
      <c r="M6" s="278" t="str">
        <f ca="1">"Share~UP~"&amp;AuxYear</f>
        <v>Share~UP~2017</v>
      </c>
      <c r="N6" s="278" t="str">
        <f ca="1">"Share~UP~"&amp;CEILING(AuxYear+2,5)</f>
        <v>Share~UP~2020</v>
      </c>
      <c r="O6" s="52" t="s">
        <v>802</v>
      </c>
      <c r="P6" s="52" t="str">
        <f ca="1">"ACT_BND~UP~"&amp;AuxYear</f>
        <v>ACT_BND~UP~2017</v>
      </c>
      <c r="Q6" s="52" t="s">
        <v>803</v>
      </c>
      <c r="R6" s="52" t="s">
        <v>804</v>
      </c>
      <c r="S6" s="335" t="str">
        <f ca="1">"ACT_BND~LO~"&amp;CEILING(AuxYear+2,5)</f>
        <v>ACT_BND~LO~2020</v>
      </c>
      <c r="T6" s="52" t="s">
        <v>826</v>
      </c>
      <c r="U6" s="52" t="s">
        <v>827</v>
      </c>
    </row>
    <row r="7" spans="1:21">
      <c r="A7" s="9"/>
      <c r="B7" s="12" t="str">
        <f>CONCATENATE("FT-",E10,"0")</f>
        <v>FT-COMNGA0</v>
      </c>
      <c r="C7" s="404" t="s">
        <v>530</v>
      </c>
      <c r="D7" s="139" t="str">
        <f ca="1">IEAData!D99</f>
        <v>GASNGA</v>
      </c>
      <c r="E7" s="12"/>
      <c r="F7" s="12"/>
      <c r="G7" s="139">
        <v>1</v>
      </c>
      <c r="H7" s="97">
        <f ca="1">IF(IEAData!$G$99&lt;=0,1,IEAData!B99/IEAData!$G$99)+0.004</f>
        <v>1.004</v>
      </c>
      <c r="I7" s="97">
        <f ca="1">IF(AuxData!$G$99&lt;=0,1,AuxData!C99/AuxData!$G$99)+0.004</f>
        <v>0.52692033162717411</v>
      </c>
      <c r="J7" s="140">
        <v>1</v>
      </c>
      <c r="K7" s="140">
        <v>1</v>
      </c>
      <c r="L7" s="18"/>
      <c r="M7" s="40">
        <v>1</v>
      </c>
      <c r="N7" s="40">
        <v>1</v>
      </c>
      <c r="O7" s="139">
        <f ca="1">IEAData!$G$99*COM_Fuels!$Q$4</f>
        <v>0.91911826440000022</v>
      </c>
      <c r="P7" s="139">
        <f ca="1">AuxData!$G$99*COM_Fuels!$Q$4</f>
        <v>1.7981264699999999</v>
      </c>
      <c r="Q7" s="139">
        <f>P7*$Q$4</f>
        <v>1.8880327935000001</v>
      </c>
      <c r="R7" s="139">
        <f>Q7*$Q$4</f>
        <v>1.9824344331750001</v>
      </c>
      <c r="S7" s="336"/>
      <c r="T7" s="139"/>
      <c r="U7" s="139"/>
    </row>
    <row r="8" spans="1:21">
      <c r="A8" s="9"/>
      <c r="B8" s="12"/>
      <c r="C8" s="378"/>
      <c r="D8" s="139" t="str">
        <f ca="1">IEAData!D100</f>
        <v>GASGWG</v>
      </c>
      <c r="E8" s="12"/>
      <c r="F8" s="12"/>
      <c r="G8" s="139"/>
      <c r="H8" s="97">
        <f ca="1">IF(IEAData!$G$99&lt;=0,0,IEAData!B100/IEAData!$G$99)</f>
        <v>0</v>
      </c>
      <c r="I8" s="97">
        <f ca="1">IF(AuxData!$G$99&lt;=0,0,AuxData!C100/AuxData!$G$99)</f>
        <v>0</v>
      </c>
      <c r="J8" s="140"/>
      <c r="K8" s="140"/>
      <c r="L8" s="18"/>
      <c r="M8" s="40">
        <f>I8</f>
        <v>0</v>
      </c>
      <c r="N8" s="40">
        <f>I8</f>
        <v>0</v>
      </c>
      <c r="O8" s="36"/>
      <c r="P8" s="36"/>
      <c r="Q8" s="12"/>
      <c r="R8" s="12"/>
      <c r="S8" s="337"/>
      <c r="T8" s="12"/>
      <c r="U8" s="12"/>
    </row>
    <row r="9" spans="1:21">
      <c r="A9" s="9"/>
      <c r="B9" s="12"/>
      <c r="C9" s="378"/>
      <c r="D9" s="139" t="s">
        <v>1009</v>
      </c>
      <c r="E9" s="12"/>
      <c r="F9" s="12"/>
      <c r="G9" s="139"/>
      <c r="H9" s="97">
        <f ca="1">IF(IEAData!$G$99&lt;=0,0,IEAData!B114/IEAData!$G$99)</f>
        <v>0</v>
      </c>
      <c r="I9" s="97">
        <f ca="1">IF(AuxData!$G$99&lt;=0,0,AuxData!C114/AuxData!$G$99)</f>
        <v>0.47707966837282595</v>
      </c>
      <c r="J9" s="140"/>
      <c r="K9" s="140"/>
      <c r="L9" s="18"/>
      <c r="M9" s="40">
        <f>I9</f>
        <v>0.47707966837282595</v>
      </c>
      <c r="N9" s="40">
        <f>I9^0.68</f>
        <v>0.60456335304665354</v>
      </c>
      <c r="O9" s="36"/>
      <c r="P9" s="36"/>
      <c r="Q9" s="12"/>
      <c r="R9" s="12"/>
      <c r="S9" s="337"/>
      <c r="T9" s="12"/>
      <c r="U9" s="12"/>
    </row>
    <row r="10" spans="1:21">
      <c r="A10" s="9"/>
      <c r="B10" s="247"/>
      <c r="C10" s="460"/>
      <c r="D10" s="142"/>
      <c r="E10" s="142" t="str">
        <f ca="1">IEAData!H99</f>
        <v>COMNGA</v>
      </c>
      <c r="F10" s="142" t="s">
        <v>158</v>
      </c>
      <c r="G10" s="143"/>
      <c r="H10" s="144"/>
      <c r="I10" s="144"/>
      <c r="J10" s="145"/>
      <c r="K10" s="145"/>
      <c r="L10" s="146"/>
      <c r="M10" s="146"/>
      <c r="N10" s="146"/>
      <c r="O10" s="142"/>
      <c r="P10" s="142"/>
      <c r="Q10" s="142"/>
      <c r="R10" s="142"/>
      <c r="S10" s="338"/>
      <c r="T10" s="142"/>
      <c r="U10" s="142"/>
    </row>
    <row r="11" spans="1:21">
      <c r="A11" s="149"/>
      <c r="B11" s="12" t="str">
        <f>CONCATENATE("FT-",E15,"0")</f>
        <v>FT-COMDST0</v>
      </c>
      <c r="C11" s="378" t="s">
        <v>159</v>
      </c>
      <c r="D11" s="139" t="str">
        <f ca="1">IEAData!D102</f>
        <v>OILDST</v>
      </c>
      <c r="E11" s="12"/>
      <c r="F11" s="12"/>
      <c r="G11" s="139">
        <v>1</v>
      </c>
      <c r="H11" s="97">
        <f ca="1">IF(IEAData!$G$100&lt;=0,1,IEAData!B102/IEAData!$G$100)+0.004</f>
        <v>0.98225646785225385</v>
      </c>
      <c r="I11" s="97">
        <f ca="1">IF(AuxData!$G$100&lt;=0,1,AuxData!C102/AuxData!$G$100)+0.004</f>
        <v>0.91485058059267166</v>
      </c>
      <c r="J11" s="140">
        <v>1</v>
      </c>
      <c r="K11" s="140">
        <v>1</v>
      </c>
      <c r="L11" s="18"/>
      <c r="M11" s="40">
        <v>1</v>
      </c>
      <c r="N11" s="40">
        <v>1</v>
      </c>
      <c r="O11" s="139">
        <f ca="1">IEAData!$G$100*COM_Fuels!$Q$4</f>
        <v>8.8858770363134028</v>
      </c>
      <c r="P11" s="139">
        <f ca="1">MAX(O11,AuxData!$G$100*COM_Fuels!$Q$4)</f>
        <v>9.4679122490237493</v>
      </c>
      <c r="Q11" s="139">
        <f ca="1">P11*$Q$4</f>
        <v>9.9413078614749377</v>
      </c>
      <c r="R11" s="139">
        <f ca="1">Q11*$Q$4</f>
        <v>10.438373254548685</v>
      </c>
      <c r="S11" s="336">
        <f ca="1">AuxData!$G$100*0.93^(2020-AuxYear)</f>
        <v>7.2529347551314256</v>
      </c>
      <c r="T11" s="139">
        <f>S11*0.94^30</f>
        <v>1.1333117166503308</v>
      </c>
      <c r="U11" s="139">
        <v>1</v>
      </c>
    </row>
    <row r="12" spans="1:21">
      <c r="A12" s="149"/>
      <c r="B12" s="12"/>
      <c r="C12" s="378"/>
      <c r="D12" s="139" t="str">
        <f ca="1">IEAData!D105</f>
        <v>OILGSL</v>
      </c>
      <c r="E12" s="12"/>
      <c r="F12" s="12"/>
      <c r="G12" s="148"/>
      <c r="H12" s="97">
        <f ca="1">IF(IEAData!$G$100&lt;=0,0,IEAData!B105/IEAData!$G$100)</f>
        <v>0</v>
      </c>
      <c r="I12" s="97">
        <f ca="1">IF(AuxData!$G$100&lt;=0,0,AuxData!C105/AuxData!$G$100)</f>
        <v>8.2953996017546938E-2</v>
      </c>
      <c r="J12" s="140"/>
      <c r="K12" s="140"/>
      <c r="L12" s="18"/>
      <c r="M12" s="40">
        <f>I12</f>
        <v>8.2953996017546938E-2</v>
      </c>
      <c r="N12" s="40">
        <f>I12</f>
        <v>8.2953996017546938E-2</v>
      </c>
      <c r="O12" s="12"/>
      <c r="P12" s="12"/>
      <c r="Q12" s="12"/>
      <c r="R12" s="12"/>
      <c r="S12" s="337"/>
      <c r="T12" s="12"/>
      <c r="U12" s="12"/>
    </row>
    <row r="13" spans="1:21">
      <c r="A13" s="149"/>
      <c r="B13" s="12"/>
      <c r="C13" s="378"/>
      <c r="D13" s="139" t="str">
        <f ca="1">IEAData!D106</f>
        <v>OILNSP</v>
      </c>
      <c r="E13" s="12"/>
      <c r="F13" s="12"/>
      <c r="G13" s="148"/>
      <c r="H13" s="97"/>
      <c r="I13" s="97"/>
      <c r="J13" s="140"/>
      <c r="K13" s="140"/>
      <c r="L13" s="18"/>
      <c r="M13" s="40">
        <f>I13</f>
        <v>0</v>
      </c>
      <c r="N13" s="40">
        <f>I13</f>
        <v>0</v>
      </c>
      <c r="O13" s="12"/>
      <c r="P13" s="12"/>
      <c r="Q13" s="12"/>
      <c r="R13" s="12"/>
      <c r="S13" s="337"/>
      <c r="T13" s="12"/>
      <c r="U13" s="12"/>
    </row>
    <row r="14" spans="1:21">
      <c r="A14" s="149"/>
      <c r="B14" s="12"/>
      <c r="C14" s="378"/>
      <c r="D14" s="139" t="s">
        <v>742</v>
      </c>
      <c r="E14" s="12"/>
      <c r="F14" s="12"/>
      <c r="G14" s="148"/>
      <c r="H14" s="97"/>
      <c r="I14" s="97"/>
      <c r="J14" s="140"/>
      <c r="K14" s="140"/>
      <c r="L14" s="18"/>
      <c r="M14" s="40"/>
      <c r="N14" s="40"/>
      <c r="O14" s="12"/>
      <c r="P14" s="12"/>
      <c r="Q14" s="12"/>
      <c r="R14" s="12"/>
      <c r="S14" s="337"/>
      <c r="T14" s="12"/>
      <c r="U14" s="12"/>
    </row>
    <row r="15" spans="1:21">
      <c r="A15" s="149"/>
      <c r="B15" s="247"/>
      <c r="C15" s="460"/>
      <c r="D15" s="142"/>
      <c r="E15" s="142" t="str">
        <f ca="1">IEAData!H100</f>
        <v>COMDST</v>
      </c>
      <c r="F15" s="142" t="s">
        <v>160</v>
      </c>
      <c r="G15" s="143"/>
      <c r="H15" s="144"/>
      <c r="I15" s="144"/>
      <c r="J15" s="145"/>
      <c r="K15" s="145"/>
      <c r="L15" s="146"/>
      <c r="M15" s="146"/>
      <c r="N15" s="146"/>
      <c r="O15" s="142"/>
      <c r="P15" s="142"/>
      <c r="Q15" s="142"/>
      <c r="R15" s="142"/>
      <c r="S15" s="338"/>
      <c r="T15" s="142"/>
      <c r="U15" s="142"/>
    </row>
    <row r="16" spans="1:21">
      <c r="A16" s="149"/>
      <c r="B16" s="12" t="str">
        <f>CONCATENATE("FT-",E17,"0")</f>
        <v>FT-COMHFO0</v>
      </c>
      <c r="C16" s="378" t="s">
        <v>161</v>
      </c>
      <c r="D16" s="139" t="str">
        <f ca="1">IEAData!D103</f>
        <v>OILHFO</v>
      </c>
      <c r="E16" s="12"/>
      <c r="F16" s="12"/>
      <c r="G16" s="139">
        <v>1</v>
      </c>
      <c r="H16" s="97"/>
      <c r="I16" s="97"/>
      <c r="J16" s="140">
        <v>1</v>
      </c>
      <c r="K16" s="140">
        <v>1</v>
      </c>
      <c r="L16" s="18"/>
      <c r="M16" s="40"/>
      <c r="N16" s="40"/>
      <c r="O16" s="139">
        <f ca="1">IEAData!$G$101*COM_Fuels!$Q$4</f>
        <v>4.0739908608000004</v>
      </c>
      <c r="P16" s="139">
        <f ca="1">AuxData!$G$101*COM_Fuels!$Q$4</f>
        <v>1.5540003149999999</v>
      </c>
      <c r="Q16" s="139">
        <f>P16*$Q$4</f>
        <v>1.63170033075</v>
      </c>
      <c r="R16" s="139">
        <f>Q16*$Q$4</f>
        <v>1.7132853472875</v>
      </c>
      <c r="S16" s="336"/>
      <c r="T16" s="139"/>
      <c r="U16" s="139"/>
    </row>
    <row r="17" spans="1:21">
      <c r="A17" s="149"/>
      <c r="B17" s="142"/>
      <c r="C17" s="460"/>
      <c r="D17" s="142"/>
      <c r="E17" s="142" t="str">
        <f ca="1">IEAData!H101</f>
        <v>COMHFO</v>
      </c>
      <c r="F17" s="142" t="s">
        <v>162</v>
      </c>
      <c r="G17" s="143"/>
      <c r="H17" s="144"/>
      <c r="I17" s="144"/>
      <c r="J17" s="145"/>
      <c r="K17" s="145"/>
      <c r="L17" s="146"/>
      <c r="M17" s="146"/>
      <c r="N17" s="146"/>
      <c r="O17" s="142"/>
      <c r="P17" s="142"/>
      <c r="Q17" s="142"/>
      <c r="R17" s="142"/>
      <c r="S17" s="338"/>
      <c r="T17" s="142"/>
      <c r="U17" s="142"/>
    </row>
    <row r="18" spans="1:21">
      <c r="A18" s="149"/>
      <c r="B18" s="12" t="str">
        <f>CONCATENATE("FT-",E19,"0")</f>
        <v>FT-COMKER0</v>
      </c>
      <c r="C18" s="378" t="s">
        <v>163</v>
      </c>
      <c r="D18" s="139" t="str">
        <f ca="1">IEAData!D104</f>
        <v>OILKER</v>
      </c>
      <c r="E18" s="12"/>
      <c r="F18" s="12"/>
      <c r="G18" s="139">
        <v>1</v>
      </c>
      <c r="H18" s="97"/>
      <c r="I18" s="97"/>
      <c r="J18" s="140">
        <v>1</v>
      </c>
      <c r="K18" s="140">
        <v>1</v>
      </c>
      <c r="L18" s="18"/>
      <c r="M18" s="18"/>
      <c r="N18" s="18"/>
      <c r="O18" s="139">
        <f ca="1">IEAData!$G$102*COM_Fuels!$Q$4</f>
        <v>0</v>
      </c>
      <c r="P18" s="139">
        <f ca="1">MAX(O18,AuxData!$G$102*COM_Fuels!$Q$4)</f>
        <v>0</v>
      </c>
      <c r="Q18" s="139">
        <f>P18*$Q$4</f>
        <v>0</v>
      </c>
      <c r="R18" s="139">
        <f>Q18*$Q$4</f>
        <v>0</v>
      </c>
      <c r="S18" s="336">
        <f ca="1">O18*0.967^(2020-BaseYear)</f>
        <v>0</v>
      </c>
      <c r="T18" s="139">
        <f>S18*0.965^30</f>
        <v>0</v>
      </c>
      <c r="U18" s="139">
        <v>1</v>
      </c>
    </row>
    <row r="19" spans="1:21">
      <c r="A19" s="149"/>
      <c r="B19" s="142"/>
      <c r="C19" s="460"/>
      <c r="D19" s="142"/>
      <c r="E19" s="142" t="str">
        <f ca="1">IEAData!H102</f>
        <v>COMKER</v>
      </c>
      <c r="F19" s="142" t="s">
        <v>164</v>
      </c>
      <c r="G19" s="143"/>
      <c r="H19" s="144"/>
      <c r="I19" s="144"/>
      <c r="J19" s="145"/>
      <c r="K19" s="145"/>
      <c r="L19" s="146"/>
      <c r="M19" s="146"/>
      <c r="N19" s="146"/>
      <c r="O19" s="142"/>
      <c r="P19" s="142"/>
      <c r="Q19" s="142"/>
      <c r="R19" s="142"/>
      <c r="S19" s="338"/>
      <c r="T19" s="142"/>
      <c r="U19" s="142"/>
    </row>
    <row r="20" spans="1:21">
      <c r="A20" s="9"/>
      <c r="B20" s="12" t="str">
        <f>CONCATENATE("FT-",E23,"0")</f>
        <v>FT-COMCOP0</v>
      </c>
      <c r="C20" s="378" t="s">
        <v>1036</v>
      </c>
      <c r="D20" s="139" t="str">
        <f ca="1">IEAData!D107</f>
        <v>COAHCO</v>
      </c>
      <c r="E20" s="12"/>
      <c r="F20" s="12"/>
      <c r="G20" s="139">
        <v>1</v>
      </c>
      <c r="H20" s="97">
        <f ca="1">IF(IEAData!$G$103&lt;=0,1,IEAData!B107/IEAData!$G$103)</f>
        <v>0</v>
      </c>
      <c r="I20" s="97">
        <f ca="1">IF(AuxData!$G$103&lt;=0,1,AuxData!C107/AuxData!$G$103)</f>
        <v>0</v>
      </c>
      <c r="J20" s="140">
        <v>1</v>
      </c>
      <c r="K20" s="140">
        <v>1</v>
      </c>
      <c r="L20" s="18"/>
      <c r="M20" s="40">
        <f>I20</f>
        <v>0</v>
      </c>
      <c r="N20" s="40">
        <f>MIN(1,MAX(I20*2,0.1))</f>
        <v>0.1</v>
      </c>
      <c r="O20" s="139">
        <f ca="1">IEAData!$G$103*COM_Fuels!$Q$4</f>
        <v>0.13909386960000003</v>
      </c>
      <c r="P20" s="139">
        <f ca="1">AuxData!$G$103*COM_Fuels!$Q$4</f>
        <v>0.10416210000000001</v>
      </c>
      <c r="Q20" s="139">
        <f>P20*$Q$4</f>
        <v>0.10937020500000001</v>
      </c>
      <c r="R20" s="139">
        <f>Q20*$Q$4</f>
        <v>0.11483871525000001</v>
      </c>
      <c r="S20" s="336"/>
      <c r="T20" s="139"/>
      <c r="U20" s="139"/>
    </row>
    <row r="21" spans="1:21">
      <c r="A21" s="9"/>
      <c r="B21" s="12"/>
      <c r="C21" s="378"/>
      <c r="D21" s="139" t="str">
        <f ca="1">IEAData!D108</f>
        <v>COABCO</v>
      </c>
      <c r="E21" s="12"/>
      <c r="F21" s="12"/>
      <c r="G21" s="148"/>
      <c r="H21" s="97">
        <f ca="1">IF(IEAData!$G$103&lt;=0,0,IEAData!B108/IEAData!$G$103)</f>
        <v>1</v>
      </c>
      <c r="I21" s="97">
        <f ca="1">IF(AuxData!$G$103&lt;=0,0,AuxData!C108/AuxData!$G$103)+0.004</f>
        <v>1.004</v>
      </c>
      <c r="J21" s="140"/>
      <c r="K21" s="140"/>
      <c r="L21" s="18"/>
      <c r="M21" s="40">
        <f>I21</f>
        <v>1.004</v>
      </c>
      <c r="N21" s="40">
        <f>I21</f>
        <v>1.004</v>
      </c>
      <c r="O21" s="12"/>
      <c r="P21" s="12"/>
      <c r="Q21" s="12"/>
      <c r="R21" s="12"/>
      <c r="S21" s="337"/>
      <c r="T21" s="12"/>
      <c r="U21" s="12"/>
    </row>
    <row r="22" spans="1:21">
      <c r="A22" s="9"/>
      <c r="B22" s="12"/>
      <c r="C22" s="378"/>
      <c r="D22" s="139" t="str">
        <f ca="1">IEAData!D109</f>
        <v>COAOVC</v>
      </c>
      <c r="E22" s="12"/>
      <c r="F22" s="12"/>
      <c r="G22" s="148"/>
      <c r="H22" s="97">
        <f ca="1">IF(IEAData!$G$103&lt;=0,0,IEAData!B109/IEAData!$G$103)</f>
        <v>0</v>
      </c>
      <c r="I22" s="97">
        <f ca="1">IF(AuxData!$G$103&lt;=0,0,AuxData!C109/AuxData!$G$103)</f>
        <v>0</v>
      </c>
      <c r="J22" s="140"/>
      <c r="K22" s="140"/>
      <c r="L22" s="18"/>
      <c r="M22" s="40">
        <f>I22</f>
        <v>0</v>
      </c>
      <c r="N22" s="40">
        <f>I22</f>
        <v>0</v>
      </c>
      <c r="O22" s="12"/>
      <c r="P22" s="12"/>
      <c r="Q22" s="12"/>
      <c r="R22" s="12"/>
      <c r="S22" s="337"/>
      <c r="T22" s="12"/>
      <c r="U22" s="12"/>
    </row>
    <row r="23" spans="1:21">
      <c r="A23" s="9"/>
      <c r="B23" s="247"/>
      <c r="C23" s="460"/>
      <c r="D23" s="142"/>
      <c r="E23" s="142" t="str">
        <f ca="1">IEAData!H103</f>
        <v>COMCOP</v>
      </c>
      <c r="F23" s="142" t="s">
        <v>1029</v>
      </c>
      <c r="G23" s="143"/>
      <c r="H23" s="144"/>
      <c r="I23" s="144"/>
      <c r="J23" s="145"/>
      <c r="K23" s="145"/>
      <c r="L23" s="146"/>
      <c r="M23" s="146"/>
      <c r="N23" s="146"/>
      <c r="O23" s="142"/>
      <c r="P23" s="142"/>
      <c r="Q23" s="142"/>
      <c r="R23" s="142"/>
      <c r="S23" s="338"/>
      <c r="T23" s="142"/>
      <c r="U23" s="142"/>
    </row>
    <row r="24" spans="1:21">
      <c r="A24" s="9"/>
      <c r="B24" s="12" t="str">
        <f>CONCATENATE("FT-",E25,"0")</f>
        <v>FT-COMLPG0</v>
      </c>
      <c r="C24" s="378" t="s">
        <v>166</v>
      </c>
      <c r="D24" s="139" t="str">
        <f ca="1">IEAData!D110</f>
        <v>OILLPG</v>
      </c>
      <c r="E24" s="12"/>
      <c r="F24" s="12"/>
      <c r="G24" s="139">
        <v>1</v>
      </c>
      <c r="H24" s="97"/>
      <c r="I24" s="97"/>
      <c r="J24" s="140">
        <v>1</v>
      </c>
      <c r="K24" s="140">
        <v>1</v>
      </c>
      <c r="L24" s="18"/>
      <c r="M24" s="18"/>
      <c r="N24" s="18"/>
      <c r="O24" s="139">
        <f ca="1">IEAData!$G$104*COM_Fuels!$Q$4</f>
        <v>0</v>
      </c>
      <c r="P24" s="139">
        <f ca="1">MAX(O24,AuxData!$G$104*COM_Fuels!$Q$4)</f>
        <v>0</v>
      </c>
      <c r="Q24" s="139">
        <f>P24*$Q$4</f>
        <v>0</v>
      </c>
      <c r="R24" s="139">
        <f>Q24*$Q$4</f>
        <v>0</v>
      </c>
      <c r="S24" s="336">
        <f ca="1">O24*0.967^(2020-BaseYear)</f>
        <v>0</v>
      </c>
      <c r="T24" s="139">
        <f>S24*0.965^30</f>
        <v>0</v>
      </c>
      <c r="U24" s="139">
        <v>1</v>
      </c>
    </row>
    <row r="25" spans="1:21">
      <c r="A25" s="9"/>
      <c r="B25" s="247"/>
      <c r="C25" s="460"/>
      <c r="D25" s="142"/>
      <c r="E25" s="142" t="str">
        <f ca="1">IEAData!H104</f>
        <v>COMLPG</v>
      </c>
      <c r="F25" s="142" t="s">
        <v>167</v>
      </c>
      <c r="G25" s="143"/>
      <c r="H25" s="144"/>
      <c r="I25" s="144"/>
      <c r="J25" s="145"/>
      <c r="K25" s="145"/>
      <c r="L25" s="146"/>
      <c r="M25" s="146"/>
      <c r="N25" s="146"/>
      <c r="O25" s="142"/>
      <c r="P25" s="142"/>
      <c r="Q25" s="142"/>
      <c r="R25" s="142"/>
      <c r="S25" s="338"/>
      <c r="T25" s="142"/>
      <c r="U25" s="142"/>
    </row>
    <row r="26" spans="1:21">
      <c r="A26" s="9"/>
      <c r="B26" s="12" t="str">
        <f>CONCATENATE("FT-",E28,"0")</f>
        <v>FT-COMBIO0</v>
      </c>
      <c r="C26" s="378" t="s">
        <v>168</v>
      </c>
      <c r="D26" s="139" t="s">
        <v>943</v>
      </c>
      <c r="E26" s="12"/>
      <c r="F26" s="12"/>
      <c r="G26" s="139">
        <v>1</v>
      </c>
      <c r="H26" s="97"/>
      <c r="I26" s="97"/>
      <c r="J26" s="140">
        <v>1</v>
      </c>
      <c r="K26" s="140">
        <v>1</v>
      </c>
      <c r="L26" s="18"/>
      <c r="M26" s="40">
        <v>1</v>
      </c>
      <c r="N26" s="40">
        <v>1</v>
      </c>
      <c r="O26" s="139">
        <f ca="1">IEAData!$G$105*COM_Fuels!$Q$4</f>
        <v>3.7267837236000005</v>
      </c>
      <c r="P26" s="139">
        <f ca="1">AuxData!$G$105*COM_Fuels!$Q$4</f>
        <v>3.2465991600000006</v>
      </c>
      <c r="Q26" s="139">
        <f>P26*$Q$4</f>
        <v>3.408929118000001</v>
      </c>
      <c r="R26" s="139">
        <f>Q26*$Q$4</f>
        <v>3.5793755739000011</v>
      </c>
      <c r="S26" s="336"/>
      <c r="T26" s="139"/>
      <c r="U26" s="139"/>
    </row>
    <row r="27" spans="1:21">
      <c r="A27" s="9"/>
      <c r="B27" s="12"/>
      <c r="C27" s="378"/>
      <c r="D27" s="139" t="s">
        <v>929</v>
      </c>
      <c r="E27" s="12"/>
      <c r="F27" s="12"/>
      <c r="G27" s="139"/>
      <c r="H27" s="97"/>
      <c r="I27" s="97"/>
      <c r="J27" s="140"/>
      <c r="K27" s="140"/>
      <c r="L27" s="18"/>
      <c r="M27" s="40"/>
      <c r="N27" s="40"/>
      <c r="O27" s="12"/>
      <c r="P27" s="12"/>
      <c r="Q27" s="12"/>
      <c r="R27" s="12"/>
      <c r="S27" s="337"/>
      <c r="T27" s="12"/>
      <c r="U27" s="12"/>
    </row>
    <row r="28" spans="1:21">
      <c r="A28" s="9"/>
      <c r="B28" s="247"/>
      <c r="C28" s="460"/>
      <c r="D28" s="142"/>
      <c r="E28" s="142" t="str">
        <f ca="1">IEAData!H105</f>
        <v>COMBIO</v>
      </c>
      <c r="F28" s="142" t="s">
        <v>169</v>
      </c>
      <c r="G28" s="143"/>
      <c r="H28" s="144"/>
      <c r="I28" s="144"/>
      <c r="J28" s="145"/>
      <c r="K28" s="145"/>
      <c r="L28" s="146"/>
      <c r="M28" s="146"/>
      <c r="N28" s="146"/>
      <c r="O28" s="142"/>
      <c r="P28" s="142"/>
      <c r="Q28" s="142"/>
      <c r="R28" s="142"/>
      <c r="S28" s="338"/>
      <c r="T28" s="142"/>
      <c r="U28" s="142"/>
    </row>
    <row r="29" spans="1:21">
      <c r="A29" s="9"/>
      <c r="B29" s="12" t="str">
        <f>CONCATENATE("FT-",E30,"0")</f>
        <v>FT-COMGEO0</v>
      </c>
      <c r="C29" s="378" t="s">
        <v>170</v>
      </c>
      <c r="D29" s="139" t="str">
        <f ca="1">IEAData!D119</f>
        <v>GEO</v>
      </c>
      <c r="E29" s="12"/>
      <c r="F29" s="12"/>
      <c r="G29" s="139">
        <v>1</v>
      </c>
      <c r="H29" s="97"/>
      <c r="I29" s="97"/>
      <c r="J29" s="140">
        <v>1</v>
      </c>
      <c r="K29" s="140">
        <v>1</v>
      </c>
      <c r="L29" s="18"/>
      <c r="M29" s="18"/>
      <c r="N29" s="18"/>
      <c r="O29" s="139">
        <f ca="1">IEAData!$G$108*COM_Fuels!$Q$4</f>
        <v>0</v>
      </c>
      <c r="P29" s="139">
        <f ca="1">AuxData!$G$108*COM_Fuels!$Q$4</f>
        <v>0</v>
      </c>
      <c r="Q29" s="139">
        <f>P29*$Q$4</f>
        <v>0</v>
      </c>
      <c r="R29" s="139">
        <f>Q29*$Q$4</f>
        <v>0</v>
      </c>
      <c r="S29" s="336"/>
      <c r="T29" s="139"/>
      <c r="U29" s="139"/>
    </row>
    <row r="30" spans="1:21">
      <c r="A30" s="9"/>
      <c r="B30" s="247"/>
      <c r="C30" s="460"/>
      <c r="D30" s="142"/>
      <c r="E30" s="142" t="str">
        <f ca="1">IEAData!H108</f>
        <v>COMGEO</v>
      </c>
      <c r="F30" s="142" t="s">
        <v>171</v>
      </c>
      <c r="G30" s="143"/>
      <c r="H30" s="144"/>
      <c r="I30" s="144"/>
      <c r="J30" s="145"/>
      <c r="K30" s="145"/>
      <c r="L30" s="146"/>
      <c r="M30" s="146"/>
      <c r="N30" s="146"/>
      <c r="O30" s="142"/>
      <c r="P30" s="142"/>
      <c r="Q30" s="142"/>
      <c r="R30" s="142"/>
      <c r="S30" s="338"/>
      <c r="T30" s="142"/>
      <c r="U30" s="142"/>
    </row>
    <row r="31" spans="1:21">
      <c r="A31" s="9"/>
      <c r="B31" s="12" t="str">
        <f>CONCATENATE("FT-",E32,"0")</f>
        <v>FT-COMSOL0</v>
      </c>
      <c r="C31" s="378" t="s">
        <v>172</v>
      </c>
      <c r="D31" s="139" t="str">
        <f ca="1">IEAData!D120</f>
        <v>SOL</v>
      </c>
      <c r="E31" s="12"/>
      <c r="F31" s="12"/>
      <c r="G31" s="139">
        <v>1</v>
      </c>
      <c r="H31" s="97"/>
      <c r="I31" s="97"/>
      <c r="J31" s="140">
        <v>1</v>
      </c>
      <c r="K31" s="140">
        <v>1</v>
      </c>
      <c r="L31" s="18"/>
      <c r="M31" s="18"/>
      <c r="N31" s="18"/>
      <c r="O31" s="139">
        <f ca="1">IEAData!$G$109*COM_Fuels!$Q$4</f>
        <v>0</v>
      </c>
      <c r="P31" s="139">
        <f ca="1">AuxData!$G$109*COM_Fuels!$Q$4</f>
        <v>0</v>
      </c>
      <c r="Q31" s="139">
        <f>P31*$Q$4</f>
        <v>0</v>
      </c>
      <c r="R31" s="139">
        <f>Q31*$Q$4</f>
        <v>0</v>
      </c>
      <c r="S31" s="336"/>
      <c r="T31" s="139"/>
      <c r="U31" s="139"/>
    </row>
    <row r="32" spans="1:21">
      <c r="A32" s="9"/>
      <c r="B32" s="142"/>
      <c r="C32" s="460"/>
      <c r="D32" s="142"/>
      <c r="E32" s="142" t="str">
        <f ca="1">IEAData!H109</f>
        <v>COMSOL</v>
      </c>
      <c r="F32" s="142" t="s">
        <v>173</v>
      </c>
      <c r="G32" s="143"/>
      <c r="H32" s="144"/>
      <c r="I32" s="144"/>
      <c r="J32" s="145"/>
      <c r="K32" s="145"/>
      <c r="L32" s="146"/>
      <c r="M32" s="146"/>
      <c r="N32" s="146"/>
      <c r="O32" s="142"/>
      <c r="P32" s="142"/>
      <c r="Q32" s="142"/>
      <c r="R32" s="142"/>
      <c r="S32" s="338"/>
      <c r="T32" s="142"/>
      <c r="U32" s="142"/>
    </row>
    <row r="33" spans="1:19">
      <c r="A33" s="9"/>
      <c r="B33" s="22"/>
      <c r="C33" s="2"/>
      <c r="D33" s="22"/>
      <c r="E33" s="22"/>
      <c r="F33" s="22"/>
      <c r="G33" s="23"/>
      <c r="H33" s="19"/>
      <c r="J33" s="19"/>
      <c r="K33" s="137"/>
    </row>
    <row r="34" spans="1:19">
      <c r="A34" s="9"/>
      <c r="B34" s="22"/>
      <c r="C34" s="2"/>
      <c r="D34" s="22"/>
      <c r="E34" s="22"/>
      <c r="F34" s="22"/>
      <c r="G34" s="23"/>
      <c r="H34" s="19"/>
      <c r="I34" s="19"/>
      <c r="J34" s="137"/>
    </row>
    <row r="35" spans="1:19">
      <c r="C35" s="35"/>
      <c r="F35" s="245"/>
    </row>
    <row r="36" spans="1:19" ht="18">
      <c r="A36" s="9"/>
      <c r="B36" s="253" t="s">
        <v>590</v>
      </c>
      <c r="C36" s="1"/>
      <c r="D36" s="136"/>
      <c r="E36" s="136"/>
      <c r="F36" s="136"/>
      <c r="G36" s="252" t="str">
        <f>"~FI_T: "&amp;Region</f>
        <v>~FI_T: FIN</v>
      </c>
    </row>
    <row r="37" spans="1:19" ht="26.25" thickBot="1">
      <c r="A37" s="9"/>
      <c r="B37" s="52" t="s">
        <v>57</v>
      </c>
      <c r="C37" s="496" t="s">
        <v>58</v>
      </c>
      <c r="D37" s="52" t="s">
        <v>56</v>
      </c>
      <c r="E37" s="52" t="s">
        <v>59</v>
      </c>
      <c r="F37" s="52" t="s">
        <v>385</v>
      </c>
      <c r="G37" s="52" t="s">
        <v>741</v>
      </c>
      <c r="H37" s="52" t="s">
        <v>661</v>
      </c>
      <c r="I37" s="52" t="s">
        <v>861</v>
      </c>
      <c r="J37" s="52" t="s">
        <v>534</v>
      </c>
      <c r="K37" s="52" t="s">
        <v>956</v>
      </c>
      <c r="L37" s="52" t="s">
        <v>536</v>
      </c>
      <c r="M37" s="52" t="s">
        <v>537</v>
      </c>
      <c r="N37" s="52" t="s">
        <v>88</v>
      </c>
      <c r="O37" s="52" t="s">
        <v>538</v>
      </c>
      <c r="P37" s="52" t="s">
        <v>880</v>
      </c>
    </row>
    <row r="38" spans="1:19">
      <c r="A38" s="13"/>
      <c r="B38" s="12" t="str">
        <f>CONCATENATE("FT-",E39,"0")</f>
        <v>FT-COMELC0</v>
      </c>
      <c r="C38" s="378" t="s">
        <v>174</v>
      </c>
      <c r="D38" s="139" t="s">
        <v>392</v>
      </c>
      <c r="E38" s="12"/>
      <c r="F38" s="12"/>
      <c r="G38" s="148"/>
      <c r="H38" s="148">
        <v>31.536000000000001</v>
      </c>
      <c r="I38" s="40">
        <v>1</v>
      </c>
      <c r="J38" s="97"/>
      <c r="K38" s="346">
        <v>0</v>
      </c>
      <c r="L38" s="18"/>
      <c r="M38" s="18"/>
      <c r="N38" s="18"/>
      <c r="O38" s="18"/>
      <c r="P38" s="18"/>
    </row>
    <row r="39" spans="1:19">
      <c r="A39" s="9"/>
      <c r="B39" s="247"/>
      <c r="C39" s="460"/>
      <c r="D39" s="142"/>
      <c r="E39" s="142" t="str">
        <f ca="1">IEAData!H106</f>
        <v>COMELC</v>
      </c>
      <c r="F39" s="158" t="s">
        <v>175</v>
      </c>
      <c r="G39" s="143"/>
      <c r="H39" s="143"/>
      <c r="I39" s="144"/>
      <c r="J39" s="144"/>
      <c r="K39" s="145"/>
      <c r="L39" s="145"/>
      <c r="M39" s="145"/>
      <c r="N39" s="145"/>
      <c r="O39" s="145"/>
      <c r="P39" s="145"/>
    </row>
    <row r="40" spans="1:19">
      <c r="A40" s="9"/>
      <c r="B40" s="12" t="s">
        <v>860</v>
      </c>
      <c r="C40" s="378" t="s">
        <v>938</v>
      </c>
      <c r="D40" s="139" t="str">
        <f>E39</f>
        <v>COMELC</v>
      </c>
      <c r="E40" s="12"/>
      <c r="F40" s="12"/>
      <c r="G40" s="139"/>
      <c r="H40" s="139"/>
      <c r="I40" s="40"/>
      <c r="J40" s="97">
        <v>1</v>
      </c>
      <c r="K40" s="140"/>
      <c r="L40" s="140"/>
      <c r="M40" s="140"/>
      <c r="N40" s="140"/>
      <c r="O40" s="140"/>
      <c r="P40" s="140"/>
    </row>
    <row r="41" spans="1:19">
      <c r="A41" s="9"/>
      <c r="B41" s="12"/>
      <c r="C41" s="378"/>
      <c r="D41" s="139" t="s">
        <v>237</v>
      </c>
      <c r="E41" s="12" t="s">
        <v>831</v>
      </c>
      <c r="F41" s="12"/>
      <c r="G41" s="139"/>
      <c r="H41" s="139"/>
      <c r="I41" s="40"/>
      <c r="J41" s="97"/>
      <c r="K41" s="140"/>
      <c r="L41" s="140"/>
      <c r="M41" s="140"/>
      <c r="N41" s="140"/>
      <c r="O41" s="140"/>
      <c r="P41" s="140"/>
      <c r="R41" s="447" t="s">
        <v>247</v>
      </c>
      <c r="S41" s="190"/>
    </row>
    <row r="42" spans="1:19">
      <c r="A42" s="9"/>
      <c r="B42" s="12"/>
      <c r="C42" s="25"/>
      <c r="D42" s="139"/>
      <c r="E42" s="12" t="s">
        <v>832</v>
      </c>
      <c r="F42" s="12"/>
      <c r="G42" s="12" t="s">
        <v>832</v>
      </c>
      <c r="H42" s="139"/>
      <c r="I42" s="40"/>
      <c r="J42" s="97"/>
      <c r="K42" s="140"/>
      <c r="L42" s="140"/>
      <c r="M42" s="140"/>
      <c r="N42" s="140"/>
      <c r="O42" s="140"/>
      <c r="P42" s="140">
        <f ca="1">-CalibData!N136</f>
        <v>-0.52</v>
      </c>
      <c r="R42" s="443">
        <f ca="1">IEAData!E$179</f>
        <v>12.524649700634484</v>
      </c>
      <c r="S42" s="443">
        <f ca="1">AuxData!E$179</f>
        <v>12.754668360339826</v>
      </c>
    </row>
    <row r="43" spans="1:19">
      <c r="A43" s="9"/>
      <c r="B43" s="12"/>
      <c r="C43" s="25"/>
      <c r="D43" s="139"/>
      <c r="E43" s="12" t="s">
        <v>833</v>
      </c>
      <c r="F43" s="12"/>
      <c r="G43" s="12" t="s">
        <v>833</v>
      </c>
      <c r="H43" s="139"/>
      <c r="I43" s="40"/>
      <c r="J43" s="97"/>
      <c r="K43" s="140"/>
      <c r="L43" s="140"/>
      <c r="M43" s="140"/>
      <c r="N43" s="140"/>
      <c r="O43" s="140"/>
      <c r="P43" s="140">
        <f ca="1">-CalibData!N137</f>
        <v>-0.4</v>
      </c>
      <c r="R43" s="443">
        <f ca="1">IEAData!H$179</f>
        <v>3.1504464151745699</v>
      </c>
      <c r="S43" s="443">
        <f ca="1">AuxData!H$179</f>
        <v>3.1927683008082663</v>
      </c>
    </row>
    <row r="44" spans="1:19">
      <c r="A44" s="9"/>
      <c r="B44" s="12"/>
      <c r="C44" s="25"/>
      <c r="D44" s="139"/>
      <c r="E44" s="12" t="s">
        <v>834</v>
      </c>
      <c r="F44" s="12"/>
      <c r="G44" s="12" t="s">
        <v>834</v>
      </c>
      <c r="H44" s="139"/>
      <c r="I44" s="40"/>
      <c r="J44" s="97"/>
      <c r="K44" s="140"/>
      <c r="L44" s="140"/>
      <c r="M44" s="140"/>
      <c r="N44" s="140"/>
      <c r="O44" s="140"/>
      <c r="P44" s="140">
        <f ca="1">-CalibData!N138</f>
        <v>-0.21</v>
      </c>
      <c r="R44" s="443">
        <f ca="1">SUM(IEAData!F179:I179)-R43</f>
        <v>21.679671616333305</v>
      </c>
      <c r="S44" s="443">
        <f ca="1">SUM(AuxData!F179:I179)-S43</f>
        <v>22.09336172356543</v>
      </c>
    </row>
    <row r="45" spans="1:19">
      <c r="A45" s="9"/>
      <c r="B45" s="12"/>
      <c r="C45" s="25"/>
      <c r="D45" s="139"/>
      <c r="E45" s="12" t="s">
        <v>952</v>
      </c>
      <c r="F45" s="12" t="s">
        <v>953</v>
      </c>
      <c r="G45" s="139"/>
      <c r="H45" s="139"/>
      <c r="I45" s="40"/>
      <c r="J45" s="97"/>
      <c r="K45" s="140"/>
      <c r="L45" s="140"/>
      <c r="M45" s="140"/>
      <c r="N45" s="140"/>
      <c r="O45" s="140"/>
      <c r="P45" s="140"/>
      <c r="R45" s="449" t="s">
        <v>237</v>
      </c>
      <c r="S45" s="450"/>
    </row>
    <row r="46" spans="1:19">
      <c r="A46" s="9"/>
      <c r="B46" s="12"/>
      <c r="C46" s="25"/>
      <c r="D46" s="139"/>
      <c r="E46" s="12" t="s">
        <v>842</v>
      </c>
      <c r="F46" s="12" t="s">
        <v>856</v>
      </c>
      <c r="G46" s="139"/>
      <c r="H46" s="139"/>
      <c r="I46" s="40"/>
      <c r="J46" s="97"/>
      <c r="K46" s="140"/>
      <c r="L46" s="140"/>
      <c r="M46" s="140"/>
      <c r="N46" s="140"/>
      <c r="O46" s="140"/>
      <c r="P46" s="140"/>
      <c r="R46" s="445">
        <f ca="1">-SUMPRODUCT($P42:$P44,R42:R44)</f>
        <v>12.325727449829754</v>
      </c>
      <c r="S46" s="445">
        <f ca="1">-SUMPRODUCT($P42:$P44,S42:S44)</f>
        <v>12.549140829648756</v>
      </c>
    </row>
    <row r="47" spans="1:19">
      <c r="A47" s="9"/>
      <c r="B47" s="12"/>
      <c r="C47" s="25"/>
      <c r="D47" s="139"/>
      <c r="E47" s="12" t="s">
        <v>843</v>
      </c>
      <c r="F47" s="12" t="s">
        <v>857</v>
      </c>
      <c r="G47" s="139"/>
      <c r="H47" s="139"/>
      <c r="I47" s="40"/>
      <c r="J47" s="97"/>
      <c r="K47" s="140"/>
      <c r="L47" s="140"/>
      <c r="M47" s="140"/>
      <c r="N47" s="140"/>
      <c r="O47" s="140"/>
      <c r="P47" s="140"/>
      <c r="R47" s="307"/>
    </row>
    <row r="48" spans="1:19">
      <c r="A48" s="9"/>
      <c r="B48" s="12"/>
      <c r="C48" s="25"/>
      <c r="D48" s="139"/>
      <c r="E48" s="12" t="s">
        <v>844</v>
      </c>
      <c r="F48" s="12" t="s">
        <v>858</v>
      </c>
      <c r="G48" s="139"/>
      <c r="H48" s="139"/>
      <c r="I48" s="40"/>
      <c r="J48" s="97"/>
      <c r="K48" s="140"/>
      <c r="L48" s="140"/>
      <c r="M48" s="140"/>
      <c r="N48" s="140"/>
      <c r="O48" s="140"/>
      <c r="P48" s="140"/>
    </row>
    <row r="49" spans="1:25">
      <c r="A49" s="9"/>
      <c r="B49" s="22"/>
      <c r="C49" s="74"/>
      <c r="D49" s="22"/>
      <c r="E49" s="22"/>
      <c r="F49" s="22"/>
      <c r="G49" s="23"/>
      <c r="H49" s="19"/>
      <c r="I49" s="19"/>
      <c r="J49" s="137"/>
    </row>
    <row r="50" spans="1:25">
      <c r="A50" s="9"/>
      <c r="B50" s="22"/>
      <c r="C50" s="74"/>
      <c r="D50" s="22"/>
      <c r="E50" s="159"/>
      <c r="F50" s="159"/>
      <c r="G50" s="23"/>
      <c r="H50" s="19"/>
      <c r="I50" s="19"/>
      <c r="J50" s="137"/>
    </row>
    <row r="51" spans="1:25">
      <c r="A51" s="9"/>
      <c r="F51" s="245"/>
      <c r="G51" s="23"/>
      <c r="H51" s="19"/>
      <c r="I51" s="19"/>
      <c r="J51" s="137"/>
    </row>
    <row r="52" spans="1:25" ht="18">
      <c r="A52" s="9"/>
      <c r="B52" s="253" t="s">
        <v>6</v>
      </c>
      <c r="C52" s="136"/>
      <c r="D52" s="136"/>
      <c r="E52" s="136"/>
      <c r="F52" s="252"/>
      <c r="G52" s="252" t="str">
        <f>"~FI_T: "&amp;Region&amp;"~EUR10"</f>
        <v>~FI_T: FIN~EUR10</v>
      </c>
    </row>
    <row r="53" spans="1:25" ht="39" thickBot="1">
      <c r="A53" s="9"/>
      <c r="B53" s="52" t="s">
        <v>57</v>
      </c>
      <c r="C53" s="52" t="s">
        <v>58</v>
      </c>
      <c r="D53" s="52" t="s">
        <v>56</v>
      </c>
      <c r="E53" s="52" t="s">
        <v>59</v>
      </c>
      <c r="F53" s="52" t="s">
        <v>385</v>
      </c>
      <c r="G53" s="52" t="s">
        <v>741</v>
      </c>
      <c r="H53" s="52" t="s">
        <v>661</v>
      </c>
      <c r="I53" s="52" t="s">
        <v>539</v>
      </c>
      <c r="J53" s="52" t="s">
        <v>662</v>
      </c>
      <c r="K53" s="52" t="s">
        <v>536</v>
      </c>
      <c r="L53" s="52" t="s">
        <v>537</v>
      </c>
      <c r="M53" s="52" t="s">
        <v>538</v>
      </c>
      <c r="N53" s="52" t="s">
        <v>802</v>
      </c>
      <c r="O53" s="52" t="str">
        <f ca="1">"ACT_BND~UP~"&amp;AuxYear</f>
        <v>ACT_BND~UP~2017</v>
      </c>
      <c r="P53" s="52" t="s">
        <v>927</v>
      </c>
      <c r="Q53" s="52" t="s">
        <v>918</v>
      </c>
      <c r="R53" s="52" t="s">
        <v>88</v>
      </c>
      <c r="S53" s="52" t="s">
        <v>541</v>
      </c>
      <c r="T53" s="52" t="str">
        <f ca="1">"RESID~"&amp;AuxYear</f>
        <v>RESID~2017</v>
      </c>
      <c r="U53" s="52" t="str">
        <f ca="1">"RESID~"&amp;AuxYear+20</f>
        <v>RESID~2037</v>
      </c>
      <c r="V53" s="52" t="str">
        <f>"RESID~"&amp;2050</f>
        <v>RESID~2050</v>
      </c>
      <c r="W53" s="52" t="s">
        <v>949</v>
      </c>
      <c r="X53" s="52" t="s">
        <v>1094</v>
      </c>
      <c r="Y53" s="52" t="s">
        <v>1071</v>
      </c>
    </row>
    <row r="54" spans="1:25">
      <c r="A54" s="9"/>
      <c r="B54" s="12" t="str">
        <f>CONCATENATE("FT-",E55,"0")</f>
        <v>FT-COMHET0</v>
      </c>
      <c r="C54" s="25" t="s">
        <v>176</v>
      </c>
      <c r="D54" s="139" t="str">
        <f ca="1">IEAData!D118</f>
        <v>HET</v>
      </c>
      <c r="E54" s="12"/>
      <c r="F54" s="12"/>
      <c r="G54" s="12"/>
      <c r="H54" s="148">
        <f>8.76*3.6</f>
        <v>31.536000000000001</v>
      </c>
      <c r="I54" s="368">
        <v>1</v>
      </c>
      <c r="J54" s="346"/>
      <c r="K54" s="18"/>
      <c r="L54" s="358">
        <v>8</v>
      </c>
      <c r="M54" s="374">
        <v>250</v>
      </c>
      <c r="N54" s="139">
        <f ca="1">IEAData!$G$107*COM_Fuels!$Q$4</f>
        <v>32.061582000000001</v>
      </c>
      <c r="O54" s="139">
        <f ca="1">AuxData!$G$107*COM_Fuels!$Q$4</f>
        <v>31.428054000000003</v>
      </c>
      <c r="P54" s="139">
        <f>N54*1.5</f>
        <v>48.092373000000002</v>
      </c>
      <c r="Q54" s="374">
        <v>1</v>
      </c>
      <c r="R54" s="358">
        <v>40</v>
      </c>
      <c r="S54" s="368">
        <f>N54*1.01/H54</f>
        <v>1.0268327568493152</v>
      </c>
      <c r="T54" s="368">
        <f>O54*1.01/H54</f>
        <v>1.0065428253424658</v>
      </c>
      <c r="U54" s="368">
        <f>T54*0.8</f>
        <v>0.8052342602739726</v>
      </c>
      <c r="V54" s="368">
        <f>U54*0.8</f>
        <v>0.64418740821917808</v>
      </c>
      <c r="W54" s="368">
        <v>1</v>
      </c>
      <c r="X54" s="368"/>
      <c r="Y54" s="368"/>
    </row>
    <row r="55" spans="1:25">
      <c r="A55" s="9"/>
      <c r="B55" s="247"/>
      <c r="C55" s="141"/>
      <c r="D55" s="142"/>
      <c r="E55" s="142" t="str">
        <f ca="1">IEAData!H107</f>
        <v>COMHET</v>
      </c>
      <c r="F55" s="142" t="s">
        <v>177</v>
      </c>
      <c r="G55" s="142"/>
      <c r="H55" s="143"/>
      <c r="I55" s="535"/>
      <c r="J55" s="347"/>
      <c r="K55" s="146"/>
      <c r="L55" s="146"/>
      <c r="M55" s="142"/>
      <c r="N55" s="142"/>
      <c r="O55" s="142"/>
      <c r="P55" s="142"/>
      <c r="Q55" s="142"/>
      <c r="R55" s="501"/>
      <c r="S55" s="142"/>
      <c r="T55" s="142"/>
      <c r="U55" s="142"/>
      <c r="V55" s="142"/>
      <c r="W55" s="142"/>
      <c r="X55" s="142"/>
      <c r="Y55" s="142"/>
    </row>
    <row r="56" spans="1:25">
      <c r="A56" s="9"/>
      <c r="B56" s="12" t="s">
        <v>1161</v>
      </c>
      <c r="C56" s="25" t="s">
        <v>356</v>
      </c>
      <c r="D56" s="139" t="s">
        <v>964</v>
      </c>
      <c r="E56" s="12"/>
      <c r="F56" s="12"/>
      <c r="G56" s="12"/>
      <c r="H56" s="148">
        <v>31.536000000000001</v>
      </c>
      <c r="I56" s="368">
        <v>1</v>
      </c>
      <c r="J56" s="346"/>
      <c r="K56" s="18"/>
      <c r="L56" s="18"/>
      <c r="M56" s="374">
        <v>450</v>
      </c>
      <c r="N56" s="18"/>
      <c r="O56" s="18"/>
      <c r="P56" s="18"/>
      <c r="Q56" s="18"/>
      <c r="R56" s="358">
        <v>50</v>
      </c>
      <c r="S56" s="368"/>
      <c r="T56" s="368"/>
      <c r="U56" s="368"/>
      <c r="V56" s="368"/>
      <c r="W56" s="368"/>
      <c r="X56" s="368"/>
      <c r="Y56" s="368"/>
    </row>
    <row r="57" spans="1:25">
      <c r="B57" s="247"/>
      <c r="C57" s="141"/>
      <c r="D57" s="142"/>
      <c r="E57" s="142" t="s">
        <v>867</v>
      </c>
      <c r="F57" s="142" t="s">
        <v>862</v>
      </c>
      <c r="G57" s="142"/>
      <c r="H57" s="143"/>
      <c r="I57" s="535"/>
      <c r="J57" s="347"/>
      <c r="K57" s="146"/>
      <c r="L57" s="146"/>
      <c r="M57" s="142"/>
      <c r="N57" s="146"/>
      <c r="O57" s="146"/>
      <c r="P57" s="146"/>
      <c r="Q57" s="146"/>
      <c r="R57" s="501"/>
      <c r="S57" s="142"/>
      <c r="T57" s="142"/>
      <c r="U57" s="142"/>
      <c r="V57" s="142"/>
      <c r="W57" s="142"/>
      <c r="X57" s="142"/>
      <c r="Y57" s="142"/>
    </row>
    <row r="58" spans="1:25" ht="13.5" customHeight="1">
      <c r="B58" s="546" t="s">
        <v>1125</v>
      </c>
      <c r="C58" s="547" t="s">
        <v>1126</v>
      </c>
      <c r="D58" s="546" t="s">
        <v>237</v>
      </c>
      <c r="E58" s="546" t="s">
        <v>1117</v>
      </c>
      <c r="F58" s="546"/>
      <c r="G58" s="546"/>
      <c r="H58" s="549"/>
      <c r="I58" s="550">
        <v>1</v>
      </c>
      <c r="J58" s="551"/>
      <c r="K58" s="552"/>
      <c r="L58" s="552"/>
      <c r="M58" s="546"/>
      <c r="N58" s="552"/>
      <c r="O58" s="552"/>
      <c r="P58" s="552"/>
      <c r="Q58" s="552"/>
      <c r="R58" s="304"/>
      <c r="S58" s="546"/>
      <c r="T58" s="546"/>
      <c r="U58" s="546"/>
      <c r="V58" s="546"/>
      <c r="W58" s="546"/>
      <c r="X58" s="546"/>
      <c r="Y58" s="546"/>
    </row>
    <row r="59" spans="1:25">
      <c r="B59" s="12" t="str">
        <f>CONCATENATE("COM",D59,"000")</f>
        <v>COMCHW000</v>
      </c>
      <c r="C59" s="25" t="s">
        <v>1113</v>
      </c>
      <c r="D59" s="12" t="s">
        <v>235</v>
      </c>
      <c r="E59" s="12" t="s">
        <v>1131</v>
      </c>
      <c r="F59" s="12" t="s">
        <v>1093</v>
      </c>
      <c r="G59" s="369"/>
      <c r="H59" s="139">
        <v>1</v>
      </c>
      <c r="I59" s="368">
        <v>1</v>
      </c>
      <c r="J59" s="346">
        <v>1</v>
      </c>
      <c r="K59" s="18"/>
      <c r="L59" s="18"/>
      <c r="M59" s="139"/>
      <c r="N59" s="391"/>
      <c r="O59" s="391"/>
      <c r="P59" s="374"/>
      <c r="Q59" s="374"/>
      <c r="R59" s="374">
        <v>1</v>
      </c>
      <c r="S59" s="139"/>
      <c r="T59" s="139"/>
      <c r="U59" s="139"/>
      <c r="V59" s="139"/>
      <c r="W59" s="139"/>
      <c r="X59" s="368">
        <f ca="1">1/CHW!L17</f>
        <v>0.11478373088057681</v>
      </c>
      <c r="Y59" s="368"/>
    </row>
    <row r="60" spans="1:25">
      <c r="B60" s="12"/>
      <c r="C60" s="25"/>
      <c r="D60" s="12"/>
      <c r="E60" s="12"/>
      <c r="F60" s="12"/>
      <c r="G60" s="369" t="s">
        <v>1130</v>
      </c>
      <c r="H60" s="139"/>
      <c r="I60" s="368"/>
      <c r="J60" s="346"/>
      <c r="K60" s="18"/>
      <c r="L60" s="18"/>
      <c r="M60" s="139"/>
      <c r="N60" s="391"/>
      <c r="O60" s="391"/>
      <c r="P60" s="374"/>
      <c r="Q60" s="374"/>
      <c r="R60" s="374"/>
      <c r="S60" s="139"/>
      <c r="T60" s="139"/>
      <c r="U60" s="139"/>
      <c r="V60" s="139"/>
      <c r="W60" s="139"/>
      <c r="X60" s="368">
        <f ca="1">CHT!G45*Y61</f>
        <v>1.1575780643663836</v>
      </c>
      <c r="Y60" s="368"/>
    </row>
    <row r="61" spans="1:25">
      <c r="B61" s="247"/>
      <c r="C61" s="141"/>
      <c r="D61" s="142"/>
      <c r="E61" s="142" t="s">
        <v>1130</v>
      </c>
      <c r="F61" s="142"/>
      <c r="G61" s="375" t="s">
        <v>1090</v>
      </c>
      <c r="H61" s="143"/>
      <c r="I61" s="535"/>
      <c r="J61" s="347"/>
      <c r="K61" s="146"/>
      <c r="L61" s="146"/>
      <c r="M61" s="142"/>
      <c r="N61" s="375"/>
      <c r="O61" s="375"/>
      <c r="P61" s="375"/>
      <c r="Q61" s="375"/>
      <c r="R61" s="375"/>
      <c r="S61" s="142"/>
      <c r="T61" s="142"/>
      <c r="U61" s="142"/>
      <c r="V61" s="142"/>
      <c r="W61" s="142"/>
      <c r="X61" s="142"/>
      <c r="Y61" s="144">
        <f ca="1">X59*0.25</f>
        <v>2.8695932720144202E-2</v>
      </c>
    </row>
    <row r="62" spans="1:25">
      <c r="F62" s="245"/>
    </row>
    <row r="63" spans="1:25">
      <c r="F63" s="245"/>
    </row>
    <row r="64" spans="1:25">
      <c r="F64" s="245"/>
      <c r="G64" s="23"/>
      <c r="H64" s="19"/>
      <c r="I64" s="19"/>
      <c r="J64" s="137"/>
    </row>
    <row r="65" spans="2:20" ht="18">
      <c r="B65" s="253" t="s">
        <v>679</v>
      </c>
      <c r="C65" s="131"/>
      <c r="D65" s="131"/>
      <c r="E65" s="131"/>
      <c r="F65" s="252" t="str">
        <f>"~FI_T: "&amp;Region&amp;"~EUR10"</f>
        <v>~FI_T: FIN~EUR10</v>
      </c>
    </row>
    <row r="66" spans="2:20" ht="33.75" customHeight="1" thickBot="1">
      <c r="B66" s="52" t="s">
        <v>57</v>
      </c>
      <c r="C66" s="52" t="s">
        <v>58</v>
      </c>
      <c r="D66" s="52" t="s">
        <v>56</v>
      </c>
      <c r="E66" s="52" t="s">
        <v>59</v>
      </c>
      <c r="F66" s="52" t="s">
        <v>385</v>
      </c>
      <c r="G66" s="52" t="s">
        <v>661</v>
      </c>
      <c r="H66" s="52" t="s">
        <v>976</v>
      </c>
      <c r="I66" s="52" t="s">
        <v>534</v>
      </c>
      <c r="J66" s="52" t="s">
        <v>535</v>
      </c>
      <c r="K66" s="52" t="s">
        <v>88</v>
      </c>
      <c r="L66" s="52" t="s">
        <v>538</v>
      </c>
      <c r="M66" s="52" t="s">
        <v>778</v>
      </c>
      <c r="N66" s="52" t="s">
        <v>378</v>
      </c>
      <c r="O66" s="278" t="s">
        <v>738</v>
      </c>
      <c r="P66" s="278" t="s">
        <v>735</v>
      </c>
      <c r="Q66" s="278" t="s">
        <v>736</v>
      </c>
      <c r="R66" s="285" t="s">
        <v>737</v>
      </c>
      <c r="S66" s="285" t="s">
        <v>533</v>
      </c>
      <c r="T66" s="285" t="str">
        <f ca="1">"ACT_BND~UP~"&amp;AuxYear</f>
        <v>ACT_BND~UP~2017</v>
      </c>
    </row>
    <row r="67" spans="2:20">
      <c r="B67" s="12" t="str">
        <f>CONCATENATE("FT-",E71,"5")</f>
        <v>FT-COMNGA5</v>
      </c>
      <c r="C67" s="404" t="s">
        <v>687</v>
      </c>
      <c r="D67" s="139" t="s">
        <v>436</v>
      </c>
      <c r="E67" s="12"/>
      <c r="F67" s="12"/>
      <c r="G67" s="139">
        <v>1</v>
      </c>
      <c r="H67" s="97">
        <f ca="1">IF(IEAData!$G$99&lt;=0,1,IEAData!B99/IEAData!$G$99)</f>
        <v>1</v>
      </c>
      <c r="I67" s="140">
        <v>1</v>
      </c>
      <c r="J67" s="140">
        <v>1</v>
      </c>
      <c r="K67" s="18">
        <v>50</v>
      </c>
      <c r="L67" s="350">
        <f>20+5</f>
        <v>25</v>
      </c>
      <c r="M67" s="18"/>
      <c r="N67" s="40">
        <f>MAX($H$67:$H$69)</f>
        <v>1</v>
      </c>
      <c r="O67" s="140"/>
      <c r="P67" s="140"/>
      <c r="Q67" s="140"/>
      <c r="R67" s="140"/>
      <c r="S67" s="140">
        <f ca="1">BaseYear+1</f>
        <v>2011</v>
      </c>
      <c r="T67" s="140"/>
    </row>
    <row r="68" spans="2:20">
      <c r="B68" s="12"/>
      <c r="C68" s="378"/>
      <c r="D68" s="139" t="s">
        <v>440</v>
      </c>
      <c r="E68" s="12"/>
      <c r="F68" s="12"/>
      <c r="G68" s="139"/>
      <c r="H68" s="97">
        <f ca="1">IF(IEAData!$G$99&lt;=0,0,IEAData!B100/IEAData!$G$99)</f>
        <v>0</v>
      </c>
      <c r="I68" s="140"/>
      <c r="J68" s="140"/>
      <c r="K68" s="18"/>
      <c r="L68" s="18"/>
      <c r="M68" s="18"/>
      <c r="N68" s="40">
        <f>MAX($H$67:$H$69)</f>
        <v>1</v>
      </c>
      <c r="O68" s="140"/>
      <c r="P68" s="140"/>
      <c r="Q68" s="140"/>
      <c r="R68" s="140"/>
      <c r="S68" s="140"/>
      <c r="T68" s="140"/>
    </row>
    <row r="69" spans="2:20">
      <c r="B69" s="12"/>
      <c r="C69" s="378"/>
      <c r="D69" s="139" t="s">
        <v>1009</v>
      </c>
      <c r="E69" s="12"/>
      <c r="F69" s="12"/>
      <c r="G69" s="139"/>
      <c r="H69" s="97">
        <f ca="1">IF(IEAData!$G$99&lt;=0,0,IEAData!B101/IEAData!$G$99)</f>
        <v>0</v>
      </c>
      <c r="I69" s="140"/>
      <c r="J69" s="140"/>
      <c r="K69" s="18"/>
      <c r="L69" s="18"/>
      <c r="M69" s="18"/>
      <c r="N69" s="40">
        <f>MAX($H$67:$H$69)</f>
        <v>1</v>
      </c>
      <c r="O69" s="140"/>
      <c r="P69" s="140"/>
      <c r="Q69" s="140"/>
      <c r="R69" s="140"/>
      <c r="S69" s="140"/>
      <c r="T69" s="140"/>
    </row>
    <row r="70" spans="2:20">
      <c r="B70" s="12"/>
      <c r="C70" s="378"/>
      <c r="D70" s="139" t="s">
        <v>1218</v>
      </c>
      <c r="E70" s="12"/>
      <c r="F70" s="12"/>
      <c r="G70" s="139"/>
      <c r="H70" s="97"/>
      <c r="I70" s="140"/>
      <c r="J70" s="140"/>
      <c r="K70" s="18"/>
      <c r="L70" s="18"/>
      <c r="M70" s="18"/>
      <c r="N70" s="40">
        <v>0</v>
      </c>
      <c r="O70" s="346">
        <v>0.05</v>
      </c>
      <c r="P70" s="346">
        <v>0.12</v>
      </c>
      <c r="Q70" s="346">
        <v>0.15</v>
      </c>
      <c r="R70" s="140"/>
      <c r="S70" s="140"/>
      <c r="T70" s="140"/>
    </row>
    <row r="71" spans="2:20">
      <c r="B71" s="247"/>
      <c r="C71" s="460"/>
      <c r="D71" s="142"/>
      <c r="E71" s="142" t="s">
        <v>422</v>
      </c>
      <c r="F71" s="142" t="s">
        <v>158</v>
      </c>
      <c r="G71" s="143"/>
      <c r="H71" s="144"/>
      <c r="I71" s="145"/>
      <c r="J71" s="145"/>
      <c r="K71" s="146"/>
      <c r="L71" s="146"/>
      <c r="M71" s="146"/>
      <c r="N71" s="146"/>
      <c r="O71" s="145"/>
      <c r="P71" s="145"/>
      <c r="Q71" s="145"/>
      <c r="R71" s="145"/>
      <c r="S71" s="145"/>
      <c r="T71" s="145"/>
    </row>
    <row r="72" spans="2:20">
      <c r="B72" s="12" t="str">
        <f>CONCATENATE("FT-",E74,"5")</f>
        <v>FT-COMDST5</v>
      </c>
      <c r="C72" s="378" t="s">
        <v>0</v>
      </c>
      <c r="D72" s="139" t="s">
        <v>221</v>
      </c>
      <c r="E72" s="12"/>
      <c r="F72" s="12"/>
      <c r="G72" s="139">
        <v>1</v>
      </c>
      <c r="H72" s="97">
        <f ca="1">IF(IEAData!$G$100&lt;=0,1,IEAData!B102/IEAData!$G$100)</f>
        <v>0.97825646785225384</v>
      </c>
      <c r="I72" s="140">
        <v>1</v>
      </c>
      <c r="J72" s="140">
        <v>1</v>
      </c>
      <c r="K72" s="18">
        <v>100</v>
      </c>
      <c r="L72" s="18"/>
      <c r="M72" s="18"/>
      <c r="N72" s="40"/>
      <c r="O72" s="140"/>
      <c r="P72" s="140"/>
      <c r="Q72" s="140"/>
      <c r="R72" s="140"/>
      <c r="S72" s="140">
        <f ca="1">BaseYear+1</f>
        <v>2011</v>
      </c>
      <c r="T72" s="140"/>
    </row>
    <row r="73" spans="2:20">
      <c r="B73" s="12"/>
      <c r="C73" s="378"/>
      <c r="D73" s="139" t="s">
        <v>742</v>
      </c>
      <c r="E73" s="12"/>
      <c r="F73" s="12"/>
      <c r="G73" s="148"/>
      <c r="H73" s="97">
        <f ca="1">IF(IEAData!$G$100&lt;=0,0,IEAData!B105/IEAData!$G$100)</f>
        <v>0</v>
      </c>
      <c r="I73" s="140"/>
      <c r="J73" s="140"/>
      <c r="K73" s="18"/>
      <c r="L73" s="18"/>
      <c r="M73" s="18"/>
      <c r="N73" s="40">
        <v>0.1</v>
      </c>
      <c r="O73" s="346">
        <v>0.85</v>
      </c>
      <c r="P73" s="346">
        <v>0.9</v>
      </c>
      <c r="Q73" s="346">
        <v>0.95</v>
      </c>
      <c r="R73" s="140">
        <v>1</v>
      </c>
      <c r="S73" s="140"/>
      <c r="T73" s="140"/>
    </row>
    <row r="74" spans="2:20">
      <c r="B74" s="247"/>
      <c r="C74" s="460"/>
      <c r="D74" s="142"/>
      <c r="E74" s="142" t="s">
        <v>423</v>
      </c>
      <c r="F74" s="142" t="s">
        <v>160</v>
      </c>
      <c r="G74" s="143"/>
      <c r="H74" s="144"/>
      <c r="I74" s="145"/>
      <c r="J74" s="145"/>
      <c r="K74" s="146"/>
      <c r="L74" s="146"/>
      <c r="M74" s="146"/>
      <c r="N74" s="146"/>
      <c r="O74" s="347"/>
      <c r="P74" s="347"/>
      <c r="Q74" s="347"/>
      <c r="R74" s="145"/>
      <c r="S74" s="145"/>
      <c r="T74" s="145"/>
    </row>
    <row r="75" spans="2:20">
      <c r="B75" s="12" t="str">
        <f>CONCATENATE("FT-",E76,"5")</f>
        <v>FT-COMBFO5</v>
      </c>
      <c r="C75" s="378" t="s">
        <v>1244</v>
      </c>
      <c r="D75" s="139" t="s">
        <v>1248</v>
      </c>
      <c r="E75" s="12"/>
      <c r="F75" s="12"/>
      <c r="G75" s="148"/>
      <c r="H75" s="97">
        <f ca="1">IF(IEAData!$G$101&lt;=0,1,IEAData!B103/IEAData!$G$101)</f>
        <v>1</v>
      </c>
      <c r="I75" s="140">
        <v>1</v>
      </c>
      <c r="J75" s="140">
        <v>1</v>
      </c>
      <c r="K75" s="18">
        <v>100</v>
      </c>
      <c r="L75" s="18"/>
      <c r="M75" s="18"/>
      <c r="N75" s="40">
        <v>1</v>
      </c>
      <c r="O75" s="346"/>
      <c r="P75" s="346"/>
      <c r="Q75" s="346"/>
      <c r="R75" s="140"/>
      <c r="S75" s="140">
        <f ca="1">BaseYear+1</f>
        <v>2011</v>
      </c>
      <c r="T75" s="140"/>
    </row>
    <row r="76" spans="2:20">
      <c r="B76" s="142"/>
      <c r="C76" s="460"/>
      <c r="D76" s="142"/>
      <c r="E76" s="142" t="s">
        <v>1243</v>
      </c>
      <c r="F76" s="142" t="s">
        <v>162</v>
      </c>
      <c r="G76" s="143"/>
      <c r="H76" s="144"/>
      <c r="I76" s="145"/>
      <c r="J76" s="145"/>
      <c r="K76" s="146"/>
      <c r="L76" s="146"/>
      <c r="M76" s="146"/>
      <c r="N76" s="146"/>
      <c r="O76" s="145"/>
      <c r="P76" s="145"/>
      <c r="Q76" s="145"/>
      <c r="R76" s="145"/>
      <c r="S76" s="145"/>
      <c r="T76" s="145"/>
    </row>
    <row r="77" spans="2:20">
      <c r="B77" s="12" t="str">
        <f>CONCATENATE("FT-",E78,"5")</f>
        <v>FT-COMKER5</v>
      </c>
      <c r="C77" s="378" t="s">
        <v>1</v>
      </c>
      <c r="D77" s="139" t="s">
        <v>219</v>
      </c>
      <c r="E77" s="12"/>
      <c r="F77" s="12"/>
      <c r="G77" s="148"/>
      <c r="H77" s="97"/>
      <c r="I77" s="140">
        <v>1</v>
      </c>
      <c r="J77" s="140">
        <v>1</v>
      </c>
      <c r="K77" s="18">
        <v>100</v>
      </c>
      <c r="L77" s="18"/>
      <c r="M77" s="18"/>
      <c r="N77" s="18"/>
      <c r="O77" s="140"/>
      <c r="P77" s="140"/>
      <c r="Q77" s="140"/>
      <c r="R77" s="140"/>
      <c r="S77" s="140">
        <f ca="1">BaseYear+1</f>
        <v>2011</v>
      </c>
      <c r="T77" s="140"/>
    </row>
    <row r="78" spans="2:20">
      <c r="B78" s="142"/>
      <c r="C78" s="460"/>
      <c r="D78" s="142"/>
      <c r="E78" s="142" t="s">
        <v>597</v>
      </c>
      <c r="F78" s="142" t="s">
        <v>164</v>
      </c>
      <c r="G78" s="143"/>
      <c r="H78" s="144"/>
      <c r="I78" s="145"/>
      <c r="J78" s="145"/>
      <c r="K78" s="146"/>
      <c r="L78" s="146"/>
      <c r="M78" s="146"/>
      <c r="N78" s="146"/>
      <c r="O78" s="145"/>
      <c r="P78" s="145"/>
      <c r="Q78" s="145"/>
      <c r="R78" s="145"/>
      <c r="S78" s="145"/>
      <c r="T78" s="145"/>
    </row>
    <row r="79" spans="2:20">
      <c r="B79" s="12" t="str">
        <f>CONCATENATE("FT-",E82,"5")</f>
        <v>FT-COMCOP5</v>
      </c>
      <c r="C79" s="378" t="s">
        <v>1037</v>
      </c>
      <c r="D79" s="139" t="s">
        <v>437</v>
      </c>
      <c r="E79" s="12"/>
      <c r="F79" s="12"/>
      <c r="G79" s="139">
        <v>1</v>
      </c>
      <c r="H79" s="97">
        <f ca="1">IF(IEAData!$G$103&lt;=0,1,IEAData!B107/IEAData!$G$103)</f>
        <v>0</v>
      </c>
      <c r="I79" s="140">
        <v>1</v>
      </c>
      <c r="J79" s="140">
        <v>1</v>
      </c>
      <c r="K79" s="18">
        <v>100</v>
      </c>
      <c r="L79" s="18"/>
      <c r="M79" s="18">
        <v>0.3</v>
      </c>
      <c r="N79" s="40">
        <f>MIN(1,MAX(2*H79,0.1))</f>
        <v>0.1</v>
      </c>
      <c r="O79" s="140"/>
      <c r="P79" s="140"/>
      <c r="Q79" s="140"/>
      <c r="R79" s="140"/>
      <c r="S79" s="140">
        <f ca="1">BaseYear+1</f>
        <v>2011</v>
      </c>
      <c r="T79" s="371">
        <f>MAX(2,P20*4)</f>
        <v>2</v>
      </c>
    </row>
    <row r="80" spans="2:20">
      <c r="B80" s="12"/>
      <c r="C80" s="378"/>
      <c r="D80" s="139" t="s">
        <v>438</v>
      </c>
      <c r="E80" s="12"/>
      <c r="F80" s="12"/>
      <c r="G80" s="148"/>
      <c r="H80" s="97">
        <f ca="1">IF(IEAData!$G$103&lt;=0,0,IEAData!B108/IEAData!$G$103)</f>
        <v>1</v>
      </c>
      <c r="I80" s="140"/>
      <c r="J80" s="140"/>
      <c r="K80" s="18"/>
      <c r="L80" s="18"/>
      <c r="M80" s="18">
        <v>0.5</v>
      </c>
      <c r="N80" s="40">
        <v>1</v>
      </c>
      <c r="O80" s="140"/>
      <c r="P80" s="140"/>
      <c r="Q80" s="140"/>
      <c r="R80" s="140"/>
      <c r="S80" s="140"/>
      <c r="T80" s="140"/>
    </row>
    <row r="81" spans="2:20">
      <c r="B81" s="12"/>
      <c r="C81" s="378"/>
      <c r="D81" s="139" t="s">
        <v>439</v>
      </c>
      <c r="E81" s="12"/>
      <c r="F81" s="12"/>
      <c r="G81" s="148"/>
      <c r="H81" s="97">
        <f ca="1">IF(IEAData!$G$103&lt;=0,0,IEAData!B109/IEAData!$G$103)</f>
        <v>0</v>
      </c>
      <c r="I81" s="140"/>
      <c r="J81" s="140"/>
      <c r="K81" s="18"/>
      <c r="L81" s="18"/>
      <c r="M81" s="18">
        <v>0.3</v>
      </c>
      <c r="N81" s="40">
        <f>MIN(1,MAX(2*H81,0.1))</f>
        <v>0.1</v>
      </c>
      <c r="O81" s="140"/>
      <c r="P81" s="140"/>
      <c r="Q81" s="140"/>
      <c r="R81" s="140"/>
      <c r="S81" s="140"/>
      <c r="T81" s="140"/>
    </row>
    <row r="82" spans="2:20">
      <c r="B82" s="247"/>
      <c r="C82" s="460"/>
      <c r="D82" s="142"/>
      <c r="E82" s="142" t="s">
        <v>1017</v>
      </c>
      <c r="F82" s="142" t="s">
        <v>1029</v>
      </c>
      <c r="G82" s="143"/>
      <c r="H82" s="144"/>
      <c r="I82" s="145"/>
      <c r="J82" s="145"/>
      <c r="K82" s="146"/>
      <c r="L82" s="146"/>
      <c r="M82" s="146"/>
      <c r="N82" s="146"/>
      <c r="O82" s="145"/>
      <c r="P82" s="145"/>
      <c r="Q82" s="145"/>
      <c r="R82" s="145"/>
      <c r="S82" s="145"/>
      <c r="T82" s="145"/>
    </row>
    <row r="83" spans="2:20">
      <c r="B83" s="12" t="str">
        <f>CONCATENATE("FT-",E84,"5")</f>
        <v>FT-COMLPG5</v>
      </c>
      <c r="C83" s="378" t="s">
        <v>2</v>
      </c>
      <c r="D83" s="139" t="s">
        <v>110</v>
      </c>
      <c r="E83" s="12"/>
      <c r="F83" s="12"/>
      <c r="G83" s="139">
        <v>1</v>
      </c>
      <c r="H83" s="97"/>
      <c r="I83" s="140">
        <v>1</v>
      </c>
      <c r="J83" s="140">
        <v>1</v>
      </c>
      <c r="K83" s="18">
        <v>100</v>
      </c>
      <c r="L83" s="18"/>
      <c r="M83" s="18"/>
      <c r="N83" s="18"/>
      <c r="O83" s="140"/>
      <c r="P83" s="140"/>
      <c r="Q83" s="140"/>
      <c r="R83" s="140"/>
      <c r="S83" s="140">
        <f ca="1">BaseYear+1</f>
        <v>2011</v>
      </c>
      <c r="T83" s="140"/>
    </row>
    <row r="84" spans="2:20">
      <c r="B84" s="247"/>
      <c r="C84" s="460"/>
      <c r="D84" s="142"/>
      <c r="E84" s="142" t="s">
        <v>443</v>
      </c>
      <c r="F84" s="142" t="s">
        <v>167</v>
      </c>
      <c r="G84" s="143"/>
      <c r="H84" s="144"/>
      <c r="I84" s="145"/>
      <c r="J84" s="145"/>
      <c r="K84" s="146"/>
      <c r="L84" s="146"/>
      <c r="M84" s="146"/>
      <c r="N84" s="146"/>
      <c r="O84" s="145"/>
      <c r="P84" s="145"/>
      <c r="Q84" s="145"/>
      <c r="R84" s="145"/>
      <c r="S84" s="145"/>
      <c r="T84" s="145"/>
    </row>
    <row r="85" spans="2:20">
      <c r="B85" s="12" t="str">
        <f>CONCATENATE("FT-",E87,"5")</f>
        <v>FT-COMBIO5</v>
      </c>
      <c r="C85" s="378" t="s">
        <v>3</v>
      </c>
      <c r="D85" s="139" t="s">
        <v>943</v>
      </c>
      <c r="E85" s="12"/>
      <c r="F85" s="12"/>
      <c r="G85" s="139">
        <v>1</v>
      </c>
      <c r="H85" s="97">
        <f ca="1">IF(IEAData!$G$105&lt;=0,1,IEAData!B111/IEAData!$G$105)</f>
        <v>0.98591549295774639</v>
      </c>
      <c r="I85" s="140">
        <v>1</v>
      </c>
      <c r="J85" s="140">
        <v>1</v>
      </c>
      <c r="K85" s="18">
        <v>100</v>
      </c>
      <c r="L85" s="18"/>
      <c r="M85" s="18"/>
      <c r="N85" s="40">
        <v>1</v>
      </c>
      <c r="O85" s="140"/>
      <c r="P85" s="140"/>
      <c r="Q85" s="140"/>
      <c r="R85" s="140"/>
      <c r="S85" s="140">
        <f ca="1">BaseYear</f>
        <v>2010</v>
      </c>
      <c r="T85" s="140"/>
    </row>
    <row r="86" spans="2:20">
      <c r="B86" s="12"/>
      <c r="C86" s="378"/>
      <c r="D86" s="139" t="s">
        <v>929</v>
      </c>
      <c r="E86" s="12"/>
      <c r="F86" s="12"/>
      <c r="G86" s="139"/>
      <c r="H86" s="97">
        <f ca="1">IF(IEAData!$G$105&lt;=0,0,IEAData!B112/IEAData!$G$105)</f>
        <v>0</v>
      </c>
      <c r="I86" s="140"/>
      <c r="J86" s="140"/>
      <c r="K86" s="18"/>
      <c r="L86" s="18"/>
      <c r="M86" s="18"/>
      <c r="N86" s="40">
        <v>1</v>
      </c>
      <c r="O86" s="140"/>
      <c r="P86" s="140"/>
      <c r="Q86" s="140"/>
      <c r="R86" s="140"/>
      <c r="S86" s="140"/>
      <c r="T86" s="140"/>
    </row>
    <row r="87" spans="2:20">
      <c r="B87" s="247"/>
      <c r="C87" s="460"/>
      <c r="D87" s="142"/>
      <c r="E87" s="142" t="s">
        <v>444</v>
      </c>
      <c r="F87" s="142" t="s">
        <v>169</v>
      </c>
      <c r="G87" s="143"/>
      <c r="H87" s="144"/>
      <c r="I87" s="145"/>
      <c r="J87" s="145"/>
      <c r="K87" s="146"/>
      <c r="L87" s="146"/>
      <c r="M87" s="146"/>
      <c r="N87" s="146"/>
      <c r="O87" s="145"/>
      <c r="P87" s="145"/>
      <c r="Q87" s="145"/>
      <c r="R87" s="145"/>
      <c r="S87" s="145"/>
      <c r="T87" s="145"/>
    </row>
    <row r="88" spans="2:20">
      <c r="B88" s="12" t="str">
        <f>CONCATENATE("FT-",E89,"5")</f>
        <v>FT-COMBPL5</v>
      </c>
      <c r="C88" s="378" t="s">
        <v>935</v>
      </c>
      <c r="D88" s="139" t="s">
        <v>929</v>
      </c>
      <c r="E88" s="36"/>
      <c r="F88" s="36"/>
      <c r="G88" s="353"/>
      <c r="H88" s="354"/>
      <c r="I88" s="355">
        <v>1</v>
      </c>
      <c r="J88" s="355"/>
      <c r="K88" s="81"/>
      <c r="L88" s="81"/>
      <c r="M88" s="81"/>
      <c r="N88" s="81"/>
      <c r="O88" s="355"/>
      <c r="P88" s="355"/>
      <c r="Q88" s="355"/>
      <c r="R88" s="140"/>
      <c r="S88" s="140">
        <f ca="1">BaseYear</f>
        <v>2010</v>
      </c>
      <c r="T88" s="140"/>
    </row>
    <row r="89" spans="2:20">
      <c r="B89" s="247"/>
      <c r="C89" s="460"/>
      <c r="D89" s="142"/>
      <c r="E89" s="142" t="s">
        <v>932</v>
      </c>
      <c r="F89" s="142" t="s">
        <v>933</v>
      </c>
      <c r="G89" s="143"/>
      <c r="H89" s="144"/>
      <c r="I89" s="145"/>
      <c r="J89" s="145"/>
      <c r="K89" s="146"/>
      <c r="L89" s="146"/>
      <c r="M89" s="146"/>
      <c r="N89" s="146"/>
      <c r="O89" s="145"/>
      <c r="P89" s="145"/>
      <c r="Q89" s="145"/>
      <c r="R89" s="145"/>
      <c r="S89" s="145"/>
      <c r="T89" s="145"/>
    </row>
    <row r="90" spans="2:20">
      <c r="B90" s="12" t="str">
        <f>CONCATENATE("FT-",E91,"5")</f>
        <v>FT-COMSOL5</v>
      </c>
      <c r="C90" s="378" t="s">
        <v>5</v>
      </c>
      <c r="D90" s="139" t="s">
        <v>580</v>
      </c>
      <c r="E90" s="12"/>
      <c r="F90" s="12"/>
      <c r="G90" s="139">
        <v>1</v>
      </c>
      <c r="H90" s="97"/>
      <c r="I90" s="140">
        <v>1</v>
      </c>
      <c r="J90" s="140">
        <v>1</v>
      </c>
      <c r="K90" s="18">
        <v>50</v>
      </c>
      <c r="L90" s="18">
        <v>50</v>
      </c>
      <c r="M90" s="18"/>
      <c r="N90" s="18"/>
      <c r="O90" s="140"/>
      <c r="P90" s="140"/>
      <c r="Q90" s="140"/>
      <c r="R90" s="140"/>
      <c r="S90" s="140">
        <f ca="1">BaseYear+1</f>
        <v>2011</v>
      </c>
      <c r="T90" s="140"/>
    </row>
    <row r="91" spans="2:20">
      <c r="B91" s="142"/>
      <c r="C91" s="460"/>
      <c r="D91" s="142"/>
      <c r="E91" s="142" t="s">
        <v>149</v>
      </c>
      <c r="F91" s="142" t="s">
        <v>173</v>
      </c>
      <c r="G91" s="143"/>
      <c r="H91" s="144"/>
      <c r="I91" s="145"/>
      <c r="J91" s="145"/>
      <c r="K91" s="146"/>
      <c r="L91" s="146"/>
      <c r="M91" s="146"/>
      <c r="N91" s="146"/>
      <c r="O91" s="145"/>
      <c r="P91" s="145"/>
      <c r="Q91" s="145"/>
      <c r="R91" s="145"/>
      <c r="S91" s="145"/>
      <c r="T91" s="145"/>
    </row>
    <row r="92" spans="2:20">
      <c r="B92" s="12" t="str">
        <f>CONCATENATE("FT-",E93,"5")</f>
        <v>FT-COMGEO5</v>
      </c>
      <c r="C92" s="378" t="s">
        <v>4</v>
      </c>
      <c r="D92" s="139" t="s">
        <v>579</v>
      </c>
      <c r="E92" s="12"/>
      <c r="F92" s="12"/>
      <c r="G92" s="139">
        <v>1</v>
      </c>
      <c r="H92" s="97"/>
      <c r="I92" s="140">
        <v>1</v>
      </c>
      <c r="J92" s="140">
        <v>1</v>
      </c>
      <c r="K92" s="18">
        <v>20</v>
      </c>
      <c r="L92" s="18">
        <v>1</v>
      </c>
      <c r="M92" s="18"/>
      <c r="N92" s="18"/>
      <c r="O92" s="140"/>
      <c r="P92" s="140"/>
      <c r="Q92" s="140"/>
      <c r="R92" s="140"/>
      <c r="S92" s="140">
        <f ca="1">BaseYear+1</f>
        <v>2011</v>
      </c>
      <c r="T92" s="140"/>
    </row>
    <row r="93" spans="2:20">
      <c r="B93" s="142"/>
      <c r="C93" s="460"/>
      <c r="D93" s="142"/>
      <c r="E93" s="142" t="s">
        <v>148</v>
      </c>
      <c r="F93" s="142" t="s">
        <v>171</v>
      </c>
      <c r="G93" s="143"/>
      <c r="H93" s="144"/>
      <c r="I93" s="145"/>
      <c r="J93" s="145"/>
      <c r="K93" s="146"/>
      <c r="L93" s="146"/>
      <c r="M93" s="146"/>
      <c r="N93" s="146"/>
      <c r="O93" s="145"/>
      <c r="P93" s="145"/>
      <c r="Q93" s="145"/>
      <c r="R93" s="145"/>
      <c r="S93" s="145"/>
      <c r="T93" s="145"/>
    </row>
    <row r="94" spans="2:20">
      <c r="B94" s="12" t="str">
        <f>CONCATENATE("FT-",E95,"6")</f>
        <v>FT-COMGEO6</v>
      </c>
      <c r="C94" s="378" t="s">
        <v>4</v>
      </c>
      <c r="D94" s="139" t="s">
        <v>579</v>
      </c>
      <c r="E94" s="12"/>
      <c r="F94" s="12"/>
      <c r="G94" s="139">
        <v>1</v>
      </c>
      <c r="H94" s="97"/>
      <c r="I94" s="140">
        <v>1</v>
      </c>
      <c r="J94" s="140">
        <v>1</v>
      </c>
      <c r="K94" s="18">
        <v>20</v>
      </c>
      <c r="L94" s="18">
        <v>1.5</v>
      </c>
      <c r="M94" s="18"/>
      <c r="N94" s="18"/>
      <c r="O94" s="140"/>
      <c r="P94" s="140"/>
      <c r="Q94" s="140"/>
      <c r="R94" s="140"/>
      <c r="S94" s="140">
        <f ca="1">BaseYear+1</f>
        <v>2011</v>
      </c>
      <c r="T94" s="140"/>
    </row>
    <row r="95" spans="2:20">
      <c r="B95" s="142"/>
      <c r="C95" s="460"/>
      <c r="D95" s="142"/>
      <c r="E95" s="142" t="s">
        <v>148</v>
      </c>
      <c r="F95" s="142" t="s">
        <v>171</v>
      </c>
      <c r="G95" s="143"/>
      <c r="H95" s="144"/>
      <c r="I95" s="145"/>
      <c r="J95" s="145"/>
      <c r="K95" s="146"/>
      <c r="L95" s="146"/>
      <c r="M95" s="146"/>
      <c r="N95" s="146"/>
      <c r="O95" s="145"/>
      <c r="P95" s="145"/>
      <c r="Q95" s="145"/>
      <c r="R95" s="145"/>
      <c r="S95" s="145"/>
      <c r="T95" s="145"/>
    </row>
    <row r="96" spans="2:20">
      <c r="B96" s="12" t="str">
        <f>CONCATENATE("FT-",E97,"7")</f>
        <v>FT-COMGEO7</v>
      </c>
      <c r="C96" s="378" t="s">
        <v>4</v>
      </c>
      <c r="D96" s="139" t="s">
        <v>579</v>
      </c>
      <c r="E96" s="12"/>
      <c r="F96" s="12"/>
      <c r="G96" s="139">
        <v>1</v>
      </c>
      <c r="H96" s="97"/>
      <c r="I96" s="140">
        <v>1</v>
      </c>
      <c r="J96" s="140">
        <v>1</v>
      </c>
      <c r="K96" s="18">
        <v>20</v>
      </c>
      <c r="L96" s="18">
        <v>3</v>
      </c>
      <c r="M96" s="18"/>
      <c r="N96" s="18"/>
      <c r="O96" s="140"/>
      <c r="P96" s="140"/>
      <c r="Q96" s="140"/>
      <c r="R96" s="140"/>
      <c r="S96" s="140">
        <f ca="1">BaseYear+1</f>
        <v>2011</v>
      </c>
      <c r="T96" s="140"/>
    </row>
    <row r="97" spans="2:24">
      <c r="B97" s="247"/>
      <c r="C97" s="460"/>
      <c r="D97" s="142"/>
      <c r="E97" s="142" t="s">
        <v>148</v>
      </c>
      <c r="F97" s="142" t="s">
        <v>171</v>
      </c>
      <c r="G97" s="143"/>
      <c r="H97" s="144"/>
      <c r="I97" s="145"/>
      <c r="J97" s="145"/>
      <c r="K97" s="146"/>
      <c r="L97" s="146"/>
      <c r="M97" s="146"/>
      <c r="N97" s="146"/>
      <c r="O97" s="145"/>
      <c r="P97" s="145"/>
      <c r="Q97" s="145"/>
      <c r="R97" s="145"/>
      <c r="S97" s="145"/>
      <c r="T97" s="145"/>
    </row>
    <row r="102" spans="2:24">
      <c r="I102" s="15"/>
      <c r="J102" s="15"/>
      <c r="K102" s="15"/>
      <c r="L102" s="15"/>
      <c r="M102" s="15"/>
      <c r="N102" s="15"/>
      <c r="O102" s="15"/>
      <c r="P102" s="15"/>
      <c r="Q102" s="15"/>
      <c r="R102" s="15"/>
      <c r="S102" s="15"/>
      <c r="T102" s="15"/>
      <c r="U102" s="15"/>
      <c r="V102" s="15"/>
      <c r="W102" s="15"/>
      <c r="X102" s="15"/>
    </row>
    <row r="103" spans="2:24" ht="18">
      <c r="B103" s="253" t="s">
        <v>1008</v>
      </c>
      <c r="C103" s="136"/>
      <c r="D103" s="136"/>
      <c r="E103" s="131"/>
      <c r="I103" s="9"/>
      <c r="J103" s="286"/>
      <c r="K103" s="286"/>
      <c r="L103" s="286"/>
    </row>
    <row r="104" spans="2:24" ht="18">
      <c r="B104" s="131"/>
      <c r="C104" s="245" t="str">
        <f>"~FI_T: COM_AGG~"&amp;Region</f>
        <v>~FI_T: COM_AGG~FIN</v>
      </c>
      <c r="I104" s="9"/>
      <c r="J104" s="390" t="s">
        <v>963</v>
      </c>
      <c r="L104" s="390">
        <f>100-7</f>
        <v>93</v>
      </c>
      <c r="M104" s="286"/>
    </row>
    <row r="105" spans="2:24">
      <c r="B105" s="384" t="s">
        <v>384</v>
      </c>
      <c r="C105" s="384" t="s">
        <v>741</v>
      </c>
      <c r="D105" s="384">
        <f ca="1">BaseYear</f>
        <v>2010</v>
      </c>
      <c r="E105" s="384">
        <v>2017</v>
      </c>
      <c r="F105" s="384">
        <f>CEILING(E105+7,5)</f>
        <v>2025</v>
      </c>
      <c r="G105" s="384">
        <f>F105+10</f>
        <v>2035</v>
      </c>
      <c r="H105" s="384">
        <f>G105+15</f>
        <v>2050</v>
      </c>
      <c r="J105" s="387">
        <f>D105</f>
        <v>2010</v>
      </c>
      <c r="K105" s="387">
        <f>E105</f>
        <v>2017</v>
      </c>
      <c r="L105" s="384">
        <f>D105</f>
        <v>2010</v>
      </c>
      <c r="M105" s="384">
        <f>E105</f>
        <v>2017</v>
      </c>
      <c r="N105" s="384">
        <f>F105</f>
        <v>2025</v>
      </c>
      <c r="O105" s="384">
        <f>G105</f>
        <v>2035</v>
      </c>
      <c r="P105" s="384">
        <f>H105</f>
        <v>2050</v>
      </c>
    </row>
    <row r="106" spans="2:24">
      <c r="B106" s="12" t="s">
        <v>237</v>
      </c>
      <c r="C106" s="12" t="s">
        <v>961</v>
      </c>
      <c r="D106" s="391">
        <f t="array" aca="1" ref="D106:D111" ca="1">L$106:L$111/COM_Fuels!D$117:D$122*$L$104/$J$112</f>
        <v>0.60165188986194318</v>
      </c>
      <c r="E106" s="391">
        <f t="array" aca="1" ref="E106:E111" ca="1">M$106:M$111/COM_Fuels!E$117:E$122*$L$104/$K$112</f>
        <v>0.59632461375579882</v>
      </c>
      <c r="F106" s="391">
        <f t="array" aca="1" ref="F106:F111" ca="1">N$106:N$111/COM_Fuels!F$117:F$122*$L$104/$J$112</f>
        <v>0.63869385242820387</v>
      </c>
      <c r="G106" s="391">
        <f t="array" aca="1" ref="G106:G111" ca="1">O$106:O$111/COM_Fuels!G$117:G$122*$L$104/$J$112</f>
        <v>0.63490647003786571</v>
      </c>
      <c r="H106" s="391">
        <f t="array" aca="1" ref="H106:H111" ca="1">P$106:P$111/COM_Fuels!H$117:H$122*$L$104/$J$112</f>
        <v>0.64545314608878102</v>
      </c>
      <c r="J106" s="388">
        <f ca="1">CHT!$H$19</f>
        <v>39.948616365019191</v>
      </c>
      <c r="K106" s="388">
        <f ca="1">CHT!$L$19</f>
        <v>37.919080418687727</v>
      </c>
      <c r="L106" s="391">
        <v>0.39</v>
      </c>
      <c r="M106" s="392">
        <v>0.4</v>
      </c>
      <c r="N106" s="392">
        <v>0.41</v>
      </c>
      <c r="O106" s="392">
        <v>0.42</v>
      </c>
      <c r="P106" s="391">
        <v>0.44</v>
      </c>
    </row>
    <row r="107" spans="2:24">
      <c r="B107" s="12" t="s">
        <v>235</v>
      </c>
      <c r="C107" s="12" t="s">
        <v>961</v>
      </c>
      <c r="D107" s="391">
        <f ca="1"/>
        <v>0.64333304160366045</v>
      </c>
      <c r="E107" s="391">
        <f ca="1"/>
        <v>0.63438788697425408</v>
      </c>
      <c r="F107" s="391">
        <f ca="1"/>
        <v>0.62726620406268629</v>
      </c>
      <c r="G107" s="391">
        <f ca="1"/>
        <v>0.61115044218729042</v>
      </c>
      <c r="H107" s="391">
        <f ca="1"/>
        <v>0.58502820388172683</v>
      </c>
      <c r="J107" s="388">
        <f ca="1">CHW!$H$17</f>
        <v>9.2253326339562385</v>
      </c>
      <c r="K107" s="388">
        <f ca="1">CHW!$L$17</f>
        <v>8.7120360379331032</v>
      </c>
      <c r="L107" s="391">
        <v>0.39</v>
      </c>
      <c r="M107" s="392">
        <v>0.4</v>
      </c>
      <c r="N107" s="392">
        <v>0.41</v>
      </c>
      <c r="O107" s="392">
        <v>0.42</v>
      </c>
      <c r="P107" s="391">
        <v>0.44</v>
      </c>
    </row>
    <row r="108" spans="2:24">
      <c r="B108" s="12" t="s">
        <v>253</v>
      </c>
      <c r="C108" s="12" t="s">
        <v>961</v>
      </c>
      <c r="D108" s="391">
        <f ca="1"/>
        <v>0.13022696032459793</v>
      </c>
      <c r="E108" s="391">
        <f ca="1"/>
        <v>0.1490811534389497</v>
      </c>
      <c r="F108" s="391">
        <f ca="1"/>
        <v>0.1713568872368352</v>
      </c>
      <c r="G108" s="391">
        <f ca="1"/>
        <v>0.18140184858224737</v>
      </c>
      <c r="H108" s="391">
        <f ca="1"/>
        <v>0.20537145557370309</v>
      </c>
      <c r="J108" s="388">
        <f ca="1">RHT!$H$21</f>
        <v>72.298139908430542</v>
      </c>
      <c r="K108" s="388">
        <f ca="1">RHT!$L$21</f>
        <v>73.165351361181933</v>
      </c>
      <c r="L108" s="391">
        <v>0.09</v>
      </c>
      <c r="M108" s="392">
        <v>0.1</v>
      </c>
      <c r="N108" s="392">
        <v>0.11</v>
      </c>
      <c r="O108" s="392">
        <v>0.12</v>
      </c>
      <c r="P108" s="391">
        <v>0.14000000000000001</v>
      </c>
    </row>
    <row r="109" spans="2:24">
      <c r="B109" s="12" t="s">
        <v>252</v>
      </c>
      <c r="C109" s="12" t="s">
        <v>961</v>
      </c>
      <c r="D109" s="391">
        <f ca="1"/>
        <v>0.93235526807111524</v>
      </c>
      <c r="E109" s="391">
        <f ca="1"/>
        <v>0.89448692063369795</v>
      </c>
      <c r="F109" s="391">
        <f ca="1"/>
        <v>0.95025182922244966</v>
      </c>
      <c r="G109" s="391">
        <f ca="1"/>
        <v>0.93724288434161129</v>
      </c>
      <c r="H109" s="391">
        <f ca="1"/>
        <v>0.92417155008166396</v>
      </c>
      <c r="J109" s="388">
        <f ca="1">RHT!$H$35</f>
        <v>42.302283215610245</v>
      </c>
      <c r="K109" s="388">
        <f ca="1">RHT!$L$35</f>
        <v>39.198651246499182</v>
      </c>
      <c r="L109" s="391">
        <v>0.59</v>
      </c>
      <c r="M109" s="392">
        <v>0.6</v>
      </c>
      <c r="N109" s="392">
        <v>0.61</v>
      </c>
      <c r="O109" s="392">
        <v>0.62</v>
      </c>
      <c r="P109" s="391">
        <v>0.63</v>
      </c>
    </row>
    <row r="110" spans="2:24">
      <c r="B110" s="12" t="s">
        <v>909</v>
      </c>
      <c r="C110" s="12" t="s">
        <v>961</v>
      </c>
      <c r="D110" s="391">
        <f ca="1"/>
        <v>0.11939146775720072</v>
      </c>
      <c r="E110" s="391">
        <f ca="1"/>
        <v>0.15859697174356352</v>
      </c>
      <c r="F110" s="391">
        <f ca="1"/>
        <v>0.16829093279730609</v>
      </c>
      <c r="G110" s="391">
        <f ca="1"/>
        <v>0.17461441205351155</v>
      </c>
      <c r="H110" s="391">
        <f ca="1"/>
        <v>0.18614533759873128</v>
      </c>
      <c r="J110" s="388">
        <f ca="1">RHW!$H$18</f>
        <v>17.75930713347973</v>
      </c>
      <c r="K110" s="388">
        <f ca="1">RHW!$L$18</f>
        <v>20.854708101604555</v>
      </c>
      <c r="L110" s="391">
        <v>0.09</v>
      </c>
      <c r="M110" s="392">
        <v>0.1</v>
      </c>
      <c r="N110" s="392">
        <v>0.11</v>
      </c>
      <c r="O110" s="392">
        <v>0.12</v>
      </c>
      <c r="P110" s="391">
        <v>0.14000000000000001</v>
      </c>
    </row>
    <row r="111" spans="2:24">
      <c r="B111" s="12" t="s">
        <v>906</v>
      </c>
      <c r="C111" s="12" t="s">
        <v>961</v>
      </c>
      <c r="D111" s="391">
        <f ca="1"/>
        <v>0.9866685043869704</v>
      </c>
      <c r="E111" s="391">
        <f ca="1"/>
        <v>0.95158183046138112</v>
      </c>
      <c r="F111" s="391">
        <f ca="1"/>
        <v>0.93324971823960656</v>
      </c>
      <c r="G111" s="391">
        <f ca="1"/>
        <v>0.90217446227647646</v>
      </c>
      <c r="H111" s="391">
        <f ca="1"/>
        <v>0.83765401919429061</v>
      </c>
      <c r="J111" s="388">
        <f ca="1">RHW!$H$30</f>
        <v>12.641706040911945</v>
      </c>
      <c r="K111" s="388">
        <f ca="1">RHW!$L$30</f>
        <v>11.775932648579525</v>
      </c>
      <c r="L111" s="391">
        <v>0.59</v>
      </c>
      <c r="M111" s="392">
        <v>0.6</v>
      </c>
      <c r="N111" s="392">
        <v>0.61</v>
      </c>
      <c r="O111" s="392">
        <v>0.62</v>
      </c>
      <c r="P111" s="391">
        <v>0.63</v>
      </c>
    </row>
    <row r="112" spans="2:24">
      <c r="I112" s="9"/>
      <c r="J112" s="389">
        <f ca="1">SUMPRODUCT(J$106:J$111,L$106:L$111)</f>
        <v>59.699964004720435</v>
      </c>
      <c r="K112" s="389">
        <f ca="1">SUMPRODUCT(K$106:K$111,M$106:M$111)</f>
        <v>58.639202865974205</v>
      </c>
      <c r="L112" s="286"/>
      <c r="M112" s="286"/>
    </row>
    <row r="113" spans="2:12">
      <c r="I113" s="9"/>
      <c r="J113" s="286"/>
      <c r="K113" s="286"/>
      <c r="L113" s="286"/>
    </row>
    <row r="115" spans="2:12" ht="18">
      <c r="B115" s="131"/>
      <c r="C115" s="245" t="str">
        <f>"~FI_T: COM_IE~"&amp;Region</f>
        <v>~FI_T: COM_IE~FIN</v>
      </c>
    </row>
    <row r="116" spans="2:12" ht="13.5" thickBot="1">
      <c r="B116" s="341" t="s">
        <v>384</v>
      </c>
      <c r="C116" s="27" t="s">
        <v>385</v>
      </c>
      <c r="D116" s="385">
        <v>2010</v>
      </c>
      <c r="E116" s="386">
        <v>2017</v>
      </c>
      <c r="F116" s="386">
        <v>2020</v>
      </c>
      <c r="G116" s="386">
        <v>2030</v>
      </c>
      <c r="H116" s="386">
        <v>2050</v>
      </c>
      <c r="I116" s="396" t="s">
        <v>975</v>
      </c>
    </row>
    <row r="117" spans="2:12">
      <c r="B117" s="12" t="s">
        <v>237</v>
      </c>
      <c r="C117" s="12" t="s">
        <v>387</v>
      </c>
      <c r="D117" s="368">
        <f ca="1">CHT!H41</f>
        <v>1.0097833398116425</v>
      </c>
      <c r="E117" s="368">
        <f ca="1">CHT!I41</f>
        <v>1.0638297872340428</v>
      </c>
      <c r="F117" s="369">
        <v>1</v>
      </c>
      <c r="G117" s="368">
        <f>F117/0.997^10</f>
        <v>1.0305009984051596</v>
      </c>
      <c r="H117" s="368">
        <f>G117/0.997^10</f>
        <v>1.0619323077140308</v>
      </c>
      <c r="I117" s="397">
        <f ca="1">(D117*2+E117*5)/7/0.9</f>
        <v>1.1648754945703965</v>
      </c>
    </row>
    <row r="118" spans="2:12">
      <c r="B118" s="12" t="s">
        <v>235</v>
      </c>
      <c r="C118" s="12" t="s">
        <v>89</v>
      </c>
      <c r="D118" s="368">
        <f ca="1">CHW!H25</f>
        <v>0.94436009882897731</v>
      </c>
      <c r="E118" s="368">
        <v>1</v>
      </c>
      <c r="F118" s="368">
        <f>E118/0.994^3</f>
        <v>1.0182181796046126</v>
      </c>
      <c r="G118" s="368">
        <f>F118/0.995^10</f>
        <v>1.0705576010487627</v>
      </c>
      <c r="H118" s="368">
        <f>G118/0.9955^20</f>
        <v>1.1716145382384187</v>
      </c>
      <c r="I118" s="398"/>
    </row>
    <row r="119" spans="2:12">
      <c r="B119" s="12" t="s">
        <v>253</v>
      </c>
      <c r="C119" s="12" t="s">
        <v>388</v>
      </c>
      <c r="D119" s="368">
        <f ca="1">RHT!H43</f>
        <v>1.0765903558522107</v>
      </c>
      <c r="E119" s="368">
        <f ca="1">RHT!I43</f>
        <v>1.0638297872340428</v>
      </c>
      <c r="F119" s="369">
        <v>1</v>
      </c>
      <c r="G119" s="368">
        <f>F119/0.997^10</f>
        <v>1.0305009984051596</v>
      </c>
      <c r="H119" s="368">
        <f>G119/0.997^10</f>
        <v>1.0619323077140308</v>
      </c>
      <c r="I119" s="397">
        <f ca="1">(D119*2+E119*5)/7/0.9</f>
        <v>1.1860840710912119</v>
      </c>
    </row>
    <row r="120" spans="2:12">
      <c r="B120" s="12" t="s">
        <v>252</v>
      </c>
      <c r="C120" s="12" t="s">
        <v>755</v>
      </c>
      <c r="D120" s="368">
        <f ca="1">RHT!H44</f>
        <v>0.98577877233908784</v>
      </c>
      <c r="E120" s="368">
        <f ca="1">RHT!I44</f>
        <v>1.0638297872340428</v>
      </c>
      <c r="F120" s="369">
        <v>1</v>
      </c>
      <c r="G120" s="368">
        <f>F120/0.997^10</f>
        <v>1.0305009984051596</v>
      </c>
      <c r="H120" s="368">
        <f>G120/0.997^10</f>
        <v>1.0619323077140308</v>
      </c>
      <c r="I120" s="397">
        <f ca="1">(D120*2+E120*5)/7/0.9</f>
        <v>1.1572549969600618</v>
      </c>
    </row>
    <row r="121" spans="2:12">
      <c r="B121" s="12" t="s">
        <v>909</v>
      </c>
      <c r="C121" s="12" t="s">
        <v>908</v>
      </c>
      <c r="D121" s="368">
        <f ca="1">RHW!H40</f>
        <v>1.1742973948735531</v>
      </c>
      <c r="E121" s="368">
        <v>1</v>
      </c>
      <c r="F121" s="368">
        <f>E121/0.994^3</f>
        <v>1.0182181796046126</v>
      </c>
      <c r="G121" s="368">
        <f>F121/0.995^10</f>
        <v>1.0705576010487627</v>
      </c>
      <c r="H121" s="368">
        <f>G121/0.9955^20</f>
        <v>1.1716145382384187</v>
      </c>
      <c r="I121" s="398"/>
    </row>
    <row r="122" spans="2:12">
      <c r="B122" s="12" t="s">
        <v>906</v>
      </c>
      <c r="C122" s="12" t="s">
        <v>907</v>
      </c>
      <c r="D122" s="368">
        <f ca="1">RHW!H41</f>
        <v>0.93151451318907863</v>
      </c>
      <c r="E122" s="368">
        <v>1</v>
      </c>
      <c r="F122" s="368">
        <f>E122/0.994^3</f>
        <v>1.0182181796046126</v>
      </c>
      <c r="G122" s="368">
        <f>F122/0.995^10</f>
        <v>1.0705576010487627</v>
      </c>
      <c r="H122" s="368">
        <f>G122/0.9955^20</f>
        <v>1.1716145382384187</v>
      </c>
      <c r="I122" s="398"/>
    </row>
    <row r="123" spans="2:12">
      <c r="B123" s="12" t="s">
        <v>1132</v>
      </c>
      <c r="C123" s="12" t="s">
        <v>89</v>
      </c>
      <c r="D123" s="368">
        <f ca="1">1/SUM(RHW!J18,RHW!J30)</f>
        <v>3.2893640559399216E-2</v>
      </c>
      <c r="E123" s="368">
        <f ca="1">1/SUM(RHW!K18,RHW!K30)</f>
        <v>3.0646042400940557E-2</v>
      </c>
      <c r="F123" s="368"/>
      <c r="G123" s="368"/>
      <c r="H123" s="368"/>
      <c r="I123" s="398"/>
    </row>
    <row r="124" spans="2:12">
      <c r="B124" s="12" t="s">
        <v>1128</v>
      </c>
      <c r="C124" s="12" t="s">
        <v>388</v>
      </c>
      <c r="D124" s="368">
        <f ca="1">1/RHT!F47</f>
        <v>1.2847611369481092E-2</v>
      </c>
      <c r="E124" s="368">
        <f ca="1">1/RHT!G47</f>
        <v>1.2847611369481092E-2</v>
      </c>
      <c r="F124" s="368"/>
      <c r="G124" s="368"/>
      <c r="H124" s="368"/>
      <c r="I124" s="398"/>
    </row>
    <row r="125" spans="2:12">
      <c r="B125" s="12" t="s">
        <v>1129</v>
      </c>
      <c r="C125" s="12" t="s">
        <v>755</v>
      </c>
      <c r="D125" s="368">
        <f ca="1">1/RHT!F48</f>
        <v>2.3980416930389943E-2</v>
      </c>
      <c r="E125" s="368">
        <f ca="1">1/RHT!G48</f>
        <v>2.3980416930389943E-2</v>
      </c>
      <c r="F125" s="368"/>
      <c r="G125" s="368"/>
      <c r="H125" s="368"/>
      <c r="I125" s="398"/>
    </row>
    <row r="126" spans="2:12">
      <c r="B126" s="12" t="s">
        <v>1130</v>
      </c>
      <c r="C126" s="12" t="s">
        <v>387</v>
      </c>
      <c r="D126" s="368">
        <f ca="1">1/CHT!F45</f>
        <v>2.4789630698341988E-2</v>
      </c>
      <c r="E126" s="368">
        <f ca="1">1/CHT!G45</f>
        <v>2.4789630698341988E-2</v>
      </c>
      <c r="F126" s="368"/>
      <c r="G126" s="368"/>
      <c r="H126" s="368"/>
      <c r="I126" s="398"/>
    </row>
    <row r="127" spans="2:12">
      <c r="B127" s="12" t="s">
        <v>1115</v>
      </c>
      <c r="C127" s="12" t="s">
        <v>1118</v>
      </c>
      <c r="D127" s="368">
        <f ca="1">RHT!J47</f>
        <v>0.91854616160151592</v>
      </c>
      <c r="E127" s="368">
        <f ca="1">RHT!K47</f>
        <v>0.93520777618027218</v>
      </c>
      <c r="F127" s="368"/>
      <c r="G127" s="368"/>
      <c r="H127" s="368"/>
      <c r="I127" s="398"/>
    </row>
    <row r="128" spans="2:12">
      <c r="B128" s="12" t="s">
        <v>1116</v>
      </c>
      <c r="C128" s="12" t="s">
        <v>1118</v>
      </c>
      <c r="D128" s="368">
        <f ca="1">RHT!J48</f>
        <v>0.91170503394950286</v>
      </c>
      <c r="E128" s="368">
        <f ca="1">RHT!K48</f>
        <v>0.93520777618027218</v>
      </c>
      <c r="F128" s="368"/>
      <c r="G128" s="368"/>
      <c r="H128" s="368"/>
      <c r="I128" s="398"/>
    </row>
    <row r="129" spans="2:9">
      <c r="B129" s="12" t="s">
        <v>1117</v>
      </c>
      <c r="C129" s="12" t="s">
        <v>1119</v>
      </c>
      <c r="D129" s="368">
        <f ca="1">CHT!J45</f>
        <v>0.76596057035482623</v>
      </c>
      <c r="E129" s="368">
        <f ca="1">CHT!K45</f>
        <v>0.76272497935056915</v>
      </c>
      <c r="F129" s="368"/>
      <c r="G129" s="368"/>
      <c r="H129" s="368"/>
      <c r="I129" s="398"/>
    </row>
  </sheetData>
  <phoneticPr fontId="0" type="noConversion"/>
  <pageMargins left="0.75" right="0.75" top="1" bottom="1" header="0.5" footer="0.5"/>
  <pageSetup orientation="landscape" horizontalDpi="300" verticalDpi="300" r:id="rId1"/>
  <headerFooter alignWithMargins="0"/>
  <legacyDrawing r:id="rId2"/>
</worksheet>
</file>

<file path=xl/worksheets/sheet18.xml><?xml version="1.0" encoding="utf-8"?>
<worksheet xmlns="http://schemas.openxmlformats.org/spreadsheetml/2006/main" xmlns:r="http://schemas.openxmlformats.org/officeDocument/2006/relationships">
  <dimension ref="A1:M55"/>
  <sheetViews>
    <sheetView zoomScale="75" workbookViewId="0">
      <selection activeCell="B73" sqref="B73"/>
    </sheetView>
  </sheetViews>
  <sheetFormatPr defaultColWidth="11.42578125" defaultRowHeight="12.75"/>
  <cols>
    <col min="1" max="1" width="8.85546875" style="115" customWidth="1"/>
    <col min="2" max="4" width="10.42578125" style="115" customWidth="1"/>
  </cols>
  <sheetData>
    <row r="1" spans="1:13">
      <c r="D1" s="248"/>
      <c r="E1" s="115"/>
      <c r="F1" s="115"/>
      <c r="G1" s="115"/>
      <c r="H1" s="115"/>
    </row>
    <row r="4" spans="1:13" ht="18">
      <c r="A4" s="150" t="s">
        <v>290</v>
      </c>
      <c r="B4" s="131"/>
      <c r="C4" s="131"/>
      <c r="D4" s="131"/>
      <c r="H4" s="150" t="s">
        <v>739</v>
      </c>
      <c r="I4" s="131"/>
      <c r="J4" s="245" t="s">
        <v>740</v>
      </c>
    </row>
    <row r="5" spans="1:13" ht="13.5" thickBot="1">
      <c r="A5" s="249" t="s">
        <v>300</v>
      </c>
      <c r="B5" s="250" t="s">
        <v>21</v>
      </c>
      <c r="C5" s="250" t="s">
        <v>22</v>
      </c>
      <c r="D5" s="250" t="s">
        <v>23</v>
      </c>
      <c r="H5" s="309" t="s">
        <v>57</v>
      </c>
      <c r="I5" s="309" t="s">
        <v>58</v>
      </c>
      <c r="J5" s="309" t="s">
        <v>741</v>
      </c>
      <c r="K5" s="250" t="str">
        <f>B5</f>
        <v>COMCO2N</v>
      </c>
      <c r="L5" s="250" t="str">
        <f>C5</f>
        <v>COMCH4N</v>
      </c>
      <c r="M5" s="250" t="str">
        <f>D5</f>
        <v>COMN2ON</v>
      </c>
    </row>
    <row r="6" spans="1:13">
      <c r="A6" s="151" t="s">
        <v>437</v>
      </c>
      <c r="B6" s="282">
        <v>94.6</v>
      </c>
      <c r="C6" s="108">
        <v>10</v>
      </c>
      <c r="D6" s="108">
        <v>1.5</v>
      </c>
      <c r="H6" s="310" t="s">
        <v>1195</v>
      </c>
      <c r="I6" s="12"/>
      <c r="J6" s="311" t="s">
        <v>436</v>
      </c>
      <c r="K6" s="313">
        <f t="shared" ref="K6:M7" si="0">B35</f>
        <v>56.1</v>
      </c>
      <c r="L6" s="313">
        <f t="shared" si="0"/>
        <v>5</v>
      </c>
      <c r="M6" s="313">
        <f t="shared" si="0"/>
        <v>0.6</v>
      </c>
    </row>
    <row r="7" spans="1:13">
      <c r="A7" s="151" t="s">
        <v>438</v>
      </c>
      <c r="B7" s="377">
        <v>102</v>
      </c>
      <c r="C7" s="109">
        <f>$C$6</f>
        <v>10</v>
      </c>
      <c r="D7" s="109">
        <f>$D$6</f>
        <v>1.5</v>
      </c>
      <c r="G7" s="39"/>
      <c r="H7" s="310"/>
      <c r="I7" s="12"/>
      <c r="J7" s="311" t="s">
        <v>440</v>
      </c>
      <c r="K7" s="313">
        <f t="shared" si="0"/>
        <v>56.1</v>
      </c>
      <c r="L7" s="313">
        <f t="shared" si="0"/>
        <v>5</v>
      </c>
      <c r="M7" s="313">
        <f t="shared" si="0"/>
        <v>0.6</v>
      </c>
    </row>
    <row r="8" spans="1:13">
      <c r="A8" s="151" t="s">
        <v>439</v>
      </c>
      <c r="B8" s="377">
        <v>104.5</v>
      </c>
      <c r="C8" s="109">
        <f>$C$6</f>
        <v>10</v>
      </c>
      <c r="D8" s="109">
        <f>$D$6</f>
        <v>1.5</v>
      </c>
      <c r="G8" s="39"/>
      <c r="H8" s="310"/>
      <c r="I8" s="12"/>
      <c r="J8" s="311" t="s">
        <v>1009</v>
      </c>
      <c r="K8" s="313">
        <v>0</v>
      </c>
      <c r="L8" s="313">
        <f>C43</f>
        <v>10</v>
      </c>
      <c r="M8" s="313">
        <f>D43</f>
        <v>0.6</v>
      </c>
    </row>
    <row r="9" spans="1:13">
      <c r="A9" s="105" t="s">
        <v>35</v>
      </c>
      <c r="B9" s="283">
        <v>108.166666666667</v>
      </c>
      <c r="C9" s="109">
        <f>$C$6</f>
        <v>10</v>
      </c>
      <c r="D9" s="109">
        <f>$D$6</f>
        <v>1.5</v>
      </c>
      <c r="G9" s="39"/>
      <c r="H9" s="310" t="s">
        <v>1186</v>
      </c>
      <c r="I9" s="12"/>
      <c r="J9" s="311" t="s">
        <v>221</v>
      </c>
      <c r="K9" s="313">
        <f>B25</f>
        <v>74.066666666666706</v>
      </c>
      <c r="L9" s="313">
        <f>C25</f>
        <v>10</v>
      </c>
      <c r="M9" s="313">
        <f>D25</f>
        <v>2</v>
      </c>
    </row>
    <row r="10" spans="1:13">
      <c r="A10" s="105" t="s">
        <v>36</v>
      </c>
      <c r="B10" s="283">
        <v>108.166666666667</v>
      </c>
      <c r="C10" s="109">
        <f>$C$6</f>
        <v>10</v>
      </c>
      <c r="D10" s="109">
        <f>$D$6</f>
        <v>1.5</v>
      </c>
      <c r="G10" s="39"/>
      <c r="H10" s="310"/>
      <c r="I10" s="12"/>
      <c r="J10" s="311" t="s">
        <v>220</v>
      </c>
      <c r="K10" s="313">
        <f>B20</f>
        <v>69.3</v>
      </c>
      <c r="L10" s="313">
        <f>C20</f>
        <v>20</v>
      </c>
      <c r="M10" s="313">
        <f>D20</f>
        <v>6</v>
      </c>
    </row>
    <row r="11" spans="1:13">
      <c r="A11" s="105" t="s">
        <v>37</v>
      </c>
      <c r="B11" s="283">
        <v>108.166666666667</v>
      </c>
      <c r="C11" s="109">
        <f>$C$6</f>
        <v>10</v>
      </c>
      <c r="D11" s="109">
        <f>$D$6</f>
        <v>1.5</v>
      </c>
      <c r="H11" s="310"/>
      <c r="I11" s="12"/>
      <c r="J11" s="311" t="s">
        <v>647</v>
      </c>
      <c r="K11" s="313">
        <f>B32</f>
        <v>73.3333333333333</v>
      </c>
      <c r="L11" s="313">
        <f>C32</f>
        <v>5</v>
      </c>
      <c r="M11" s="313">
        <f>D32</f>
        <v>2</v>
      </c>
    </row>
    <row r="12" spans="1:13">
      <c r="A12" s="106" t="s">
        <v>38</v>
      </c>
      <c r="B12" s="284">
        <v>100.833333333333</v>
      </c>
      <c r="C12" s="112">
        <f>C6</f>
        <v>10</v>
      </c>
      <c r="D12" s="112">
        <f>D6</f>
        <v>1.5</v>
      </c>
      <c r="H12" s="310"/>
      <c r="I12" s="12"/>
      <c r="J12" s="311" t="s">
        <v>742</v>
      </c>
      <c r="K12" s="313">
        <f>B28</f>
        <v>73.3333333333333</v>
      </c>
      <c r="L12" s="313">
        <f>C28</f>
        <v>5</v>
      </c>
      <c r="M12" s="313">
        <f>D28</f>
        <v>2</v>
      </c>
    </row>
    <row r="13" spans="1:13">
      <c r="A13" s="107" t="s">
        <v>39</v>
      </c>
      <c r="B13" s="281">
        <v>73.3333333333333</v>
      </c>
      <c r="C13" s="281">
        <v>10</v>
      </c>
      <c r="D13" s="108">
        <v>0.6</v>
      </c>
      <c r="H13" s="310" t="s">
        <v>1190</v>
      </c>
      <c r="I13" s="12"/>
      <c r="J13" s="311" t="s">
        <v>217</v>
      </c>
      <c r="K13" s="313">
        <f>B26</f>
        <v>77.366666666666703</v>
      </c>
      <c r="L13" s="313">
        <f>C26</f>
        <v>10</v>
      </c>
      <c r="M13" s="313">
        <f>D26</f>
        <v>2</v>
      </c>
    </row>
    <row r="14" spans="1:13">
      <c r="A14" s="105" t="s">
        <v>40</v>
      </c>
      <c r="B14" s="283">
        <v>73.3333333333333</v>
      </c>
      <c r="C14" s="283">
        <v>10</v>
      </c>
      <c r="D14" s="109">
        <f t="shared" ref="D14:D19" si="1">D13</f>
        <v>0.6</v>
      </c>
      <c r="H14" s="310"/>
      <c r="I14" s="12"/>
      <c r="J14" s="311" t="s">
        <v>218</v>
      </c>
      <c r="K14" s="313">
        <f>B15</f>
        <v>73.3333333333333</v>
      </c>
      <c r="L14" s="313">
        <f>C15</f>
        <v>10</v>
      </c>
      <c r="M14" s="313">
        <f>D15</f>
        <v>0.6</v>
      </c>
    </row>
    <row r="15" spans="1:13">
      <c r="A15" s="166" t="s">
        <v>218</v>
      </c>
      <c r="B15" s="283">
        <v>73.3333333333333</v>
      </c>
      <c r="C15" s="283">
        <v>10</v>
      </c>
      <c r="D15" s="109">
        <f t="shared" si="1"/>
        <v>0.6</v>
      </c>
      <c r="H15" s="310" t="s">
        <v>1191</v>
      </c>
      <c r="I15" s="12"/>
      <c r="J15" s="311" t="s">
        <v>219</v>
      </c>
      <c r="K15" s="313">
        <f>B24</f>
        <v>71.866666666666703</v>
      </c>
      <c r="L15" s="313">
        <f>C24</f>
        <v>1</v>
      </c>
      <c r="M15" s="313">
        <f>D24</f>
        <v>6</v>
      </c>
    </row>
    <row r="16" spans="1:13">
      <c r="A16" s="105" t="s">
        <v>313</v>
      </c>
      <c r="B16" s="283">
        <v>63.066666666666698</v>
      </c>
      <c r="C16" s="283">
        <v>10</v>
      </c>
      <c r="D16" s="109">
        <f t="shared" si="1"/>
        <v>0.6</v>
      </c>
      <c r="H16" s="310" t="s">
        <v>1184</v>
      </c>
      <c r="I16" s="12"/>
      <c r="J16" s="311" t="s">
        <v>437</v>
      </c>
      <c r="K16" s="313">
        <f t="shared" ref="K16:M18" si="2">B6</f>
        <v>94.6</v>
      </c>
      <c r="L16" s="313">
        <f t="shared" si="2"/>
        <v>10</v>
      </c>
      <c r="M16" s="313">
        <f t="shared" si="2"/>
        <v>1.5</v>
      </c>
    </row>
    <row r="17" spans="1:13">
      <c r="A17" s="105" t="s">
        <v>314</v>
      </c>
      <c r="B17" s="283">
        <v>73.3333333333333</v>
      </c>
      <c r="C17" s="283">
        <v>10</v>
      </c>
      <c r="D17" s="109">
        <f t="shared" si="1"/>
        <v>0.6</v>
      </c>
      <c r="H17" s="310"/>
      <c r="I17" s="12"/>
      <c r="J17" s="311" t="s">
        <v>438</v>
      </c>
      <c r="K17" s="313">
        <f t="shared" si="2"/>
        <v>102</v>
      </c>
      <c r="L17" s="313">
        <f t="shared" si="2"/>
        <v>10</v>
      </c>
      <c r="M17" s="313">
        <f t="shared" si="2"/>
        <v>1.5</v>
      </c>
    </row>
    <row r="18" spans="1:13">
      <c r="A18" s="105" t="s">
        <v>315</v>
      </c>
      <c r="B18" s="283">
        <v>73.3333333333333</v>
      </c>
      <c r="C18" s="283">
        <v>10</v>
      </c>
      <c r="D18" s="109">
        <f t="shared" si="1"/>
        <v>0.6</v>
      </c>
      <c r="H18" s="310"/>
      <c r="I18" s="12"/>
      <c r="J18" s="311" t="s">
        <v>439</v>
      </c>
      <c r="K18" s="313">
        <f t="shared" si="2"/>
        <v>104.5</v>
      </c>
      <c r="L18" s="313">
        <f t="shared" si="2"/>
        <v>10</v>
      </c>
      <c r="M18" s="313">
        <f t="shared" si="2"/>
        <v>1.5</v>
      </c>
    </row>
    <row r="19" spans="1:13">
      <c r="A19" s="105" t="s">
        <v>316</v>
      </c>
      <c r="B19" s="283">
        <v>73.3333333333333</v>
      </c>
      <c r="C19" s="283">
        <v>10</v>
      </c>
      <c r="D19" s="112">
        <f t="shared" si="1"/>
        <v>0.6</v>
      </c>
      <c r="H19" s="310" t="s">
        <v>1193</v>
      </c>
      <c r="I19" s="12"/>
      <c r="J19" s="311" t="s">
        <v>110</v>
      </c>
      <c r="K19" s="313">
        <f>B38</f>
        <v>63.066666666666698</v>
      </c>
      <c r="L19" s="313">
        <f>C38</f>
        <v>5</v>
      </c>
      <c r="M19" s="313">
        <f>D38</f>
        <v>1</v>
      </c>
    </row>
    <row r="20" spans="1:13">
      <c r="A20" s="154" t="s">
        <v>220</v>
      </c>
      <c r="B20" s="281">
        <v>69.3</v>
      </c>
      <c r="C20" s="281">
        <v>20</v>
      </c>
      <c r="D20" s="109">
        <v>6</v>
      </c>
      <c r="H20" s="310" t="s">
        <v>1181</v>
      </c>
      <c r="I20" s="12"/>
      <c r="J20" s="311" t="s">
        <v>943</v>
      </c>
      <c r="K20" s="313">
        <f>B40</f>
        <v>1E-4</v>
      </c>
      <c r="L20" s="313">
        <f>C40</f>
        <v>50</v>
      </c>
      <c r="M20" s="313">
        <f>D40</f>
        <v>2.5</v>
      </c>
    </row>
    <row r="21" spans="1:13">
      <c r="A21" s="105" t="s">
        <v>317</v>
      </c>
      <c r="B21" s="283">
        <v>69.3</v>
      </c>
      <c r="C21" s="283">
        <v>1</v>
      </c>
      <c r="D21" s="109">
        <f>D20</f>
        <v>6</v>
      </c>
      <c r="H21" s="310"/>
      <c r="I21" s="12"/>
      <c r="J21" s="311" t="s">
        <v>54</v>
      </c>
      <c r="K21" s="313">
        <f>B42</f>
        <v>85.85</v>
      </c>
      <c r="L21" s="313">
        <f>C42</f>
        <v>50</v>
      </c>
      <c r="M21" s="313">
        <f>D42</f>
        <v>4</v>
      </c>
    </row>
    <row r="22" spans="1:13">
      <c r="A22" s="105" t="s">
        <v>318</v>
      </c>
      <c r="B22" s="283">
        <v>69.3</v>
      </c>
      <c r="C22" s="283">
        <v>1</v>
      </c>
      <c r="D22" s="109">
        <f>D21</f>
        <v>6</v>
      </c>
      <c r="H22" s="310"/>
      <c r="I22" s="12"/>
      <c r="J22" s="311" t="s">
        <v>55</v>
      </c>
      <c r="K22" s="313">
        <f>B41</f>
        <v>85.85</v>
      </c>
      <c r="L22" s="313">
        <f>C41</f>
        <v>50</v>
      </c>
      <c r="M22" s="313">
        <f>D41</f>
        <v>4</v>
      </c>
    </row>
    <row r="23" spans="1:13">
      <c r="A23" s="105" t="s">
        <v>319</v>
      </c>
      <c r="B23" s="283">
        <v>71.5</v>
      </c>
      <c r="C23" s="283">
        <v>1</v>
      </c>
      <c r="D23" s="109">
        <f>D22</f>
        <v>6</v>
      </c>
      <c r="H23" s="310" t="s">
        <v>1196</v>
      </c>
      <c r="I23" s="12"/>
      <c r="J23" s="311" t="s">
        <v>436</v>
      </c>
      <c r="K23" s="313">
        <f t="shared" ref="K23:M24" si="3">B35</f>
        <v>56.1</v>
      </c>
      <c r="L23" s="313">
        <f t="shared" si="3"/>
        <v>5</v>
      </c>
      <c r="M23" s="313">
        <f t="shared" si="3"/>
        <v>0.6</v>
      </c>
    </row>
    <row r="24" spans="1:13">
      <c r="A24" s="152" t="s">
        <v>219</v>
      </c>
      <c r="B24" s="283">
        <v>71.866666666666703</v>
      </c>
      <c r="C24" s="283">
        <v>1</v>
      </c>
      <c r="D24" s="109">
        <f>D23</f>
        <v>6</v>
      </c>
      <c r="H24" s="310"/>
      <c r="I24" s="12"/>
      <c r="J24" s="311" t="s">
        <v>440</v>
      </c>
      <c r="K24" s="313">
        <f t="shared" si="3"/>
        <v>56.1</v>
      </c>
      <c r="L24" s="313">
        <f t="shared" si="3"/>
        <v>5</v>
      </c>
      <c r="M24" s="313">
        <f t="shared" si="3"/>
        <v>0.6</v>
      </c>
    </row>
    <row r="25" spans="1:13">
      <c r="A25" s="152" t="s">
        <v>221</v>
      </c>
      <c r="B25" s="283">
        <v>74.066666666666706</v>
      </c>
      <c r="C25" s="283">
        <v>10</v>
      </c>
      <c r="D25" s="109">
        <v>2</v>
      </c>
      <c r="H25" s="310"/>
      <c r="I25" s="12"/>
      <c r="J25" s="311" t="s">
        <v>1009</v>
      </c>
      <c r="K25" s="313">
        <v>0</v>
      </c>
      <c r="L25" s="313">
        <f>C37</f>
        <v>5</v>
      </c>
      <c r="M25" s="313">
        <f>D37</f>
        <v>0.6</v>
      </c>
    </row>
    <row r="26" spans="1:13">
      <c r="A26" s="152" t="s">
        <v>217</v>
      </c>
      <c r="B26" s="283">
        <v>77.366666666666703</v>
      </c>
      <c r="C26" s="283">
        <v>10</v>
      </c>
      <c r="D26" s="109">
        <v>2</v>
      </c>
      <c r="G26" s="8"/>
      <c r="H26" s="310" t="s">
        <v>1187</v>
      </c>
      <c r="I26" s="12"/>
      <c r="J26" s="311" t="s">
        <v>221</v>
      </c>
      <c r="K26" s="313">
        <f>B25</f>
        <v>74.066666666666706</v>
      </c>
      <c r="L26" s="313">
        <f>C25</f>
        <v>10</v>
      </c>
      <c r="M26" s="313">
        <f>D25</f>
        <v>2</v>
      </c>
    </row>
    <row r="27" spans="1:13">
      <c r="A27" s="105" t="s">
        <v>320</v>
      </c>
      <c r="B27" s="283">
        <v>73.3333333333333</v>
      </c>
      <c r="C27" s="283">
        <v>5</v>
      </c>
      <c r="D27" s="109">
        <f t="shared" ref="D27:D32" si="4">D26</f>
        <v>2</v>
      </c>
      <c r="G27" s="8"/>
      <c r="H27" s="310"/>
      <c r="I27" s="12"/>
      <c r="J27" s="311" t="s">
        <v>742</v>
      </c>
      <c r="K27" s="313">
        <f>B43</f>
        <v>1E-4</v>
      </c>
      <c r="L27" s="313">
        <f>C43</f>
        <v>10</v>
      </c>
      <c r="M27" s="313">
        <f>D43</f>
        <v>0.6</v>
      </c>
    </row>
    <row r="28" spans="1:13">
      <c r="A28" s="105" t="s">
        <v>321</v>
      </c>
      <c r="B28" s="283">
        <v>73.3333333333333</v>
      </c>
      <c r="C28" s="283">
        <v>5</v>
      </c>
      <c r="D28" s="109">
        <f t="shared" si="4"/>
        <v>2</v>
      </c>
      <c r="G28" s="8"/>
      <c r="H28" s="310" t="s">
        <v>1245</v>
      </c>
      <c r="I28" s="12"/>
      <c r="J28" s="311" t="s">
        <v>1248</v>
      </c>
      <c r="K28" s="313">
        <f>B43</f>
        <v>1E-4</v>
      </c>
      <c r="L28" s="313">
        <f>C43</f>
        <v>10</v>
      </c>
      <c r="M28" s="313">
        <f>D43</f>
        <v>0.6</v>
      </c>
    </row>
    <row r="29" spans="1:13">
      <c r="A29" s="105" t="s">
        <v>322</v>
      </c>
      <c r="B29" s="283">
        <v>73.3333333333333</v>
      </c>
      <c r="C29" s="283">
        <v>5</v>
      </c>
      <c r="D29" s="109">
        <f t="shared" si="4"/>
        <v>2</v>
      </c>
      <c r="G29" s="8"/>
      <c r="H29" s="310" t="s">
        <v>1192</v>
      </c>
      <c r="I29" s="12"/>
      <c r="J29" s="311" t="s">
        <v>219</v>
      </c>
      <c r="K29" s="313">
        <f>B24</f>
        <v>71.866666666666703</v>
      </c>
      <c r="L29" s="313">
        <f>C24</f>
        <v>1</v>
      </c>
      <c r="M29" s="313">
        <f>D24</f>
        <v>6</v>
      </c>
    </row>
    <row r="30" spans="1:13">
      <c r="A30" s="105" t="s">
        <v>323</v>
      </c>
      <c r="B30" s="283">
        <v>80.6666666666667</v>
      </c>
      <c r="C30" s="283">
        <v>5</v>
      </c>
      <c r="D30" s="109">
        <f t="shared" si="4"/>
        <v>2</v>
      </c>
      <c r="G30" s="8"/>
      <c r="H30" s="310" t="s">
        <v>1185</v>
      </c>
      <c r="I30" s="12"/>
      <c r="J30" s="311" t="s">
        <v>437</v>
      </c>
      <c r="K30" s="313">
        <f t="shared" ref="K30:M32" si="5">B6</f>
        <v>94.6</v>
      </c>
      <c r="L30" s="313">
        <f t="shared" si="5"/>
        <v>10</v>
      </c>
      <c r="M30" s="313">
        <f t="shared" si="5"/>
        <v>1.5</v>
      </c>
    </row>
    <row r="31" spans="1:13">
      <c r="A31" s="105" t="s">
        <v>324</v>
      </c>
      <c r="B31" s="283">
        <v>80.6666666666667</v>
      </c>
      <c r="C31" s="283">
        <v>5</v>
      </c>
      <c r="D31" s="109">
        <f t="shared" si="4"/>
        <v>2</v>
      </c>
      <c r="G31" s="8"/>
      <c r="H31" s="310"/>
      <c r="I31" s="12"/>
      <c r="J31" s="311" t="s">
        <v>438</v>
      </c>
      <c r="K31" s="313">
        <f t="shared" si="5"/>
        <v>102</v>
      </c>
      <c r="L31" s="313">
        <f t="shared" si="5"/>
        <v>10</v>
      </c>
      <c r="M31" s="313">
        <f t="shared" si="5"/>
        <v>1.5</v>
      </c>
    </row>
    <row r="32" spans="1:13">
      <c r="A32" s="153" t="s">
        <v>647</v>
      </c>
      <c r="B32" s="284">
        <v>73.3333333333333</v>
      </c>
      <c r="C32" s="284">
        <v>5</v>
      </c>
      <c r="D32" s="109">
        <f t="shared" si="4"/>
        <v>2</v>
      </c>
      <c r="G32" s="8"/>
      <c r="H32" s="310"/>
      <c r="I32" s="12"/>
      <c r="J32" s="311" t="s">
        <v>439</v>
      </c>
      <c r="K32" s="313">
        <f t="shared" si="5"/>
        <v>104.5</v>
      </c>
      <c r="L32" s="313">
        <f t="shared" si="5"/>
        <v>10</v>
      </c>
      <c r="M32" s="313">
        <f t="shared" si="5"/>
        <v>1.5</v>
      </c>
    </row>
    <row r="33" spans="1:13">
      <c r="A33" s="107" t="s">
        <v>325</v>
      </c>
      <c r="B33" s="281">
        <v>56.1</v>
      </c>
      <c r="C33" s="281">
        <v>5</v>
      </c>
      <c r="D33" s="113">
        <v>0.6</v>
      </c>
      <c r="G33" s="8"/>
      <c r="H33" s="310" t="s">
        <v>1194</v>
      </c>
      <c r="I33" s="12"/>
      <c r="J33" s="311" t="s">
        <v>110</v>
      </c>
      <c r="K33" s="313">
        <f>B38</f>
        <v>63.066666666666698</v>
      </c>
      <c r="L33" s="313">
        <f>C38</f>
        <v>5</v>
      </c>
      <c r="M33" s="313">
        <f>D38</f>
        <v>1</v>
      </c>
    </row>
    <row r="34" spans="1:13">
      <c r="A34" s="105" t="s">
        <v>326</v>
      </c>
      <c r="B34" s="283">
        <v>61.6</v>
      </c>
      <c r="C34" s="283">
        <v>5</v>
      </c>
      <c r="D34" s="110">
        <f>D33</f>
        <v>0.6</v>
      </c>
      <c r="G34" s="8"/>
      <c r="H34" s="310" t="s">
        <v>1182</v>
      </c>
      <c r="I34" s="12"/>
      <c r="J34" s="311" t="s">
        <v>943</v>
      </c>
      <c r="K34" s="313">
        <f>B40</f>
        <v>1E-4</v>
      </c>
      <c r="L34" s="313">
        <f>C40</f>
        <v>50</v>
      </c>
      <c r="M34" s="313">
        <f>D40</f>
        <v>2.5</v>
      </c>
    </row>
    <row r="35" spans="1:13">
      <c r="A35" s="166" t="s">
        <v>436</v>
      </c>
      <c r="B35" s="283">
        <v>56.1</v>
      </c>
      <c r="C35" s="283">
        <v>5</v>
      </c>
      <c r="D35" s="110">
        <f>D34</f>
        <v>0.6</v>
      </c>
      <c r="G35" s="8"/>
      <c r="H35" s="310"/>
      <c r="I35" s="12"/>
      <c r="J35" s="311" t="s">
        <v>929</v>
      </c>
      <c r="K35" s="313">
        <f>B40</f>
        <v>1E-4</v>
      </c>
      <c r="L35" s="313">
        <f>C40*0.7</f>
        <v>35</v>
      </c>
      <c r="M35" s="313">
        <f>D40*0.6</f>
        <v>1.5</v>
      </c>
    </row>
    <row r="36" spans="1:13">
      <c r="A36" s="166" t="s">
        <v>440</v>
      </c>
      <c r="B36" s="283">
        <v>56.1</v>
      </c>
      <c r="C36" s="283">
        <v>5</v>
      </c>
      <c r="D36" s="110">
        <f>D35</f>
        <v>0.6</v>
      </c>
      <c r="G36" s="8"/>
      <c r="H36" s="310" t="s">
        <v>1183</v>
      </c>
      <c r="I36" s="12"/>
      <c r="J36" s="311" t="s">
        <v>929</v>
      </c>
      <c r="K36" s="313">
        <f>B40</f>
        <v>1E-4</v>
      </c>
      <c r="L36" s="313">
        <f>C40*0.7</f>
        <v>35</v>
      </c>
      <c r="M36" s="313">
        <f>D40*0.6</f>
        <v>1.5</v>
      </c>
    </row>
    <row r="37" spans="1:13">
      <c r="A37" s="152" t="s">
        <v>441</v>
      </c>
      <c r="B37" s="283">
        <f>B36</f>
        <v>56.1</v>
      </c>
      <c r="C37" s="283">
        <v>5</v>
      </c>
      <c r="D37" s="110">
        <f>D36</f>
        <v>0.6</v>
      </c>
      <c r="G37" s="8"/>
      <c r="H37" s="310"/>
      <c r="I37" s="12"/>
      <c r="J37" s="311"/>
      <c r="K37" s="313"/>
      <c r="L37" s="313"/>
      <c r="M37" s="313"/>
    </row>
    <row r="38" spans="1:13">
      <c r="A38" s="153" t="s">
        <v>110</v>
      </c>
      <c r="B38" s="284">
        <v>63.066666666666698</v>
      </c>
      <c r="C38" s="284">
        <v>5</v>
      </c>
      <c r="D38" s="111">
        <v>1</v>
      </c>
      <c r="G38" s="8"/>
    </row>
    <row r="39" spans="1:13">
      <c r="A39" s="154" t="s">
        <v>589</v>
      </c>
      <c r="B39" s="283">
        <v>1E-4</v>
      </c>
      <c r="C39" s="113">
        <v>200</v>
      </c>
      <c r="D39" s="113">
        <v>2.5</v>
      </c>
      <c r="G39" s="8"/>
    </row>
    <row r="40" spans="1:13">
      <c r="A40" s="152" t="s">
        <v>454</v>
      </c>
      <c r="B40" s="283">
        <v>1E-4</v>
      </c>
      <c r="C40" s="110">
        <v>50</v>
      </c>
      <c r="D40" s="110">
        <v>2.5</v>
      </c>
      <c r="G40" s="8"/>
    </row>
    <row r="41" spans="1:13">
      <c r="A41" s="152" t="s">
        <v>457</v>
      </c>
      <c r="B41" s="283">
        <v>85.85</v>
      </c>
      <c r="C41" s="110">
        <f>$C$40</f>
        <v>50</v>
      </c>
      <c r="D41" s="110">
        <v>4</v>
      </c>
      <c r="G41" s="8"/>
    </row>
    <row r="42" spans="1:13">
      <c r="A42" s="152" t="s">
        <v>456</v>
      </c>
      <c r="B42" s="283">
        <v>85.85</v>
      </c>
      <c r="C42" s="110">
        <f>$C$40</f>
        <v>50</v>
      </c>
      <c r="D42" s="110">
        <v>4</v>
      </c>
      <c r="H42" s="8"/>
    </row>
    <row r="43" spans="1:13">
      <c r="A43" s="166" t="s">
        <v>455</v>
      </c>
      <c r="B43" s="283">
        <v>1E-4</v>
      </c>
      <c r="C43" s="110">
        <v>10</v>
      </c>
      <c r="D43" s="110">
        <v>0.6</v>
      </c>
      <c r="H43" s="8"/>
    </row>
    <row r="44" spans="1:13">
      <c r="A44" s="105" t="s">
        <v>327</v>
      </c>
      <c r="B44" s="283">
        <v>1E-4</v>
      </c>
      <c r="C44" s="110">
        <f>$C$40</f>
        <v>50</v>
      </c>
      <c r="D44" s="110">
        <v>2</v>
      </c>
      <c r="H44" s="8"/>
    </row>
    <row r="45" spans="1:13">
      <c r="A45" s="106" t="s">
        <v>328</v>
      </c>
      <c r="B45" s="283">
        <v>1E-4</v>
      </c>
      <c r="C45" s="111">
        <f>$C$40</f>
        <v>50</v>
      </c>
      <c r="D45" s="111">
        <v>2</v>
      </c>
      <c r="H45" s="8"/>
    </row>
    <row r="46" spans="1:13">
      <c r="A46" s="114" t="s">
        <v>14</v>
      </c>
    </row>
    <row r="47" spans="1:13">
      <c r="A47" s="115" t="s">
        <v>329</v>
      </c>
    </row>
    <row r="48" spans="1:13">
      <c r="A48" s="115" t="s">
        <v>13</v>
      </c>
    </row>
    <row r="50" spans="1:1">
      <c r="A50" s="8" t="s">
        <v>45</v>
      </c>
    </row>
    <row r="51" spans="1:1">
      <c r="A51" s="8" t="s">
        <v>46</v>
      </c>
    </row>
    <row r="52" spans="1:1">
      <c r="A52" s="8" t="s">
        <v>47</v>
      </c>
    </row>
    <row r="54" spans="1:1">
      <c r="A54" s="115" t="s">
        <v>75</v>
      </c>
    </row>
    <row r="55" spans="1:1">
      <c r="A55" s="115" t="s">
        <v>76</v>
      </c>
    </row>
  </sheetData>
  <phoneticPr fontId="0" type="noConversion"/>
  <pageMargins left="0.75" right="0.75" top="1" bottom="1" header="0.5" footer="0.5"/>
  <pageSetup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dimension ref="A1:AC214"/>
  <sheetViews>
    <sheetView zoomScale="75" workbookViewId="0">
      <selection activeCell="B73" sqref="B73"/>
    </sheetView>
  </sheetViews>
  <sheetFormatPr defaultColWidth="11.42578125" defaultRowHeight="12.75"/>
  <cols>
    <col min="1" max="1" width="9.42578125" customWidth="1"/>
    <col min="2" max="2" width="13.5703125" customWidth="1"/>
    <col min="3" max="3" width="43.140625" customWidth="1"/>
    <col min="4" max="4" width="10.85546875" customWidth="1"/>
    <col min="5" max="6" width="9.7109375" bestFit="1" customWidth="1"/>
    <col min="7" max="8" width="11.42578125" customWidth="1"/>
    <col min="9" max="9" width="10.42578125" customWidth="1"/>
    <col min="10" max="24" width="11.42578125" customWidth="1"/>
    <col min="25" max="25" width="13.140625" customWidth="1"/>
  </cols>
  <sheetData>
    <row r="1" spans="1:29" ht="18">
      <c r="A1" s="10" t="s">
        <v>124</v>
      </c>
      <c r="D1" t="s">
        <v>250</v>
      </c>
    </row>
    <row r="2" spans="1:29" s="22" customFormat="1" ht="18">
      <c r="A2" s="83"/>
      <c r="D2" s="245"/>
      <c r="E2" s="74"/>
      <c r="F2" s="74"/>
      <c r="G2" s="74"/>
      <c r="H2" s="74"/>
      <c r="J2" s="56"/>
    </row>
    <row r="3" spans="1:29" ht="18">
      <c r="B3" s="16"/>
      <c r="C3" s="17"/>
      <c r="D3" s="245"/>
      <c r="P3" s="18">
        <v>1</v>
      </c>
      <c r="Q3" t="s">
        <v>666</v>
      </c>
      <c r="AB3" s="10"/>
      <c r="AC3" s="358">
        <v>1</v>
      </c>
    </row>
    <row r="4" spans="1:29" ht="18">
      <c r="B4" s="131" t="s">
        <v>594</v>
      </c>
      <c r="C4" s="98"/>
      <c r="D4" s="252" t="str">
        <f>"~FI_T: "&amp;Region&amp;"~EUR10"</f>
        <v>~FI_T: FIN~EUR10</v>
      </c>
      <c r="E4" s="4"/>
      <c r="S4" s="4"/>
      <c r="T4" s="4"/>
    </row>
    <row r="5" spans="1:29" ht="48.75" customHeight="1" thickBot="1">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tr">
        <f ca="1">J5&amp;"~"&amp;AuxYear</f>
        <v>EFF~2017</v>
      </c>
      <c r="L5" s="52" t="s">
        <v>758</v>
      </c>
      <c r="M5" s="52" t="s">
        <v>661</v>
      </c>
      <c r="N5" s="52" t="str">
        <f ca="1">"CF~"&amp;AuxYear</f>
        <v>CF~2017</v>
      </c>
      <c r="O5" s="52" t="s">
        <v>88</v>
      </c>
      <c r="P5" s="52" t="s">
        <v>541</v>
      </c>
      <c r="Q5" s="52" t="str">
        <f ca="1">P5&amp;"~"&amp;AuxYear</f>
        <v>RESID~2017</v>
      </c>
      <c r="R5" s="52" t="str">
        <f ca="1">"RESID~"&amp;CEILING(AuxYear+7,5)</f>
        <v>RESID~2025</v>
      </c>
      <c r="S5" s="52" t="str">
        <f ca="1">"RESID~"&amp;CEILING(AuxYear+17,5)</f>
        <v>RESID~2035</v>
      </c>
      <c r="T5" s="52" t="str">
        <f ca="1">"RESID~"&amp;CEILING(AuxYear+27,5)</f>
        <v>RESID~2045</v>
      </c>
      <c r="U5" s="52" t="s">
        <v>537</v>
      </c>
      <c r="V5" s="52" t="str">
        <f ca="1">"CF~"&amp;CEILING(AuxYear+2,5)</f>
        <v>CF~2020</v>
      </c>
      <c r="W5" s="257" t="s">
        <v>381</v>
      </c>
      <c r="Y5" s="427" t="s">
        <v>993</v>
      </c>
      <c r="Z5" s="427" t="s">
        <v>995</v>
      </c>
      <c r="AA5" s="427" t="s">
        <v>996</v>
      </c>
      <c r="AB5" s="427" t="s">
        <v>997</v>
      </c>
      <c r="AC5" s="427" t="s">
        <v>998</v>
      </c>
    </row>
    <row r="6" spans="1:29" ht="16.5" customHeight="1" thickBot="1">
      <c r="B6" s="434" t="s">
        <v>999</v>
      </c>
      <c r="C6" s="190"/>
      <c r="D6" s="190"/>
      <c r="E6" s="191"/>
      <c r="F6" s="191"/>
      <c r="G6" s="191"/>
      <c r="H6" s="191"/>
      <c r="I6" s="190"/>
      <c r="J6" s="193"/>
      <c r="K6" s="191"/>
      <c r="L6" s="191"/>
      <c r="M6" s="190"/>
      <c r="N6" s="190"/>
      <c r="O6" s="191"/>
      <c r="P6" s="192"/>
      <c r="Q6" s="190"/>
      <c r="R6" s="190"/>
      <c r="S6" s="192"/>
      <c r="T6" s="190"/>
      <c r="U6" s="190"/>
      <c r="V6" s="190"/>
      <c r="W6" s="257"/>
      <c r="Y6" s="190"/>
      <c r="Z6" s="190"/>
      <c r="AA6" s="190"/>
      <c r="AB6" s="190"/>
      <c r="AC6" s="190"/>
    </row>
    <row r="7" spans="1:29" ht="14.25" customHeight="1">
      <c r="B7" s="76" t="s">
        <v>74</v>
      </c>
      <c r="C7" s="378" t="s">
        <v>553</v>
      </c>
      <c r="D7" s="36" t="str">
        <f ca="1">IEAData!H99</f>
        <v>COMNGA</v>
      </c>
      <c r="E7" s="85">
        <f ca="1">AB7*IEAData!B145*IEAData!B172</f>
        <v>0.6302525241600001</v>
      </c>
      <c r="F7" s="85">
        <f ca="1">AC7*AuxData!B145*AuxData!B172</f>
        <v>1.2330010079999998</v>
      </c>
      <c r="G7" s="29">
        <v>0.8</v>
      </c>
      <c r="H7" s="343" t="str">
        <f t="shared" ref="H7:H18" si="0">RIGHT(D7,3)</f>
        <v>NGA</v>
      </c>
      <c r="I7" s="81">
        <v>1.01</v>
      </c>
      <c r="J7" s="6">
        <f t="shared" ref="J7:J18" si="1">G7</f>
        <v>0.8</v>
      </c>
      <c r="K7" s="6">
        <f t="shared" ref="K7:K18" si="2">J7^IF(J7&gt;1,I7,1/I7)</f>
        <v>0.80176942758945924</v>
      </c>
      <c r="L7" s="38">
        <f t="shared" ref="L7:L18" ca="1" si="3">F7*K7</f>
        <v>0.98858251240138606</v>
      </c>
      <c r="M7" s="19">
        <v>1</v>
      </c>
      <c r="N7" s="32">
        <v>0.25</v>
      </c>
      <c r="O7" s="32">
        <v>20</v>
      </c>
      <c r="P7" s="161">
        <f ca="1">J7*E7/$N7</f>
        <v>2.0168080773120005</v>
      </c>
      <c r="Q7" s="104">
        <f ca="1">K7*F7/$N7</f>
        <v>3.9543300496055442</v>
      </c>
      <c r="R7" s="104"/>
      <c r="S7" s="185">
        <f t="shared" ref="S7:S16" ca="1" si="4">MIN(Q7,P7*0.2)</f>
        <v>0.40336161546240012</v>
      </c>
      <c r="T7" s="40"/>
      <c r="U7" s="40"/>
      <c r="V7" s="40">
        <f t="shared" ref="V7:V18" ca="1" si="5">N7*$I$41</f>
        <v>0.26595744680851069</v>
      </c>
      <c r="W7" s="258">
        <f t="shared" ref="W7:W18" ca="1" si="6">IF($E$19=0,0,E7/$E$19)</f>
        <v>1.4101704897650478E-2</v>
      </c>
      <c r="Y7" s="430">
        <f ca="1">IF(B6="*",MATCH(LEFT(B7,3),OFFSET(CalibData!$C$78,1,0,100),0),Y6)</f>
        <v>33</v>
      </c>
      <c r="Z7" s="436"/>
      <c r="AA7" s="436"/>
      <c r="AB7" s="361">
        <f ca="1">OFFSET(TechShar,$Y7,AB$3)</f>
        <v>1</v>
      </c>
      <c r="AC7" s="361">
        <f ca="1">OFFSET(TechShar,$Y7,AC$3)</f>
        <v>1</v>
      </c>
    </row>
    <row r="8" spans="1:29" ht="14.25" customHeight="1">
      <c r="B8" s="76" t="s">
        <v>77</v>
      </c>
      <c r="C8" s="378" t="s">
        <v>459</v>
      </c>
      <c r="D8" s="36" t="str">
        <f ca="1">IEAData!H99</f>
        <v>COMNGA</v>
      </c>
      <c r="E8" s="64">
        <f ca="1">AB8*IEAData!B145*IEAData!B172</f>
        <v>0</v>
      </c>
      <c r="F8" s="64">
        <f ca="1">AC8*AuxData!B145*AuxData!B172</f>
        <v>0</v>
      </c>
      <c r="G8" s="29">
        <v>1.9</v>
      </c>
      <c r="H8" s="343" t="str">
        <f t="shared" si="0"/>
        <v>NGA</v>
      </c>
      <c r="I8" s="81">
        <v>1.01</v>
      </c>
      <c r="J8" s="6">
        <f t="shared" si="1"/>
        <v>1.9</v>
      </c>
      <c r="K8" s="6">
        <f t="shared" si="2"/>
        <v>1.9122344454666194</v>
      </c>
      <c r="L8" s="38">
        <f t="shared" ca="1" si="3"/>
        <v>0</v>
      </c>
      <c r="M8" s="19">
        <v>1</v>
      </c>
      <c r="N8" s="32">
        <v>0.25</v>
      </c>
      <c r="O8" s="32">
        <v>20</v>
      </c>
      <c r="P8" s="373">
        <f t="shared" ref="P8:P18" ca="1" si="7">J8*E8/$N8</f>
        <v>0</v>
      </c>
      <c r="Q8" s="185">
        <f t="shared" ref="Q8:Q18" ca="1" si="8">K8*F8/N8</f>
        <v>0</v>
      </c>
      <c r="R8" s="104"/>
      <c r="S8" s="185">
        <f t="shared" ca="1" si="4"/>
        <v>0</v>
      </c>
      <c r="T8" s="40"/>
      <c r="U8" s="40"/>
      <c r="V8" s="40">
        <f t="shared" ca="1" si="5"/>
        <v>0.26595744680851069</v>
      </c>
      <c r="W8" s="258">
        <f t="shared" ca="1" si="6"/>
        <v>0</v>
      </c>
      <c r="Y8" s="430">
        <f ca="1">IF(B7="*",MATCH(LEFT(B8,3),OFFSET(CalibData!$C$78,1,0,100),0),Y7)</f>
        <v>33</v>
      </c>
      <c r="Z8" s="436"/>
      <c r="AA8" s="436"/>
      <c r="AB8" s="358">
        <f ca="1">1-AB7</f>
        <v>0</v>
      </c>
      <c r="AC8" s="358">
        <f ca="1">1-AC7</f>
        <v>0</v>
      </c>
    </row>
    <row r="9" spans="1:29" ht="14.25" customHeight="1">
      <c r="B9" s="76" t="s">
        <v>630</v>
      </c>
      <c r="C9" s="378" t="s">
        <v>460</v>
      </c>
      <c r="D9" s="36" t="str">
        <f ca="1">IEAData!H100</f>
        <v>COMDST</v>
      </c>
      <c r="E9" s="64">
        <f ca="1">IEAData!B146*IEAData!B173</f>
        <v>6.3630740913458625</v>
      </c>
      <c r="F9" s="64">
        <f ca="1">AuxData!B146*AuxData!B173</f>
        <v>6.7692124290285953</v>
      </c>
      <c r="G9" s="29">
        <v>0.78</v>
      </c>
      <c r="H9" s="343" t="str">
        <f t="shared" si="0"/>
        <v>DST</v>
      </c>
      <c r="I9" s="81">
        <v>1.01</v>
      </c>
      <c r="J9" s="6">
        <f t="shared" si="1"/>
        <v>0.78</v>
      </c>
      <c r="K9" s="6">
        <f t="shared" si="2"/>
        <v>0.78192117258390115</v>
      </c>
      <c r="L9" s="38">
        <f t="shared" ca="1" si="3"/>
        <v>5.2929905199755574</v>
      </c>
      <c r="M9" s="19">
        <v>1</v>
      </c>
      <c r="N9" s="32">
        <v>0.25</v>
      </c>
      <c r="O9" s="32">
        <v>20</v>
      </c>
      <c r="P9" s="161">
        <f t="shared" ca="1" si="7"/>
        <v>19.852791164999093</v>
      </c>
      <c r="Q9" s="104">
        <f t="shared" ca="1" si="8"/>
        <v>21.171962079902229</v>
      </c>
      <c r="R9" s="104"/>
      <c r="S9" s="185">
        <f t="shared" ca="1" si="4"/>
        <v>3.970558232999819</v>
      </c>
      <c r="T9" s="40"/>
      <c r="U9" s="40"/>
      <c r="V9" s="40">
        <f t="shared" ca="1" si="5"/>
        <v>0.26595744680851069</v>
      </c>
      <c r="W9" s="258">
        <f t="shared" ca="1" si="6"/>
        <v>0.14237181072402227</v>
      </c>
      <c r="Y9" s="430">
        <f ca="1">IF(B8="*",MATCH(LEFT(B9,3),OFFSET(CalibData!$C$78,1,0,100),0),Y8)</f>
        <v>33</v>
      </c>
      <c r="Z9" s="436"/>
      <c r="AA9" s="436"/>
      <c r="AB9" s="294"/>
      <c r="AC9" s="294"/>
    </row>
    <row r="10" spans="1:29" ht="14.25" customHeight="1">
      <c r="B10" s="265" t="s">
        <v>631</v>
      </c>
      <c r="C10" s="402" t="s">
        <v>461</v>
      </c>
      <c r="D10" s="36" t="str">
        <f ca="1">IEAData!H101</f>
        <v>COMHFO</v>
      </c>
      <c r="E10" s="64">
        <f ca="1">IEAData!B147*IEAData!B174</f>
        <v>3.1039930368000004</v>
      </c>
      <c r="F10" s="64">
        <f ca="1">AuxData!B147*AuxData!B174</f>
        <v>1.18400024</v>
      </c>
      <c r="G10" s="69">
        <v>0.75</v>
      </c>
      <c r="H10" s="343" t="str">
        <f t="shared" si="0"/>
        <v>HFO</v>
      </c>
      <c r="I10" s="81">
        <v>1.01</v>
      </c>
      <c r="J10" s="6">
        <f t="shared" si="1"/>
        <v>0.75</v>
      </c>
      <c r="K10" s="6">
        <f t="shared" si="2"/>
        <v>0.75213929828851755</v>
      </c>
      <c r="L10" s="38">
        <f t="shared" ca="1" si="3"/>
        <v>0.89053310968703636</v>
      </c>
      <c r="M10" s="19">
        <v>1</v>
      </c>
      <c r="N10" s="32">
        <v>0.25</v>
      </c>
      <c r="O10" s="68">
        <v>20</v>
      </c>
      <c r="P10" s="161">
        <f t="shared" ca="1" si="7"/>
        <v>9.3119791104000011</v>
      </c>
      <c r="Q10" s="104">
        <f t="shared" ca="1" si="8"/>
        <v>3.5621324387481454</v>
      </c>
      <c r="R10" s="104"/>
      <c r="S10" s="185">
        <f t="shared" ca="1" si="4"/>
        <v>1.8623958220800003</v>
      </c>
      <c r="T10" s="53"/>
      <c r="U10" s="40"/>
      <c r="V10" s="40">
        <f t="shared" ca="1" si="5"/>
        <v>0.26595744680851069</v>
      </c>
      <c r="W10" s="258">
        <f t="shared" ca="1" si="6"/>
        <v>6.9450882196234409E-2</v>
      </c>
      <c r="Y10" s="430">
        <f ca="1">IF(B9="*",MATCH(LEFT(B10,3),OFFSET(CalibData!$C$78,1,0,100),0),Y9)</f>
        <v>33</v>
      </c>
      <c r="Z10" s="436"/>
      <c r="AA10" s="436"/>
      <c r="AB10" s="294"/>
      <c r="AC10" s="294"/>
    </row>
    <row r="11" spans="1:29" ht="14.25" customHeight="1">
      <c r="B11" s="265" t="s">
        <v>632</v>
      </c>
      <c r="C11" s="402" t="s">
        <v>462</v>
      </c>
      <c r="D11" s="36" t="str">
        <f ca="1">IEAData!H102</f>
        <v>COMKER</v>
      </c>
      <c r="E11" s="64">
        <f ca="1">IEAData!B148*IEAData!B175</f>
        <v>0</v>
      </c>
      <c r="F11" s="64">
        <f ca="1">AuxData!B148*AuxData!B175</f>
        <v>0</v>
      </c>
      <c r="G11" s="69">
        <v>0.65</v>
      </c>
      <c r="H11" s="343" t="str">
        <f t="shared" si="0"/>
        <v>KER</v>
      </c>
      <c r="I11" s="81">
        <v>1.01</v>
      </c>
      <c r="J11" s="6">
        <f t="shared" si="1"/>
        <v>0.65</v>
      </c>
      <c r="K11" s="6">
        <f t="shared" si="2"/>
        <v>0.65277828603114285</v>
      </c>
      <c r="L11" s="38">
        <f t="shared" ca="1" si="3"/>
        <v>0</v>
      </c>
      <c r="M11" s="19">
        <v>1</v>
      </c>
      <c r="N11" s="32">
        <v>0.25</v>
      </c>
      <c r="O11" s="68">
        <v>20</v>
      </c>
      <c r="P11" s="161">
        <f t="shared" ca="1" si="7"/>
        <v>0</v>
      </c>
      <c r="Q11" s="104">
        <f t="shared" ca="1" si="8"/>
        <v>0</v>
      </c>
      <c r="R11" s="104"/>
      <c r="S11" s="185">
        <f t="shared" ca="1" si="4"/>
        <v>0</v>
      </c>
      <c r="T11" s="40"/>
      <c r="U11" s="40"/>
      <c r="V11" s="40">
        <f t="shared" ca="1" si="5"/>
        <v>0.26595744680851069</v>
      </c>
      <c r="W11" s="258">
        <f t="shared" ca="1" si="6"/>
        <v>0</v>
      </c>
      <c r="Y11" s="430">
        <f ca="1">IF(B10="*",MATCH(LEFT(B11,3),OFFSET(CalibData!$C$78,1,0,100),0),Y10)</f>
        <v>33</v>
      </c>
      <c r="Z11" s="436"/>
      <c r="AA11" s="436"/>
      <c r="AB11" s="294"/>
      <c r="AC11" s="294"/>
    </row>
    <row r="12" spans="1:29" ht="14.25" customHeight="1">
      <c r="B12" s="76" t="s">
        <v>1022</v>
      </c>
      <c r="C12" s="378" t="s">
        <v>1024</v>
      </c>
      <c r="D12" s="36" t="str">
        <f ca="1">IEAData!H103</f>
        <v>COMCOP</v>
      </c>
      <c r="E12" s="64">
        <f ca="1">IEAData!B149*IEAData!B176</f>
        <v>0.10597628160000001</v>
      </c>
      <c r="F12" s="64">
        <f ca="1">AuxData!B149*AuxData!B176</f>
        <v>7.9361600000000004E-2</v>
      </c>
      <c r="G12" s="30">
        <v>0.65</v>
      </c>
      <c r="H12" s="343" t="str">
        <f t="shared" si="0"/>
        <v>COP</v>
      </c>
      <c r="I12" s="81">
        <v>1.01</v>
      </c>
      <c r="J12" s="6">
        <f t="shared" si="1"/>
        <v>0.65</v>
      </c>
      <c r="K12" s="6">
        <f t="shared" si="2"/>
        <v>0.65277828603114285</v>
      </c>
      <c r="L12" s="38">
        <f t="shared" ca="1" si="3"/>
        <v>5.1805529224689152E-2</v>
      </c>
      <c r="M12" s="19">
        <v>1</v>
      </c>
      <c r="N12" s="32">
        <v>0.25</v>
      </c>
      <c r="O12" s="32">
        <v>20</v>
      </c>
      <c r="P12" s="161">
        <f t="shared" ca="1" si="7"/>
        <v>0.27553833216000007</v>
      </c>
      <c r="Q12" s="104">
        <f t="shared" ca="1" si="8"/>
        <v>0.20722211689875661</v>
      </c>
      <c r="R12" s="104"/>
      <c r="S12" s="185">
        <f t="shared" ca="1" si="4"/>
        <v>5.5107666432000019E-2</v>
      </c>
      <c r="T12" s="40"/>
      <c r="U12" s="40"/>
      <c r="V12" s="40">
        <f t="shared" ca="1" si="5"/>
        <v>0.26595744680851069</v>
      </c>
      <c r="W12" s="258">
        <f t="shared" ca="1" si="6"/>
        <v>2.3711864561991288E-3</v>
      </c>
      <c r="Y12" s="430">
        <f ca="1">IF(B11="*",MATCH(LEFT(B12,3),OFFSET(CalibData!$C$78,1,0,100),0),Y11)</f>
        <v>33</v>
      </c>
      <c r="Z12" s="436"/>
      <c r="AA12" s="436"/>
      <c r="AB12" s="294"/>
      <c r="AC12" s="294"/>
    </row>
    <row r="13" spans="1:29" ht="14.25" customHeight="1">
      <c r="B13" s="76" t="s">
        <v>633</v>
      </c>
      <c r="C13" s="378" t="s">
        <v>463</v>
      </c>
      <c r="D13" s="36" t="str">
        <f ca="1">IEAData!H104</f>
        <v>COMLPG</v>
      </c>
      <c r="E13" s="64">
        <f ca="1">IEAData!B150*IEAData!B177</f>
        <v>0</v>
      </c>
      <c r="F13" s="64">
        <f ca="1">AuxData!B150*AuxData!B177</f>
        <v>0</v>
      </c>
      <c r="G13" s="29">
        <v>0.75</v>
      </c>
      <c r="H13" s="343" t="str">
        <f t="shared" si="0"/>
        <v>LPG</v>
      </c>
      <c r="I13" s="81">
        <v>1.01</v>
      </c>
      <c r="J13" s="6">
        <f t="shared" si="1"/>
        <v>0.75</v>
      </c>
      <c r="K13" s="6">
        <f t="shared" si="2"/>
        <v>0.75213929828851755</v>
      </c>
      <c r="L13" s="38">
        <f t="shared" ca="1" si="3"/>
        <v>0</v>
      </c>
      <c r="M13" s="19">
        <v>1</v>
      </c>
      <c r="N13" s="32">
        <v>0.25</v>
      </c>
      <c r="O13" s="32">
        <v>20</v>
      </c>
      <c r="P13" s="161">
        <f t="shared" ca="1" si="7"/>
        <v>0</v>
      </c>
      <c r="Q13" s="104">
        <f t="shared" ca="1" si="8"/>
        <v>0</v>
      </c>
      <c r="R13" s="104"/>
      <c r="S13" s="185">
        <f t="shared" ca="1" si="4"/>
        <v>0</v>
      </c>
      <c r="T13" s="40"/>
      <c r="U13" s="40"/>
      <c r="V13" s="40">
        <f t="shared" ca="1" si="5"/>
        <v>0.26595744680851069</v>
      </c>
      <c r="W13" s="258">
        <f t="shared" ca="1" si="6"/>
        <v>0</v>
      </c>
      <c r="Y13" s="430">
        <f ca="1">IF(B12="*",MATCH(LEFT(B13,3),OFFSET(CalibData!$C$78,1,0,100),0),Y12)</f>
        <v>33</v>
      </c>
      <c r="Z13" s="436"/>
      <c r="AA13" s="436"/>
      <c r="AB13" s="294"/>
      <c r="AC13" s="294"/>
    </row>
    <row r="14" spans="1:29" ht="14.25" customHeight="1">
      <c r="B14" s="76" t="s">
        <v>634</v>
      </c>
      <c r="C14" s="378" t="s">
        <v>464</v>
      </c>
      <c r="D14" s="36" t="str">
        <f ca="1">IEAData!H105</f>
        <v>COMBIO</v>
      </c>
      <c r="E14" s="64">
        <f ca="1">IEAData!B151*IEAData!B178</f>
        <v>3.5493178320000003</v>
      </c>
      <c r="F14" s="64">
        <f ca="1">AuxData!B151*AuxData!B178</f>
        <v>3.0919992000000005</v>
      </c>
      <c r="G14" s="30">
        <f ca="1">0.69*CalibData!$N$131</f>
        <v>0.62790000000000001</v>
      </c>
      <c r="H14" s="343" t="str">
        <f t="shared" si="0"/>
        <v>BIO</v>
      </c>
      <c r="I14" s="81">
        <v>1.01</v>
      </c>
      <c r="J14" s="6">
        <f t="shared" ca="1" si="1"/>
        <v>0.62790000000000001</v>
      </c>
      <c r="K14" s="6">
        <f t="shared" ca="1" si="2"/>
        <v>0.63079982966535686</v>
      </c>
      <c r="L14" s="38">
        <f t="shared" ca="1" si="3"/>
        <v>1.95043256868542</v>
      </c>
      <c r="M14" s="19">
        <v>1</v>
      </c>
      <c r="N14" s="32">
        <v>0.25</v>
      </c>
      <c r="O14" s="32">
        <v>20</v>
      </c>
      <c r="P14" s="161">
        <f t="shared" ca="1" si="7"/>
        <v>8.9144666668512009</v>
      </c>
      <c r="Q14" s="104">
        <f t="shared" ca="1" si="8"/>
        <v>7.8017302747416801</v>
      </c>
      <c r="R14" s="104"/>
      <c r="S14" s="185">
        <f t="shared" ca="1" si="4"/>
        <v>1.7828933333702404</v>
      </c>
      <c r="T14" s="40"/>
      <c r="U14" s="40"/>
      <c r="V14" s="40">
        <f t="shared" ca="1" si="5"/>
        <v>0.26595744680851069</v>
      </c>
      <c r="W14" s="258">
        <f t="shared" ca="1" si="6"/>
        <v>7.941488647195992E-2</v>
      </c>
      <c r="Y14" s="430">
        <f ca="1">IF(B13="*",MATCH(LEFT(B14,3),OFFSET(CalibData!$C$78,1,0,100),0),Y13)</f>
        <v>33</v>
      </c>
      <c r="Z14" s="436"/>
      <c r="AA14" s="436"/>
      <c r="AB14" s="294"/>
      <c r="AC14" s="294"/>
    </row>
    <row r="15" spans="1:29" ht="14.25" customHeight="1">
      <c r="B15" s="76" t="s">
        <v>73</v>
      </c>
      <c r="C15" s="378" t="s">
        <v>465</v>
      </c>
      <c r="D15" s="82" t="s">
        <v>842</v>
      </c>
      <c r="E15" s="64">
        <f ca="1">AB15*IEAData!B152*IEAData!B179</f>
        <v>6.3748860254717501</v>
      </c>
      <c r="F15" s="64">
        <f ca="1">AC15*AuxData!B152*AuxData!B179</f>
        <v>4.787176778035839</v>
      </c>
      <c r="G15" s="30">
        <v>0.99</v>
      </c>
      <c r="H15" s="343" t="str">
        <f t="shared" si="0"/>
        <v>ELC</v>
      </c>
      <c r="I15" s="81">
        <v>1.01</v>
      </c>
      <c r="J15" s="6">
        <f t="shared" si="1"/>
        <v>0.99</v>
      </c>
      <c r="K15" s="6">
        <f t="shared" si="2"/>
        <v>0.99009851809462102</v>
      </c>
      <c r="L15" s="38">
        <f t="shared" ca="1" si="3"/>
        <v>4.7397766337902665</v>
      </c>
      <c r="M15" s="19">
        <v>1</v>
      </c>
      <c r="N15" s="32">
        <v>0.25</v>
      </c>
      <c r="O15" s="32">
        <v>20</v>
      </c>
      <c r="P15" s="161">
        <f t="shared" ca="1" si="7"/>
        <v>25.24454866086813</v>
      </c>
      <c r="Q15" s="104">
        <f t="shared" ca="1" si="8"/>
        <v>18.959106535161066</v>
      </c>
      <c r="R15" s="104"/>
      <c r="S15" s="185">
        <f t="shared" ca="1" si="4"/>
        <v>5.0489097321736267</v>
      </c>
      <c r="T15" s="40"/>
      <c r="U15" s="40"/>
      <c r="V15" s="40">
        <f t="shared" ca="1" si="5"/>
        <v>0.26595744680851069</v>
      </c>
      <c r="W15" s="258">
        <f t="shared" ca="1" si="6"/>
        <v>0.14263609908928629</v>
      </c>
      <c r="Y15" s="430">
        <f ca="1">IF(B14="*",MATCH(LEFT(B15,3),OFFSET(CalibData!$C$78,1,0,100),0),Y14)</f>
        <v>33</v>
      </c>
      <c r="Z15" s="436"/>
      <c r="AA15" s="436"/>
      <c r="AB15" s="361">
        <f ca="1">OFFSET(TechShar,$Y15+1,AB$3)</f>
        <v>0.97</v>
      </c>
      <c r="AC15" s="361">
        <f ca="1">OFFSET(TechShar,$Y15+1,AC$3)</f>
        <v>0.87841488941913348</v>
      </c>
    </row>
    <row r="16" spans="1:29" ht="14.25" customHeight="1">
      <c r="B16" s="265" t="s">
        <v>922</v>
      </c>
      <c r="C16" s="402" t="s">
        <v>466</v>
      </c>
      <c r="D16" s="82" t="s">
        <v>952</v>
      </c>
      <c r="E16" s="64">
        <f ca="1">AB16*IEAData!B152*IEAData!B179</f>
        <v>0.19716142346819865</v>
      </c>
      <c r="F16" s="64">
        <f ca="1">AC16*AuxData!B152*AuxData!B179</f>
        <v>0.66261333333333372</v>
      </c>
      <c r="G16" s="65">
        <v>2</v>
      </c>
      <c r="H16" s="343" t="str">
        <f t="shared" si="0"/>
        <v>ELC</v>
      </c>
      <c r="I16" s="81">
        <v>1.01</v>
      </c>
      <c r="J16" s="6">
        <f t="shared" si="1"/>
        <v>2</v>
      </c>
      <c r="K16" s="6">
        <f t="shared" si="2"/>
        <v>2.0139111001134378</v>
      </c>
      <c r="L16" s="38">
        <f t="shared" ca="1" si="3"/>
        <v>1.3344443470831662</v>
      </c>
      <c r="M16" s="19">
        <v>1</v>
      </c>
      <c r="N16" s="32">
        <v>0.25</v>
      </c>
      <c r="O16" s="66">
        <v>15</v>
      </c>
      <c r="P16" s="161">
        <f t="shared" ca="1" si="7"/>
        <v>1.5772913877455892</v>
      </c>
      <c r="Q16" s="104">
        <f t="shared" ca="1" si="8"/>
        <v>5.3377773883326647</v>
      </c>
      <c r="R16" s="104"/>
      <c r="S16" s="185">
        <f t="shared" ca="1" si="4"/>
        <v>0.31545827754911787</v>
      </c>
      <c r="T16" s="53"/>
      <c r="U16" s="53"/>
      <c r="V16" s="40">
        <f t="shared" ca="1" si="5"/>
        <v>0.26595744680851069</v>
      </c>
      <c r="W16" s="258">
        <f t="shared" ca="1" si="6"/>
        <v>4.4114257450294765E-3</v>
      </c>
      <c r="Y16" s="430">
        <f ca="1">IF(B15="*",MATCH(LEFT(B16,3),OFFSET(CalibData!$C$78,1,0,100),0),Y15)</f>
        <v>33</v>
      </c>
      <c r="Z16" s="436"/>
      <c r="AA16" s="436"/>
      <c r="AB16" s="358">
        <f ca="1">1-AB15</f>
        <v>3.0000000000000027E-2</v>
      </c>
      <c r="AC16" s="358">
        <f ca="1">1-AC15</f>
        <v>0.12158511058086652</v>
      </c>
    </row>
    <row r="17" spans="2:29" ht="14.25" customHeight="1">
      <c r="B17" s="265" t="s">
        <v>635</v>
      </c>
      <c r="C17" s="402" t="s">
        <v>467</v>
      </c>
      <c r="D17" s="36" t="str">
        <f ca="1">IEAData!H107</f>
        <v>COMHET</v>
      </c>
      <c r="E17" s="64">
        <f ca="1">IEAData!B153*IEAData!B180</f>
        <v>24.368695278879148</v>
      </c>
      <c r="F17" s="64">
        <f ca="1">AuxData!B153*AuxData!B180</f>
        <v>23.851583999999999</v>
      </c>
      <c r="G17" s="69">
        <v>0.95</v>
      </c>
      <c r="H17" s="343" t="str">
        <f t="shared" si="0"/>
        <v>HET</v>
      </c>
      <c r="I17" s="81">
        <v>1.01</v>
      </c>
      <c r="J17" s="6">
        <f t="shared" si="1"/>
        <v>0.95</v>
      </c>
      <c r="K17" s="6">
        <f t="shared" si="2"/>
        <v>0.95048258421076803</v>
      </c>
      <c r="L17" s="38">
        <f t="shared" ca="1" si="3"/>
        <v>22.670515197840206</v>
      </c>
      <c r="M17" s="19">
        <v>1</v>
      </c>
      <c r="N17" s="66">
        <v>0.25</v>
      </c>
      <c r="O17" s="68">
        <v>20</v>
      </c>
      <c r="P17" s="161">
        <f t="shared" ca="1" si="7"/>
        <v>92.601042059740763</v>
      </c>
      <c r="Q17" s="104">
        <f t="shared" ca="1" si="8"/>
        <v>90.682060791360826</v>
      </c>
      <c r="R17" s="118">
        <f ca="1">Q17*0.75</f>
        <v>68.011545593520623</v>
      </c>
      <c r="S17" s="351">
        <f ca="1">R17*0.5</f>
        <v>34.005772796760311</v>
      </c>
      <c r="T17" s="53"/>
      <c r="U17" s="53"/>
      <c r="V17" s="53">
        <f t="shared" ca="1" si="5"/>
        <v>0.26595744680851069</v>
      </c>
      <c r="W17" s="258">
        <f t="shared" ca="1" si="6"/>
        <v>0.54524200441961801</v>
      </c>
      <c r="Y17" s="430">
        <f ca="1">IF(B16="*",MATCH(LEFT(B17,3),OFFSET(CalibData!$C$78,1,0,100),0),Y16)</f>
        <v>33</v>
      </c>
      <c r="Z17" s="436"/>
      <c r="AA17" s="436"/>
      <c r="AB17" s="299"/>
      <c r="AC17" s="299"/>
    </row>
    <row r="18" spans="2:29" ht="14.25" customHeight="1" thickBot="1">
      <c r="B18" s="266" t="s">
        <v>152</v>
      </c>
      <c r="C18" s="403" t="s">
        <v>468</v>
      </c>
      <c r="D18" s="24" t="str">
        <f ca="1">IEAData!H108</f>
        <v>COMGEO</v>
      </c>
      <c r="E18" s="34">
        <f ca="1">IEAData!B154*IEAData!B181</f>
        <v>0</v>
      </c>
      <c r="F18" s="34">
        <f ca="1">AuxData!B154*AuxData!B181</f>
        <v>0</v>
      </c>
      <c r="G18" s="71">
        <v>0.95</v>
      </c>
      <c r="H18" s="343" t="str">
        <f t="shared" si="0"/>
        <v>GEO</v>
      </c>
      <c r="I18" s="81">
        <v>1.01</v>
      </c>
      <c r="J18" s="6">
        <f t="shared" si="1"/>
        <v>0.95</v>
      </c>
      <c r="K18" s="6">
        <f t="shared" si="2"/>
        <v>0.95048258421076803</v>
      </c>
      <c r="L18" s="38">
        <f t="shared" ca="1" si="3"/>
        <v>0</v>
      </c>
      <c r="M18" s="73">
        <v>1</v>
      </c>
      <c r="N18" s="86">
        <v>0.25</v>
      </c>
      <c r="O18" s="72">
        <v>20</v>
      </c>
      <c r="P18" s="162">
        <f t="shared" ca="1" si="7"/>
        <v>0</v>
      </c>
      <c r="Q18" s="104">
        <f t="shared" ca="1" si="8"/>
        <v>0</v>
      </c>
      <c r="R18" s="20"/>
      <c r="S18" s="352">
        <f ca="1">P18*0.4</f>
        <v>0</v>
      </c>
      <c r="T18" s="54"/>
      <c r="U18" s="54"/>
      <c r="V18" s="53">
        <f t="shared" ca="1" si="5"/>
        <v>0.26595744680851069</v>
      </c>
      <c r="W18" s="258">
        <f t="shared" ca="1" si="6"/>
        <v>0</v>
      </c>
      <c r="Y18" s="430">
        <f ca="1">IF(B17="*",MATCH(LEFT(B18,3),OFFSET(CalibData!$C$78,1,0,100),0),Y17)</f>
        <v>33</v>
      </c>
      <c r="Z18" s="436"/>
      <c r="AA18" s="436"/>
      <c r="AB18" s="362"/>
      <c r="AC18" s="362"/>
    </row>
    <row r="19" spans="2:29" ht="14.25" customHeight="1" thickBot="1">
      <c r="B19" s="434" t="s">
        <v>999</v>
      </c>
      <c r="C19" s="190" t="s">
        <v>1001</v>
      </c>
      <c r="D19" s="190"/>
      <c r="E19" s="191">
        <f ca="1">SUM(E7:E18)</f>
        <v>44.693356493724963</v>
      </c>
      <c r="F19" s="191">
        <f ca="1">SUM(F7:F18)</f>
        <v>41.658948588397763</v>
      </c>
      <c r="G19" s="191"/>
      <c r="H19" s="191">
        <f ca="1">SUMPRODUCT(E$7:E18,J$7:J18)</f>
        <v>39.948616365019191</v>
      </c>
      <c r="I19" s="190"/>
      <c r="J19" s="193"/>
      <c r="K19" s="191">
        <f ca="1">SUMPRODUCT(F7:F18,K7:K18)</f>
        <v>37.919080418687727</v>
      </c>
      <c r="L19" s="191">
        <f ca="1">SUM(L7:L18)</f>
        <v>37.919080418687727</v>
      </c>
      <c r="M19" s="190"/>
      <c r="N19" s="190"/>
      <c r="O19" s="191"/>
      <c r="P19" s="192">
        <f ca="1">SUM(P7:P18)</f>
        <v>159.79446546007676</v>
      </c>
      <c r="Q19" s="190"/>
      <c r="R19" s="190"/>
      <c r="S19" s="192"/>
      <c r="T19" s="190"/>
      <c r="U19" s="190"/>
      <c r="V19" s="190"/>
      <c r="W19" s="259">
        <f ca="1">SUM(W7:W18)</f>
        <v>1</v>
      </c>
      <c r="Y19" s="190"/>
      <c r="Z19" s="190"/>
      <c r="AA19" s="190"/>
      <c r="AB19" s="190"/>
      <c r="AC19" s="190"/>
    </row>
    <row r="20" spans="2:29" ht="14.25" customHeight="1">
      <c r="B20" s="76" t="s">
        <v>78</v>
      </c>
      <c r="C20" s="378" t="s">
        <v>469</v>
      </c>
      <c r="D20" s="36" t="str">
        <f ca="1">IEAData!H99</f>
        <v>COMNGA</v>
      </c>
      <c r="E20" s="85">
        <f ca="1">AB20*IEAData!C145*IEAData!B172</f>
        <v>0</v>
      </c>
      <c r="F20" s="85">
        <f ca="1">AC20*AuxData!C145*AuxData!B172</f>
        <v>0</v>
      </c>
      <c r="G20" s="29">
        <v>0.8</v>
      </c>
      <c r="H20" s="343" t="str">
        <f t="shared" ref="H20:H31" si="9">RIGHT(D20,3)</f>
        <v>NGA</v>
      </c>
      <c r="I20" s="81">
        <v>1.01</v>
      </c>
      <c r="J20" s="6">
        <f t="shared" ref="J20:J31" si="10">G20</f>
        <v>0.8</v>
      </c>
      <c r="K20" s="6">
        <f t="shared" ref="K20:K31" si="11">J20^IF(J20&gt;1,I20,1/I20)</f>
        <v>0.80176942758945924</v>
      </c>
      <c r="L20" s="38">
        <f t="shared" ref="L20:L31" ca="1" si="12">F20*K20</f>
        <v>0</v>
      </c>
      <c r="M20" s="19">
        <v>1</v>
      </c>
      <c r="N20" s="32">
        <v>0.26</v>
      </c>
      <c r="O20" s="32">
        <v>20</v>
      </c>
      <c r="P20" s="161">
        <f t="shared" ref="P20:P31" ca="1" si="13">J20*E20/$N20</f>
        <v>0</v>
      </c>
      <c r="Q20" s="104">
        <f t="shared" ref="Q20:Q31" ca="1" si="14">K20*F20/N20</f>
        <v>0</v>
      </c>
      <c r="R20" s="104"/>
      <c r="S20" s="40">
        <v>0</v>
      </c>
      <c r="T20" s="40"/>
      <c r="U20" s="40">
        <v>3</v>
      </c>
      <c r="V20" s="40">
        <f t="shared" ref="V20:V31" si="15">N20*$I$42</f>
        <v>0.26</v>
      </c>
      <c r="W20" s="258">
        <f t="shared" ref="W20:W31" ca="1" si="16">IF($E$32=0,0,E20/$E$32)</f>
        <v>0</v>
      </c>
      <c r="Y20" s="430">
        <f ca="1">IF(B19="*",MATCH(LEFT(B20,3),OFFSET(CalibData!$C$78,1,0,100),0),Y19)</f>
        <v>35</v>
      </c>
      <c r="Z20" s="436"/>
      <c r="AA20" s="436"/>
      <c r="AB20" s="361">
        <f ca="1">OFFSET(TechShar,$Y20,AB$3)</f>
        <v>1</v>
      </c>
      <c r="AC20" s="361">
        <f ca="1">OFFSET(TechShar,$Y20,AC$3)</f>
        <v>1</v>
      </c>
    </row>
    <row r="21" spans="2:29" ht="14.25" customHeight="1">
      <c r="B21" s="76" t="s">
        <v>79</v>
      </c>
      <c r="C21" s="378" t="s">
        <v>470</v>
      </c>
      <c r="D21" s="36" t="str">
        <f ca="1">IEAData!H99</f>
        <v>COMNGA</v>
      </c>
      <c r="E21" s="64">
        <f ca="1">AB21*IEAData!C145*IEAData!B172</f>
        <v>0</v>
      </c>
      <c r="F21" s="64">
        <f ca="1">AB21*AuxData!C145*AuxData!B172</f>
        <v>0</v>
      </c>
      <c r="G21" s="29">
        <v>1.9</v>
      </c>
      <c r="H21" s="343" t="str">
        <f t="shared" si="9"/>
        <v>NGA</v>
      </c>
      <c r="I21" s="81">
        <v>1.01</v>
      </c>
      <c r="J21" s="6">
        <f t="shared" si="10"/>
        <v>1.9</v>
      </c>
      <c r="K21" s="6">
        <f t="shared" si="11"/>
        <v>1.9122344454666194</v>
      </c>
      <c r="L21" s="38">
        <f t="shared" ca="1" si="12"/>
        <v>0</v>
      </c>
      <c r="M21" s="19">
        <v>1</v>
      </c>
      <c r="N21" s="32">
        <v>0.26</v>
      </c>
      <c r="O21" s="32">
        <v>20</v>
      </c>
      <c r="P21" s="161">
        <f t="shared" ca="1" si="13"/>
        <v>0</v>
      </c>
      <c r="Q21" s="104">
        <f t="shared" ca="1" si="14"/>
        <v>0</v>
      </c>
      <c r="R21" s="104"/>
      <c r="S21" s="40">
        <v>0</v>
      </c>
      <c r="T21" s="40"/>
      <c r="U21" s="40">
        <v>3</v>
      </c>
      <c r="V21" s="40">
        <f t="shared" si="15"/>
        <v>0.26</v>
      </c>
      <c r="W21" s="258">
        <f t="shared" ca="1" si="16"/>
        <v>0</v>
      </c>
      <c r="Y21" s="430">
        <f ca="1">IF(B20="*",MATCH(LEFT(B21,3),OFFSET(CalibData!$C$78,1,0,100),0),Y20)</f>
        <v>35</v>
      </c>
      <c r="Z21" s="436"/>
      <c r="AA21" s="436"/>
      <c r="AB21" s="358">
        <f ca="1">1-AB20</f>
        <v>0</v>
      </c>
      <c r="AC21" s="358">
        <f ca="1">1-AC20</f>
        <v>0</v>
      </c>
    </row>
    <row r="22" spans="2:29" ht="14.25" customHeight="1">
      <c r="B22" s="76" t="s">
        <v>263</v>
      </c>
      <c r="C22" s="378" t="s">
        <v>472</v>
      </c>
      <c r="D22" s="36" t="str">
        <f ca="1">IEAData!H100</f>
        <v>COMDST</v>
      </c>
      <c r="E22" s="64">
        <f ca="1">IEAData!C146*IEAData!B173</f>
        <v>0</v>
      </c>
      <c r="F22" s="64">
        <f ca="1">AuxData!C146*AuxData!B173</f>
        <v>0</v>
      </c>
      <c r="G22" s="29">
        <v>0.78</v>
      </c>
      <c r="H22" s="343" t="str">
        <f t="shared" si="9"/>
        <v>DST</v>
      </c>
      <c r="I22" s="81">
        <v>1.01</v>
      </c>
      <c r="J22" s="6">
        <f t="shared" si="10"/>
        <v>0.78</v>
      </c>
      <c r="K22" s="6">
        <f t="shared" si="11"/>
        <v>0.78192117258390115</v>
      </c>
      <c r="L22" s="38">
        <f t="shared" ca="1" si="12"/>
        <v>0</v>
      </c>
      <c r="M22" s="19">
        <v>1</v>
      </c>
      <c r="N22" s="32">
        <v>0.26</v>
      </c>
      <c r="O22" s="32">
        <v>20</v>
      </c>
      <c r="P22" s="161">
        <f t="shared" ca="1" si="13"/>
        <v>0</v>
      </c>
      <c r="Q22" s="104">
        <f t="shared" ca="1" si="14"/>
        <v>0</v>
      </c>
      <c r="R22" s="104"/>
      <c r="S22" s="40">
        <v>0</v>
      </c>
      <c r="T22" s="40"/>
      <c r="U22" s="40">
        <v>1</v>
      </c>
      <c r="V22" s="40">
        <f t="shared" si="15"/>
        <v>0.26</v>
      </c>
      <c r="W22" s="258">
        <f t="shared" ca="1" si="16"/>
        <v>0</v>
      </c>
      <c r="Y22" s="430">
        <f ca="1">IF(B21="*",MATCH(LEFT(B22,3),OFFSET(CalibData!$C$78,1,0,100),0),Y21)</f>
        <v>35</v>
      </c>
      <c r="Z22" s="436"/>
      <c r="AA22" s="436"/>
      <c r="AB22" s="294"/>
      <c r="AC22" s="294"/>
    </row>
    <row r="23" spans="2:29" ht="14.25" customHeight="1">
      <c r="B23" s="265" t="s">
        <v>264</v>
      </c>
      <c r="C23" s="402" t="s">
        <v>473</v>
      </c>
      <c r="D23" s="36" t="str">
        <f ca="1">IEAData!H101</f>
        <v>COMHFO</v>
      </c>
      <c r="E23" s="64">
        <f ca="1">IEAData!C147*IEAData!B174</f>
        <v>0</v>
      </c>
      <c r="F23" s="64">
        <f ca="1">AuxData!C147*AuxData!B174</f>
        <v>0</v>
      </c>
      <c r="G23" s="69">
        <v>0.75</v>
      </c>
      <c r="H23" s="343" t="str">
        <f t="shared" si="9"/>
        <v>HFO</v>
      </c>
      <c r="I23" s="81">
        <v>1.01</v>
      </c>
      <c r="J23" s="6">
        <f t="shared" si="10"/>
        <v>0.75</v>
      </c>
      <c r="K23" s="6">
        <f t="shared" si="11"/>
        <v>0.75213929828851755</v>
      </c>
      <c r="L23" s="38">
        <f t="shared" ca="1" si="12"/>
        <v>0</v>
      </c>
      <c r="M23" s="19">
        <v>1</v>
      </c>
      <c r="N23" s="32">
        <v>0.26</v>
      </c>
      <c r="O23" s="68">
        <v>20</v>
      </c>
      <c r="P23" s="161">
        <f t="shared" ca="1" si="13"/>
        <v>0</v>
      </c>
      <c r="Q23" s="104">
        <f t="shared" ca="1" si="14"/>
        <v>0</v>
      </c>
      <c r="R23" s="104"/>
      <c r="S23" s="53">
        <v>0</v>
      </c>
      <c r="T23" s="53"/>
      <c r="U23" s="40">
        <v>8</v>
      </c>
      <c r="V23" s="40">
        <f t="shared" si="15"/>
        <v>0.26</v>
      </c>
      <c r="W23" s="258">
        <f t="shared" ca="1" si="16"/>
        <v>0</v>
      </c>
      <c r="Y23" s="430">
        <f ca="1">IF(B22="*",MATCH(LEFT(B23,3),OFFSET(CalibData!$C$78,1,0,100),0),Y22)</f>
        <v>35</v>
      </c>
      <c r="Z23" s="436"/>
      <c r="AA23" s="436"/>
      <c r="AB23" s="294"/>
      <c r="AC23" s="294"/>
    </row>
    <row r="24" spans="2:29" ht="14.25" customHeight="1">
      <c r="B24" s="265" t="s">
        <v>265</v>
      </c>
      <c r="C24" s="402" t="s">
        <v>474</v>
      </c>
      <c r="D24" s="36" t="str">
        <f ca="1">IEAData!H102</f>
        <v>COMKER</v>
      </c>
      <c r="E24" s="64">
        <f ca="1">IEAData!C148*IEAData!B175</f>
        <v>0</v>
      </c>
      <c r="F24" s="64">
        <f ca="1">AuxData!C148*AuxData!B175</f>
        <v>0</v>
      </c>
      <c r="G24" s="69">
        <v>0.65</v>
      </c>
      <c r="H24" s="343" t="str">
        <f t="shared" si="9"/>
        <v>KER</v>
      </c>
      <c r="I24" s="81">
        <v>1.01</v>
      </c>
      <c r="J24" s="6">
        <f t="shared" si="10"/>
        <v>0.65</v>
      </c>
      <c r="K24" s="6">
        <f t="shared" si="11"/>
        <v>0.65277828603114285</v>
      </c>
      <c r="L24" s="38">
        <f t="shared" ca="1" si="12"/>
        <v>0</v>
      </c>
      <c r="M24" s="19">
        <v>1</v>
      </c>
      <c r="N24" s="32">
        <v>0.26</v>
      </c>
      <c r="O24" s="68">
        <v>20</v>
      </c>
      <c r="P24" s="161">
        <f t="shared" ca="1" si="13"/>
        <v>0</v>
      </c>
      <c r="Q24" s="104">
        <f t="shared" ca="1" si="14"/>
        <v>0</v>
      </c>
      <c r="R24" s="104"/>
      <c r="S24" s="40">
        <v>0</v>
      </c>
      <c r="T24" s="40"/>
      <c r="U24" s="40">
        <v>6</v>
      </c>
      <c r="V24" s="40">
        <f t="shared" si="15"/>
        <v>0.26</v>
      </c>
      <c r="W24" s="258">
        <f t="shared" ca="1" si="16"/>
        <v>0</v>
      </c>
      <c r="Y24" s="430">
        <f ca="1">IF(B23="*",MATCH(LEFT(B24,3),OFFSET(CalibData!$C$78,1,0,100),0),Y23)</f>
        <v>35</v>
      </c>
      <c r="Z24" s="436"/>
      <c r="AA24" s="436"/>
      <c r="AB24" s="294"/>
      <c r="AC24" s="294"/>
    </row>
    <row r="25" spans="2:29" ht="14.25" customHeight="1">
      <c r="B25" s="76" t="s">
        <v>1023</v>
      </c>
      <c r="C25" s="378" t="s">
        <v>1025</v>
      </c>
      <c r="D25" s="36" t="str">
        <f ca="1">IEAData!H103</f>
        <v>COMCOP</v>
      </c>
      <c r="E25" s="64">
        <f ca="1">IEAData!C149*IEAData!B176</f>
        <v>0</v>
      </c>
      <c r="F25" s="64">
        <f ca="1">AuxData!C149*AuxData!B176</f>
        <v>0</v>
      </c>
      <c r="G25" s="30">
        <v>0.65</v>
      </c>
      <c r="H25" s="343" t="str">
        <f t="shared" si="9"/>
        <v>COP</v>
      </c>
      <c r="I25" s="81">
        <v>1.01</v>
      </c>
      <c r="J25" s="6">
        <f t="shared" si="10"/>
        <v>0.65</v>
      </c>
      <c r="K25" s="6">
        <f t="shared" si="11"/>
        <v>0.65277828603114285</v>
      </c>
      <c r="L25" s="38">
        <f t="shared" ca="1" si="12"/>
        <v>0</v>
      </c>
      <c r="M25" s="19">
        <v>1</v>
      </c>
      <c r="N25" s="32">
        <v>0.26</v>
      </c>
      <c r="O25" s="32">
        <v>20</v>
      </c>
      <c r="P25" s="161">
        <f t="shared" ca="1" si="13"/>
        <v>0</v>
      </c>
      <c r="Q25" s="104">
        <f t="shared" ca="1" si="14"/>
        <v>0</v>
      </c>
      <c r="R25" s="104"/>
      <c r="S25" s="40">
        <v>0</v>
      </c>
      <c r="T25" s="40"/>
      <c r="U25" s="40">
        <v>4</v>
      </c>
      <c r="V25" s="40">
        <f t="shared" si="15"/>
        <v>0.26</v>
      </c>
      <c r="W25" s="258">
        <f t="shared" ca="1" si="16"/>
        <v>0</v>
      </c>
      <c r="Y25" s="430">
        <f ca="1">IF(B24="*",MATCH(LEFT(B25,3),OFFSET(CalibData!$C$78,1,0,100),0),Y24)</f>
        <v>35</v>
      </c>
      <c r="Z25" s="436"/>
      <c r="AA25" s="436"/>
      <c r="AB25" s="294"/>
      <c r="AC25" s="294"/>
    </row>
    <row r="26" spans="2:29" ht="14.25" customHeight="1">
      <c r="B26" s="76" t="s">
        <v>266</v>
      </c>
      <c r="C26" s="378" t="s">
        <v>475</v>
      </c>
      <c r="D26" s="36" t="str">
        <f ca="1">IEAData!H104</f>
        <v>COMLPG</v>
      </c>
      <c r="E26" s="64">
        <f ca="1">IEAData!C150*IEAData!B177</f>
        <v>0</v>
      </c>
      <c r="F26" s="64">
        <f ca="1">AuxData!C150*AuxData!B177</f>
        <v>0</v>
      </c>
      <c r="G26" s="29">
        <v>0.75</v>
      </c>
      <c r="H26" s="343" t="str">
        <f t="shared" si="9"/>
        <v>LPG</v>
      </c>
      <c r="I26" s="81">
        <v>1.01</v>
      </c>
      <c r="J26" s="6">
        <f t="shared" si="10"/>
        <v>0.75</v>
      </c>
      <c r="K26" s="6">
        <f t="shared" si="11"/>
        <v>0.75213929828851755</v>
      </c>
      <c r="L26" s="38">
        <f t="shared" ca="1" si="12"/>
        <v>0</v>
      </c>
      <c r="M26" s="19">
        <v>1</v>
      </c>
      <c r="N26" s="32">
        <v>0.26</v>
      </c>
      <c r="O26" s="32">
        <v>20</v>
      </c>
      <c r="P26" s="161">
        <f t="shared" ca="1" si="13"/>
        <v>0</v>
      </c>
      <c r="Q26" s="104">
        <f t="shared" ca="1" si="14"/>
        <v>0</v>
      </c>
      <c r="R26" s="104"/>
      <c r="S26" s="40">
        <v>0</v>
      </c>
      <c r="T26" s="40"/>
      <c r="U26" s="40">
        <v>2</v>
      </c>
      <c r="V26" s="40">
        <f t="shared" si="15"/>
        <v>0.26</v>
      </c>
      <c r="W26" s="258">
        <f t="shared" ca="1" si="16"/>
        <v>0</v>
      </c>
      <c r="Y26" s="430">
        <f ca="1">IF(B25="*",MATCH(LEFT(B26,3),OFFSET(CalibData!$C$78,1,0,100),0),Y25)</f>
        <v>35</v>
      </c>
      <c r="Z26" s="436"/>
      <c r="AA26" s="436"/>
      <c r="AB26" s="294"/>
      <c r="AC26" s="294"/>
    </row>
    <row r="27" spans="2:29" ht="14.25" customHeight="1">
      <c r="B27" s="76" t="s">
        <v>267</v>
      </c>
      <c r="C27" s="378" t="s">
        <v>476</v>
      </c>
      <c r="D27" s="36" t="str">
        <f ca="1">IEAData!H105</f>
        <v>COMBIO</v>
      </c>
      <c r="E27" s="64">
        <f ca="1">IEAData!C151*IEAData!B178</f>
        <v>0</v>
      </c>
      <c r="F27" s="64">
        <f ca="1">AuxData!C151*AuxData!B178</f>
        <v>0</v>
      </c>
      <c r="G27" s="30">
        <f ca="1">0.69*CalibData!$N$131</f>
        <v>0.62790000000000001</v>
      </c>
      <c r="H27" s="343" t="str">
        <f t="shared" si="9"/>
        <v>BIO</v>
      </c>
      <c r="I27" s="81">
        <v>1.01</v>
      </c>
      <c r="J27" s="6">
        <f t="shared" ca="1" si="10"/>
        <v>0.62790000000000001</v>
      </c>
      <c r="K27" s="6">
        <f t="shared" ca="1" si="11"/>
        <v>0.63079982966535686</v>
      </c>
      <c r="L27" s="38">
        <f t="shared" ca="1" si="12"/>
        <v>0</v>
      </c>
      <c r="M27" s="19">
        <v>1</v>
      </c>
      <c r="N27" s="32">
        <v>0.26</v>
      </c>
      <c r="O27" s="32">
        <v>20</v>
      </c>
      <c r="P27" s="161">
        <f t="shared" ca="1" si="13"/>
        <v>0</v>
      </c>
      <c r="Q27" s="104">
        <f t="shared" ca="1" si="14"/>
        <v>0</v>
      </c>
      <c r="R27" s="104"/>
      <c r="S27" s="40">
        <v>0</v>
      </c>
      <c r="T27" s="40"/>
      <c r="U27" s="40">
        <v>5</v>
      </c>
      <c r="V27" s="40">
        <f t="shared" si="15"/>
        <v>0.26</v>
      </c>
      <c r="W27" s="258">
        <f t="shared" ca="1" si="16"/>
        <v>0</v>
      </c>
      <c r="Y27" s="430">
        <f ca="1">IF(B26="*",MATCH(LEFT(B27,3),OFFSET(CalibData!$C$78,1,0,100),0),Y26)</f>
        <v>35</v>
      </c>
      <c r="Z27" s="436"/>
      <c r="AA27" s="436"/>
      <c r="AB27" s="294"/>
      <c r="AC27" s="294"/>
    </row>
    <row r="28" spans="2:29" ht="14.25" customHeight="1">
      <c r="B28" s="76" t="s">
        <v>81</v>
      </c>
      <c r="C28" s="378" t="s">
        <v>477</v>
      </c>
      <c r="D28" s="82" t="s">
        <v>842</v>
      </c>
      <c r="E28" s="64">
        <f ca="1">AB28*IEAData!C152*IEAData!B179</f>
        <v>0</v>
      </c>
      <c r="F28" s="64">
        <f ca="1">AC28*AuxData!C152*AuxData!B179</f>
        <v>0</v>
      </c>
      <c r="G28" s="30">
        <v>1</v>
      </c>
      <c r="H28" s="343" t="str">
        <f t="shared" si="9"/>
        <v>ELC</v>
      </c>
      <c r="I28" s="81">
        <v>1.01</v>
      </c>
      <c r="J28" s="6">
        <f t="shared" si="10"/>
        <v>1</v>
      </c>
      <c r="K28" s="6">
        <f t="shared" si="11"/>
        <v>1</v>
      </c>
      <c r="L28" s="38">
        <f t="shared" ca="1" si="12"/>
        <v>0</v>
      </c>
      <c r="M28" s="19">
        <v>1</v>
      </c>
      <c r="N28" s="32">
        <v>0.26</v>
      </c>
      <c r="O28" s="32">
        <v>20</v>
      </c>
      <c r="P28" s="161">
        <f t="shared" ca="1" si="13"/>
        <v>0</v>
      </c>
      <c r="Q28" s="104">
        <f t="shared" ca="1" si="14"/>
        <v>0</v>
      </c>
      <c r="R28" s="104"/>
      <c r="S28" s="40">
        <v>0</v>
      </c>
      <c r="T28" s="40"/>
      <c r="U28" s="40">
        <v>6</v>
      </c>
      <c r="V28" s="40">
        <f t="shared" si="15"/>
        <v>0.26</v>
      </c>
      <c r="W28" s="258">
        <f t="shared" ca="1" si="16"/>
        <v>0</v>
      </c>
      <c r="Y28" s="430">
        <f ca="1">IF(B27="*",MATCH(LEFT(B28,3),OFFSET(CalibData!$C$78,1,0,100),0),Y27)</f>
        <v>35</v>
      </c>
      <c r="Z28" s="436"/>
      <c r="AA28" s="436"/>
      <c r="AB28" s="361">
        <f ca="1">OFFSET(TechShar,$Y28+1,AB$3)</f>
        <v>0.755</v>
      </c>
      <c r="AC28" s="361">
        <f ca="1">OFFSET(TechShar,$Y28+1,AC$3)</f>
        <v>0.755</v>
      </c>
    </row>
    <row r="29" spans="2:29" ht="14.25" customHeight="1">
      <c r="B29" s="265" t="s">
        <v>923</v>
      </c>
      <c r="C29" s="402" t="s">
        <v>478</v>
      </c>
      <c r="D29" s="82" t="s">
        <v>952</v>
      </c>
      <c r="E29" s="64">
        <f ca="1">AB29*IEAData!C152*IEAData!B179</f>
        <v>0</v>
      </c>
      <c r="F29" s="64">
        <f ca="1">AC29*AuxData!C152*AuxData!B179</f>
        <v>0</v>
      </c>
      <c r="G29" s="65">
        <v>2</v>
      </c>
      <c r="H29" s="343" t="str">
        <f t="shared" si="9"/>
        <v>ELC</v>
      </c>
      <c r="I29" s="81">
        <v>1.01</v>
      </c>
      <c r="J29" s="6">
        <f t="shared" si="10"/>
        <v>2</v>
      </c>
      <c r="K29" s="6">
        <f t="shared" si="11"/>
        <v>2.0139111001134378</v>
      </c>
      <c r="L29" s="38">
        <f t="shared" ca="1" si="12"/>
        <v>0</v>
      </c>
      <c r="M29" s="19">
        <v>1</v>
      </c>
      <c r="N29" s="32">
        <v>0.26</v>
      </c>
      <c r="O29" s="66">
        <v>15</v>
      </c>
      <c r="P29" s="161">
        <f t="shared" ca="1" si="13"/>
        <v>0</v>
      </c>
      <c r="Q29" s="104">
        <f t="shared" ca="1" si="14"/>
        <v>0</v>
      </c>
      <c r="R29" s="104"/>
      <c r="S29" s="53">
        <v>0</v>
      </c>
      <c r="T29" s="53"/>
      <c r="U29" s="53">
        <v>7</v>
      </c>
      <c r="V29" s="40">
        <f t="shared" si="15"/>
        <v>0.26</v>
      </c>
      <c r="W29" s="258">
        <f t="shared" ca="1" si="16"/>
        <v>0</v>
      </c>
      <c r="Y29" s="430">
        <f ca="1">IF(B28="*",MATCH(LEFT(B29,3),OFFSET(CalibData!$C$78,1,0,100),0),Y28)</f>
        <v>35</v>
      </c>
      <c r="Z29" s="436"/>
      <c r="AA29" s="436"/>
      <c r="AB29" s="358">
        <f ca="1">1-AB28</f>
        <v>0.245</v>
      </c>
      <c r="AC29" s="358">
        <f ca="1">1-AC28</f>
        <v>0.245</v>
      </c>
    </row>
    <row r="30" spans="2:29" ht="14.25" customHeight="1">
      <c r="B30" s="265" t="s">
        <v>270</v>
      </c>
      <c r="C30" s="402" t="s">
        <v>479</v>
      </c>
      <c r="D30" s="36" t="str">
        <f ca="1">IEAData!H107</f>
        <v>COMHET</v>
      </c>
      <c r="E30" s="64">
        <f ca="1">IEAData!C153*IEAData!B180</f>
        <v>0</v>
      </c>
      <c r="F30" s="64">
        <f ca="1">AuxData!C153*AuxData!B180</f>
        <v>0</v>
      </c>
      <c r="G30" s="69">
        <v>0.95</v>
      </c>
      <c r="H30" s="343" t="str">
        <f t="shared" si="9"/>
        <v>HET</v>
      </c>
      <c r="I30" s="81">
        <v>1.01</v>
      </c>
      <c r="J30" s="6">
        <f t="shared" si="10"/>
        <v>0.95</v>
      </c>
      <c r="K30" s="6">
        <f t="shared" si="11"/>
        <v>0.95048258421076803</v>
      </c>
      <c r="L30" s="38">
        <f t="shared" ca="1" si="12"/>
        <v>0</v>
      </c>
      <c r="M30" s="19">
        <v>1</v>
      </c>
      <c r="N30" s="66">
        <v>0.26</v>
      </c>
      <c r="O30" s="68">
        <v>20</v>
      </c>
      <c r="P30" s="161">
        <f t="shared" ca="1" si="13"/>
        <v>0</v>
      </c>
      <c r="Q30" s="104">
        <f t="shared" ca="1" si="14"/>
        <v>0</v>
      </c>
      <c r="R30" s="118"/>
      <c r="S30" s="53">
        <v>0</v>
      </c>
      <c r="T30" s="53"/>
      <c r="U30" s="53">
        <v>9</v>
      </c>
      <c r="V30" s="53">
        <f t="shared" si="15"/>
        <v>0.26</v>
      </c>
      <c r="W30" s="258">
        <f t="shared" ca="1" si="16"/>
        <v>0</v>
      </c>
      <c r="Y30" s="430">
        <f ca="1">IF(B29="*",MATCH(LEFT(B30,3),OFFSET(CalibData!$C$78,1,0,100),0),Y29)</f>
        <v>35</v>
      </c>
      <c r="Z30" s="436"/>
      <c r="AA30" s="436"/>
      <c r="AB30" s="299"/>
      <c r="AC30" s="299"/>
    </row>
    <row r="31" spans="2:29" ht="14.25" customHeight="1" thickBot="1">
      <c r="B31" s="266" t="s">
        <v>153</v>
      </c>
      <c r="C31" s="403" t="s">
        <v>480</v>
      </c>
      <c r="D31" s="24" t="str">
        <f ca="1">IEAData!H108</f>
        <v>COMGEO</v>
      </c>
      <c r="E31" s="34">
        <f ca="1">IEAData!C154*IEAData!B181</f>
        <v>0</v>
      </c>
      <c r="F31" s="34">
        <f ca="1">AuxData!C154*AuxData!B181</f>
        <v>0</v>
      </c>
      <c r="G31" s="71">
        <v>0.95</v>
      </c>
      <c r="H31" s="343" t="str">
        <f t="shared" si="9"/>
        <v>GEO</v>
      </c>
      <c r="I31" s="81">
        <v>1.01</v>
      </c>
      <c r="J31" s="6">
        <f t="shared" si="10"/>
        <v>0.95</v>
      </c>
      <c r="K31" s="6">
        <f t="shared" si="11"/>
        <v>0.95048258421076803</v>
      </c>
      <c r="L31" s="38">
        <f t="shared" ca="1" si="12"/>
        <v>0</v>
      </c>
      <c r="M31" s="73">
        <v>1</v>
      </c>
      <c r="N31" s="86">
        <v>0.26</v>
      </c>
      <c r="O31" s="72">
        <v>20</v>
      </c>
      <c r="P31" s="162">
        <f t="shared" ca="1" si="13"/>
        <v>0</v>
      </c>
      <c r="Q31" s="104">
        <f t="shared" ca="1" si="14"/>
        <v>0</v>
      </c>
      <c r="R31" s="20"/>
      <c r="S31" s="54">
        <v>0</v>
      </c>
      <c r="T31" s="54"/>
      <c r="U31" s="54">
        <v>9</v>
      </c>
      <c r="V31" s="53">
        <f t="shared" si="15"/>
        <v>0.26</v>
      </c>
      <c r="W31" s="258">
        <f t="shared" ca="1" si="16"/>
        <v>0</v>
      </c>
      <c r="Y31" s="430">
        <f ca="1">IF(B30="*",MATCH(LEFT(B31,3),OFFSET(CalibData!$C$78,1,0,100),0),Y30)</f>
        <v>35</v>
      </c>
      <c r="Z31" s="436"/>
      <c r="AA31" s="436"/>
      <c r="AB31" s="362"/>
      <c r="AC31" s="362"/>
    </row>
    <row r="32" spans="2:29" ht="14.25" customHeight="1">
      <c r="B32" s="434" t="s">
        <v>999</v>
      </c>
      <c r="C32" s="190" t="s">
        <v>1001</v>
      </c>
      <c r="D32" s="190"/>
      <c r="E32" s="191">
        <f ca="1">SUM(E20:E31)</f>
        <v>0</v>
      </c>
      <c r="F32" s="191">
        <f ca="1">SUM(F20:F31)</f>
        <v>0</v>
      </c>
      <c r="G32" s="191"/>
      <c r="H32" s="191">
        <f ca="1">SUMPRODUCT(E$20:E31,J$20:J31)</f>
        <v>0</v>
      </c>
      <c r="I32" s="190"/>
      <c r="J32" s="193"/>
      <c r="K32" s="191">
        <f ca="1">SUMPRODUCT(F20:F31,K20:K31)</f>
        <v>0</v>
      </c>
      <c r="L32" s="191">
        <f ca="1">SUM(L20:L31)</f>
        <v>0</v>
      </c>
      <c r="M32" s="190"/>
      <c r="N32" s="190"/>
      <c r="O32" s="191"/>
      <c r="P32" s="192">
        <f ca="1">SUM(P20:P31)</f>
        <v>0</v>
      </c>
      <c r="Q32" s="190"/>
      <c r="R32" s="190"/>
      <c r="S32" s="192"/>
      <c r="T32" s="190"/>
      <c r="U32" s="190"/>
      <c r="V32" s="190"/>
      <c r="W32" s="259">
        <f ca="1">SUM(W20:W31)</f>
        <v>0</v>
      </c>
      <c r="Y32" s="190"/>
      <c r="Z32" s="190"/>
      <c r="AA32" s="190"/>
      <c r="AB32" s="190"/>
      <c r="AC32" s="190"/>
    </row>
    <row r="33" spans="2:22">
      <c r="B33" s="123"/>
      <c r="C33" s="55"/>
      <c r="D33" s="55"/>
      <c r="E33" s="57"/>
      <c r="G33" s="57"/>
      <c r="H33" s="57"/>
      <c r="I33" s="55"/>
      <c r="J33" s="254"/>
      <c r="L33" s="57"/>
      <c r="M33" s="55"/>
      <c r="N33" s="55"/>
      <c r="O33" s="57"/>
      <c r="P33" s="161"/>
      <c r="Q33" s="55"/>
      <c r="R33" s="55"/>
      <c r="S33" s="161"/>
      <c r="T33" s="55"/>
      <c r="U33" s="55"/>
      <c r="V33" s="55"/>
    </row>
    <row r="34" spans="2:22">
      <c r="B34" s="123"/>
      <c r="C34" s="55"/>
      <c r="D34" s="256"/>
      <c r="E34" s="57"/>
      <c r="G34" s="57"/>
      <c r="H34" s="57"/>
      <c r="I34" s="55"/>
      <c r="J34" s="254"/>
      <c r="K34" s="57"/>
      <c r="L34" s="55"/>
      <c r="M34" s="55"/>
      <c r="N34" s="57"/>
      <c r="O34" s="161"/>
      <c r="P34" s="55"/>
      <c r="Q34" s="55"/>
      <c r="R34" s="161"/>
      <c r="S34" s="55"/>
      <c r="T34" s="55"/>
      <c r="U34" s="55"/>
      <c r="V34" s="55"/>
    </row>
    <row r="39" spans="2:22" ht="18">
      <c r="B39" s="155" t="s">
        <v>592</v>
      </c>
      <c r="C39" s="156"/>
      <c r="D39" s="252"/>
    </row>
    <row r="40" spans="2:22" ht="13.5" thickBot="1">
      <c r="B40" s="27" t="s">
        <v>384</v>
      </c>
      <c r="C40" s="27" t="s">
        <v>385</v>
      </c>
      <c r="D40" s="27" t="s">
        <v>243</v>
      </c>
      <c r="E40" s="344" t="s">
        <v>942</v>
      </c>
      <c r="F40" s="344" t="s">
        <v>942</v>
      </c>
      <c r="G40" s="344" t="s">
        <v>942</v>
      </c>
      <c r="H40" s="386" t="s">
        <v>974</v>
      </c>
      <c r="I40" s="386" t="s">
        <v>974</v>
      </c>
      <c r="J40" s="27"/>
      <c r="K40" s="27"/>
    </row>
    <row r="41" spans="2:22">
      <c r="B41" s="58" t="s">
        <v>237</v>
      </c>
      <c r="C41" s="28" t="str">
        <f ca="1">CONCATENATE("Commercial Space Heat - ",IEAData!B49)</f>
        <v>Commercial Space Heat - Region1</v>
      </c>
      <c r="D41" s="80" t="s">
        <v>249</v>
      </c>
      <c r="E41" s="342">
        <f ca="1">H19/HT_DD++COM_Fuels!$R$46</f>
        <v>49.078454505647414</v>
      </c>
      <c r="F41" s="342">
        <f ca="1">G45+COM_Fuels!$R$46</f>
        <v>52.665174703752875</v>
      </c>
      <c r="G41" s="342">
        <f ca="1">K19/OFFSET(HT_DD,0,1)+COM_Fuels!$S$46</f>
        <v>52.888588083571875</v>
      </c>
      <c r="H41" s="342">
        <f ca="1">IF(H19&gt;0,(F41-COM_Fuels!$R$46)/H19,1)</f>
        <v>1.0097833398116425</v>
      </c>
      <c r="I41" s="342">
        <f ca="1">IF(K19&gt;0,(G41-COM_Fuels!$S$46)/K19,1)</f>
        <v>1.0638297872340428</v>
      </c>
      <c r="J41" s="18"/>
      <c r="K41" s="18"/>
    </row>
    <row r="42" spans="2:22">
      <c r="B42" s="58" t="s">
        <v>238</v>
      </c>
      <c r="C42" s="28" t="str">
        <f ca="1">CONCATENATE("Commercial Space Heat - ",IEAData!C49)</f>
        <v>Commercial Space Heat - Region2</v>
      </c>
      <c r="D42" s="80" t="s">
        <v>249</v>
      </c>
      <c r="E42" s="63">
        <f ca="1">H32</f>
        <v>0</v>
      </c>
      <c r="F42" s="63">
        <f ca="1">G42</f>
        <v>0</v>
      </c>
      <c r="G42" s="63">
        <f ca="1">K32</f>
        <v>0</v>
      </c>
      <c r="H42" s="367">
        <f ca="1">IF(E42&gt;0,F42/E42,1)</f>
        <v>1</v>
      </c>
      <c r="I42" s="367">
        <v>1</v>
      </c>
      <c r="J42" s="18"/>
      <c r="K42" s="18"/>
    </row>
    <row r="45" spans="2:22">
      <c r="F45" s="498">
        <f ca="1">H19*H41</f>
        <v>40.339447253923119</v>
      </c>
      <c r="G45" s="498">
        <f ca="1">K19*I41</f>
        <v>40.339447253923119</v>
      </c>
      <c r="H45" s="359">
        <f ca="1">(F45+COM_Fuels!R46)</f>
        <v>52.665174703752875</v>
      </c>
      <c r="I45" s="359">
        <f ca="1">(G45+COM_Fuels!S46)</f>
        <v>52.888588083571875</v>
      </c>
      <c r="J45" s="623">
        <f ca="1">F45/H45</f>
        <v>0.76596057035482623</v>
      </c>
      <c r="K45" s="623">
        <f ca="1">G45/I45</f>
        <v>0.76272497935056915</v>
      </c>
    </row>
    <row r="56" spans="3:26">
      <c r="C56" s="123"/>
      <c r="D56" s="123"/>
      <c r="E56" s="123"/>
      <c r="F56" s="123"/>
      <c r="G56" s="123"/>
      <c r="H56" s="128"/>
      <c r="I56" s="123"/>
      <c r="J56" s="123"/>
      <c r="K56" s="123"/>
      <c r="L56" s="123"/>
      <c r="M56" s="123"/>
      <c r="N56" s="123"/>
      <c r="O56" s="123"/>
      <c r="P56" s="128"/>
      <c r="Q56" s="128"/>
      <c r="R56" s="178"/>
      <c r="S56" s="178"/>
      <c r="T56" s="123"/>
      <c r="U56" s="123"/>
      <c r="V56" s="123"/>
      <c r="W56" s="123"/>
      <c r="X56" s="123"/>
      <c r="Y56" s="123"/>
      <c r="Z56" s="123"/>
    </row>
    <row r="57" spans="3:26">
      <c r="C57" s="123"/>
      <c r="D57" s="123"/>
      <c r="E57" s="123"/>
      <c r="F57" s="123"/>
      <c r="G57" s="123"/>
      <c r="H57" s="128"/>
      <c r="I57" s="123"/>
      <c r="J57" s="123"/>
      <c r="K57" s="123"/>
      <c r="L57" s="123"/>
      <c r="M57" s="123"/>
      <c r="N57" s="123"/>
      <c r="O57" s="123"/>
      <c r="P57" s="128"/>
      <c r="Q57" s="128"/>
      <c r="R57" s="178"/>
      <c r="S57" s="178"/>
      <c r="T57" s="123"/>
      <c r="U57" s="123"/>
      <c r="V57" s="123"/>
      <c r="W57" s="123"/>
      <c r="X57" s="123"/>
      <c r="Y57" s="123"/>
      <c r="Z57" s="123"/>
    </row>
    <row r="58" spans="3:26">
      <c r="C58" s="123"/>
      <c r="D58" s="123"/>
      <c r="E58" s="123"/>
      <c r="F58" s="123"/>
      <c r="G58" s="123"/>
      <c r="H58" s="128"/>
      <c r="I58" s="123"/>
      <c r="J58" s="123"/>
      <c r="K58" s="123"/>
      <c r="L58" s="123"/>
      <c r="M58" s="123"/>
      <c r="N58" s="123"/>
      <c r="O58" s="123"/>
      <c r="P58" s="128"/>
      <c r="Q58" s="128"/>
      <c r="R58" s="178"/>
      <c r="S58" s="178"/>
      <c r="T58" s="123"/>
      <c r="U58" s="123"/>
      <c r="V58" s="123"/>
      <c r="W58" s="123"/>
      <c r="X58" s="123"/>
      <c r="Y58" s="123"/>
      <c r="Z58" s="123"/>
    </row>
    <row r="59" spans="3:26">
      <c r="C59" s="123"/>
      <c r="D59" s="123"/>
      <c r="E59" s="123"/>
      <c r="F59" s="123"/>
      <c r="G59" s="123"/>
      <c r="H59" s="128"/>
      <c r="I59" s="123"/>
      <c r="J59" s="123"/>
      <c r="K59" s="123"/>
      <c r="L59" s="123"/>
      <c r="M59" s="123"/>
      <c r="N59" s="123"/>
      <c r="O59" s="123"/>
      <c r="P59" s="128"/>
      <c r="Q59" s="128"/>
      <c r="R59" s="178"/>
      <c r="S59" s="178"/>
      <c r="T59" s="123"/>
      <c r="U59" s="123"/>
      <c r="V59" s="123"/>
      <c r="W59" s="123"/>
      <c r="X59" s="123"/>
      <c r="Y59" s="123"/>
      <c r="Z59" s="123"/>
    </row>
    <row r="60" spans="3:26">
      <c r="C60" s="123"/>
      <c r="D60" s="123"/>
      <c r="E60" s="123"/>
      <c r="F60" s="123"/>
      <c r="G60" s="123"/>
      <c r="H60" s="128"/>
      <c r="I60" s="123"/>
      <c r="J60" s="123"/>
      <c r="K60" s="123"/>
      <c r="L60" s="123"/>
      <c r="M60" s="123"/>
      <c r="N60" s="123"/>
      <c r="O60" s="123"/>
      <c r="P60" s="128"/>
      <c r="Q60" s="128"/>
      <c r="R60" s="178"/>
      <c r="S60" s="178"/>
      <c r="T60" s="123"/>
      <c r="U60" s="123"/>
      <c r="V60" s="123"/>
      <c r="W60" s="123"/>
      <c r="X60" s="123"/>
      <c r="Y60" s="123"/>
      <c r="Z60" s="123"/>
    </row>
    <row r="61" spans="3:26">
      <c r="C61" s="123"/>
      <c r="D61" s="123"/>
      <c r="E61" s="123"/>
      <c r="F61" s="123"/>
      <c r="G61" s="123"/>
      <c r="H61" s="128"/>
      <c r="I61" s="123"/>
      <c r="J61" s="123"/>
      <c r="K61" s="123"/>
      <c r="L61" s="123"/>
      <c r="M61" s="123"/>
      <c r="N61" s="123"/>
      <c r="O61" s="123"/>
      <c r="P61" s="128"/>
      <c r="Q61" s="128"/>
      <c r="R61" s="178"/>
      <c r="S61" s="178"/>
      <c r="T61" s="123"/>
      <c r="U61" s="123"/>
      <c r="V61" s="123"/>
      <c r="W61" s="123"/>
      <c r="X61" s="123"/>
      <c r="Y61" s="123"/>
      <c r="Z61" s="123"/>
    </row>
    <row r="62" spans="3:26">
      <c r="C62" s="123"/>
      <c r="D62" s="123"/>
      <c r="E62" s="123"/>
      <c r="F62" s="123"/>
      <c r="G62" s="123"/>
      <c r="H62" s="128"/>
      <c r="I62" s="123"/>
      <c r="J62" s="123"/>
      <c r="K62" s="123"/>
      <c r="L62" s="123"/>
      <c r="M62" s="123"/>
      <c r="N62" s="123"/>
      <c r="O62" s="123"/>
      <c r="P62" s="128"/>
      <c r="Q62" s="128"/>
      <c r="R62" s="178"/>
      <c r="S62" s="178"/>
      <c r="T62" s="123"/>
      <c r="U62" s="123"/>
      <c r="V62" s="123"/>
      <c r="W62" s="123"/>
      <c r="X62" s="123"/>
      <c r="Y62" s="123"/>
      <c r="Z62" s="123"/>
    </row>
    <row r="63" spans="3:26">
      <c r="C63" s="123"/>
      <c r="D63" s="123"/>
      <c r="E63" s="123"/>
      <c r="F63" s="123"/>
      <c r="G63" s="123"/>
      <c r="H63" s="128"/>
      <c r="I63" s="123"/>
      <c r="J63" s="123"/>
      <c r="K63" s="123"/>
      <c r="L63" s="123"/>
      <c r="M63" s="123"/>
      <c r="N63" s="123"/>
      <c r="O63" s="123"/>
      <c r="P63" s="128"/>
      <c r="Q63" s="128"/>
      <c r="R63" s="178"/>
      <c r="S63" s="178"/>
      <c r="T63" s="123"/>
      <c r="U63" s="123"/>
      <c r="V63" s="123"/>
      <c r="W63" s="123"/>
      <c r="X63" s="123"/>
      <c r="Y63" s="123"/>
      <c r="Z63" s="123"/>
    </row>
    <row r="64" spans="3:26">
      <c r="C64" s="123"/>
      <c r="D64" s="123"/>
      <c r="E64" s="123"/>
      <c r="F64" s="123"/>
      <c r="G64" s="123"/>
      <c r="H64" s="128"/>
      <c r="I64" s="123"/>
      <c r="J64" s="123"/>
      <c r="K64" s="123"/>
      <c r="L64" s="123"/>
      <c r="M64" s="123"/>
      <c r="N64" s="123"/>
      <c r="O64" s="123"/>
      <c r="P64" s="128"/>
      <c r="Q64" s="128"/>
      <c r="R64" s="178"/>
      <c r="S64" s="178"/>
      <c r="T64" s="123"/>
      <c r="U64" s="123"/>
      <c r="V64" s="123"/>
      <c r="W64" s="123"/>
      <c r="X64" s="123"/>
      <c r="Y64" s="123"/>
      <c r="Z64" s="123"/>
    </row>
    <row r="65" spans="3:26">
      <c r="C65" s="123"/>
      <c r="D65" s="123"/>
      <c r="E65" s="123"/>
      <c r="F65" s="123"/>
      <c r="G65" s="123"/>
      <c r="H65" s="128"/>
      <c r="I65" s="123"/>
      <c r="J65" s="123"/>
      <c r="K65" s="123"/>
      <c r="L65" s="123"/>
      <c r="M65" s="123"/>
      <c r="N65" s="123"/>
      <c r="O65" s="123"/>
      <c r="P65" s="128"/>
      <c r="Q65" s="128"/>
      <c r="R65" s="178"/>
      <c r="S65" s="178"/>
      <c r="T65" s="123"/>
      <c r="U65" s="123"/>
      <c r="V65" s="123"/>
      <c r="W65" s="123"/>
      <c r="X65" s="123"/>
      <c r="Y65" s="123"/>
      <c r="Z65" s="123"/>
    </row>
    <row r="66" spans="3:26">
      <c r="C66" s="123"/>
      <c r="D66" s="123"/>
      <c r="E66" s="123"/>
      <c r="F66" s="123"/>
      <c r="G66" s="123"/>
      <c r="H66" s="128"/>
      <c r="I66" s="123"/>
      <c r="J66" s="123"/>
      <c r="K66" s="123"/>
      <c r="L66" s="123"/>
      <c r="M66" s="123"/>
      <c r="N66" s="123"/>
      <c r="O66" s="123"/>
      <c r="P66" s="128"/>
      <c r="Q66" s="128"/>
      <c r="R66" s="178"/>
      <c r="S66" s="178"/>
      <c r="T66" s="123"/>
      <c r="U66" s="123"/>
      <c r="V66" s="123"/>
      <c r="W66" s="123"/>
      <c r="X66" s="123"/>
      <c r="Y66" s="123"/>
      <c r="Z66" s="123"/>
    </row>
    <row r="67" spans="3:26">
      <c r="C67" s="123"/>
      <c r="D67" s="123"/>
      <c r="E67" s="123"/>
      <c r="F67" s="123"/>
      <c r="G67" s="123"/>
      <c r="H67" s="128"/>
      <c r="I67" s="123"/>
      <c r="J67" s="123"/>
      <c r="K67" s="123"/>
      <c r="L67" s="123"/>
      <c r="M67" s="123"/>
      <c r="N67" s="123"/>
      <c r="O67" s="123"/>
      <c r="P67" s="128"/>
      <c r="Q67" s="128"/>
      <c r="R67" s="178"/>
      <c r="S67" s="178"/>
      <c r="T67" s="123"/>
      <c r="U67" s="123"/>
      <c r="V67" s="123"/>
      <c r="W67" s="123"/>
      <c r="X67" s="123"/>
      <c r="Y67" s="123"/>
      <c r="Z67" s="123"/>
    </row>
    <row r="68" spans="3:26">
      <c r="C68" s="123"/>
      <c r="D68" s="123"/>
      <c r="E68" s="123"/>
      <c r="F68" s="123"/>
      <c r="G68" s="123"/>
      <c r="H68" s="128"/>
      <c r="I68" s="123"/>
      <c r="J68" s="123"/>
      <c r="K68" s="123"/>
      <c r="L68" s="123"/>
      <c r="M68" s="123"/>
      <c r="N68" s="123"/>
      <c r="O68" s="123"/>
      <c r="P68" s="128"/>
      <c r="Q68" s="128"/>
      <c r="R68" s="178"/>
      <c r="S68" s="178"/>
      <c r="T68" s="123"/>
      <c r="U68" s="123"/>
      <c r="V68" s="123"/>
      <c r="W68" s="123"/>
      <c r="X68" s="123"/>
      <c r="Y68" s="123"/>
      <c r="Z68" s="123"/>
    </row>
    <row r="69" spans="3:26">
      <c r="C69" s="123"/>
      <c r="D69" s="123"/>
      <c r="E69" s="123"/>
      <c r="F69" s="123"/>
      <c r="G69" s="123"/>
      <c r="H69" s="128"/>
      <c r="I69" s="123"/>
      <c r="J69" s="123"/>
      <c r="K69" s="123"/>
      <c r="L69" s="123"/>
      <c r="M69" s="123"/>
      <c r="N69" s="123"/>
      <c r="O69" s="123"/>
      <c r="P69" s="128"/>
      <c r="Q69" s="128"/>
      <c r="R69" s="178"/>
      <c r="S69" s="178"/>
      <c r="T69" s="123"/>
      <c r="U69" s="123"/>
      <c r="V69" s="123"/>
      <c r="W69" s="123"/>
      <c r="X69" s="123"/>
      <c r="Y69" s="123"/>
      <c r="Z69" s="123"/>
    </row>
    <row r="70" spans="3:26">
      <c r="C70" s="123"/>
      <c r="D70" s="123"/>
      <c r="E70" s="123"/>
      <c r="F70" s="123"/>
      <c r="G70" s="123"/>
      <c r="H70" s="128"/>
      <c r="I70" s="123"/>
      <c r="J70" s="123"/>
      <c r="K70" s="123"/>
      <c r="L70" s="123"/>
      <c r="M70" s="123"/>
      <c r="N70" s="123"/>
      <c r="O70" s="123"/>
      <c r="P70" s="128"/>
      <c r="Q70" s="128"/>
      <c r="R70" s="178"/>
      <c r="S70" s="178"/>
      <c r="T70" s="123"/>
      <c r="U70" s="123"/>
      <c r="V70" s="123"/>
      <c r="W70" s="123"/>
      <c r="X70" s="123"/>
      <c r="Y70" s="123"/>
      <c r="Z70" s="123"/>
    </row>
    <row r="71" spans="3:26">
      <c r="C71" s="123"/>
      <c r="D71" s="123"/>
      <c r="E71" s="123"/>
      <c r="F71" s="123"/>
      <c r="G71" s="123"/>
      <c r="H71" s="128"/>
      <c r="I71" s="123"/>
      <c r="J71" s="123"/>
      <c r="K71" s="123"/>
      <c r="L71" s="123"/>
      <c r="M71" s="123"/>
      <c r="N71" s="123"/>
      <c r="O71" s="123"/>
      <c r="P71" s="128"/>
      <c r="Q71" s="128"/>
      <c r="R71" s="178"/>
      <c r="S71" s="178"/>
      <c r="T71" s="123"/>
      <c r="U71" s="123"/>
      <c r="V71" s="123"/>
      <c r="W71" s="123"/>
      <c r="X71" s="123"/>
      <c r="Y71" s="123"/>
      <c r="Z71" s="123"/>
    </row>
    <row r="72" spans="3:26">
      <c r="C72" s="123"/>
      <c r="D72" s="123"/>
      <c r="E72" s="123"/>
      <c r="F72" s="123"/>
      <c r="G72" s="123"/>
      <c r="H72" s="128"/>
      <c r="I72" s="123"/>
      <c r="J72" s="123"/>
      <c r="K72" s="123"/>
      <c r="L72" s="123"/>
      <c r="M72" s="123"/>
      <c r="N72" s="123"/>
      <c r="O72" s="123"/>
      <c r="P72" s="128"/>
      <c r="Q72" s="128"/>
      <c r="R72" s="178"/>
      <c r="S72" s="178"/>
      <c r="T72" s="123"/>
      <c r="U72" s="123"/>
      <c r="V72" s="123"/>
      <c r="W72" s="123"/>
      <c r="X72" s="123"/>
      <c r="Y72" s="123"/>
      <c r="Z72" s="123"/>
    </row>
    <row r="73" spans="3:26">
      <c r="C73" s="123"/>
      <c r="D73" s="123"/>
      <c r="E73" s="123"/>
      <c r="F73" s="123"/>
      <c r="G73" s="123"/>
      <c r="H73" s="128"/>
      <c r="I73" s="123"/>
      <c r="J73" s="123"/>
      <c r="K73" s="123"/>
      <c r="L73" s="123"/>
      <c r="M73" s="123"/>
      <c r="N73" s="123"/>
      <c r="O73" s="123"/>
      <c r="P73" s="128"/>
      <c r="Q73" s="128"/>
      <c r="R73" s="178"/>
      <c r="S73" s="178"/>
      <c r="T73" s="123"/>
      <c r="U73" s="123"/>
      <c r="V73" s="123"/>
      <c r="W73" s="123"/>
      <c r="X73" s="123"/>
      <c r="Y73" s="123"/>
      <c r="Z73" s="123"/>
    </row>
    <row r="74" spans="3:26">
      <c r="C74" s="123"/>
      <c r="D74" s="123"/>
      <c r="E74" s="123"/>
      <c r="F74" s="123"/>
      <c r="G74" s="123"/>
      <c r="H74" s="128"/>
      <c r="I74" s="123"/>
      <c r="J74" s="123"/>
      <c r="K74" s="123"/>
      <c r="L74" s="123"/>
      <c r="M74" s="123"/>
      <c r="N74" s="123"/>
      <c r="O74" s="123"/>
      <c r="P74" s="128"/>
      <c r="Q74" s="128"/>
      <c r="R74" s="178"/>
      <c r="S74" s="178"/>
      <c r="T74" s="123"/>
      <c r="U74" s="123"/>
      <c r="V74" s="123"/>
      <c r="W74" s="123"/>
      <c r="X74" s="123"/>
      <c r="Y74" s="123"/>
      <c r="Z74" s="123"/>
    </row>
    <row r="75" spans="3:26">
      <c r="C75" s="123"/>
      <c r="D75" s="123"/>
      <c r="E75" s="123"/>
      <c r="F75" s="123"/>
      <c r="G75" s="123"/>
      <c r="H75" s="128"/>
      <c r="I75" s="123"/>
      <c r="J75" s="123"/>
      <c r="K75" s="123"/>
      <c r="L75" s="123"/>
      <c r="M75" s="123"/>
      <c r="N75" s="123"/>
      <c r="O75" s="123"/>
      <c r="P75" s="128"/>
      <c r="Q75" s="128"/>
      <c r="R75" s="178"/>
      <c r="S75" s="178"/>
      <c r="T75" s="123"/>
      <c r="U75" s="123"/>
      <c r="V75" s="123"/>
      <c r="W75" s="123"/>
      <c r="X75" s="123"/>
      <c r="Y75" s="123"/>
      <c r="Z75" s="123"/>
    </row>
    <row r="76" spans="3:26">
      <c r="C76" s="123"/>
      <c r="D76" s="123"/>
      <c r="E76" s="123"/>
      <c r="F76" s="123"/>
      <c r="G76" s="123"/>
      <c r="H76" s="128"/>
      <c r="I76" s="123"/>
      <c r="J76" s="123"/>
      <c r="K76" s="123"/>
      <c r="L76" s="123"/>
      <c r="M76" s="123"/>
      <c r="N76" s="123"/>
      <c r="O76" s="123"/>
      <c r="P76" s="128"/>
      <c r="Q76" s="128"/>
      <c r="R76" s="178"/>
      <c r="S76" s="178"/>
      <c r="T76" s="123"/>
      <c r="U76" s="123"/>
      <c r="V76" s="123"/>
      <c r="W76" s="123"/>
      <c r="X76" s="123"/>
      <c r="Y76" s="123"/>
      <c r="Z76" s="123"/>
    </row>
    <row r="77" spans="3:26">
      <c r="C77" s="123"/>
      <c r="D77" s="123"/>
      <c r="E77" s="123"/>
      <c r="F77" s="123"/>
      <c r="G77" s="123"/>
      <c r="H77" s="128"/>
      <c r="I77" s="123"/>
      <c r="J77" s="123"/>
      <c r="K77" s="123"/>
      <c r="L77" s="123"/>
      <c r="M77" s="123"/>
      <c r="N77" s="123"/>
      <c r="O77" s="123"/>
      <c r="P77" s="128"/>
      <c r="Q77" s="128"/>
      <c r="R77" s="178"/>
      <c r="S77" s="178"/>
      <c r="T77" s="123"/>
      <c r="U77" s="123"/>
      <c r="V77" s="123"/>
      <c r="W77" s="123"/>
      <c r="X77" s="123"/>
      <c r="Y77" s="123"/>
      <c r="Z77" s="123"/>
    </row>
    <row r="78" spans="3:26">
      <c r="C78" s="123"/>
      <c r="D78" s="123"/>
      <c r="E78" s="123"/>
      <c r="F78" s="123"/>
      <c r="G78" s="123"/>
      <c r="H78" s="128"/>
      <c r="I78" s="123"/>
      <c r="J78" s="123"/>
      <c r="K78" s="123"/>
      <c r="L78" s="123"/>
      <c r="M78" s="123"/>
      <c r="N78" s="123"/>
      <c r="O78" s="123"/>
      <c r="P78" s="128"/>
      <c r="Q78" s="128"/>
      <c r="R78" s="178"/>
      <c r="S78" s="178"/>
      <c r="T78" s="123"/>
      <c r="U78" s="123"/>
      <c r="V78" s="123"/>
      <c r="W78" s="123"/>
      <c r="X78" s="123"/>
      <c r="Y78" s="123"/>
      <c r="Z78" s="123"/>
    </row>
    <row r="79" spans="3:26">
      <c r="C79" s="123"/>
      <c r="D79" s="123"/>
      <c r="E79" s="123"/>
      <c r="F79" s="123"/>
      <c r="G79" s="123"/>
      <c r="H79" s="128"/>
      <c r="I79" s="123"/>
      <c r="J79" s="123"/>
      <c r="K79" s="123"/>
      <c r="L79" s="123"/>
      <c r="M79" s="123"/>
      <c r="N79" s="123"/>
      <c r="O79" s="123"/>
      <c r="P79" s="128"/>
      <c r="Q79" s="128"/>
      <c r="R79" s="178"/>
      <c r="S79" s="178"/>
      <c r="T79" s="123"/>
      <c r="U79" s="123"/>
      <c r="V79" s="123"/>
      <c r="W79" s="123"/>
      <c r="X79" s="123"/>
      <c r="Y79" s="123"/>
      <c r="Z79" s="123"/>
    </row>
    <row r="80" spans="3:26">
      <c r="C80" s="123"/>
      <c r="D80" s="123"/>
      <c r="E80" s="123"/>
      <c r="F80" s="123"/>
      <c r="G80" s="123"/>
      <c r="H80" s="128"/>
      <c r="I80" s="123"/>
      <c r="J80" s="123"/>
      <c r="K80" s="123"/>
      <c r="L80" s="123"/>
      <c r="M80" s="123"/>
      <c r="N80" s="123"/>
      <c r="O80" s="123"/>
      <c r="P80" s="128"/>
      <c r="Q80" s="128"/>
      <c r="R80" s="178"/>
      <c r="S80" s="178"/>
      <c r="T80" s="123"/>
      <c r="U80" s="123"/>
      <c r="V80" s="123"/>
      <c r="W80" s="123"/>
      <c r="X80" s="123"/>
      <c r="Y80" s="123"/>
      <c r="Z80" s="123"/>
    </row>
    <row r="81" spans="3:26">
      <c r="C81" s="123"/>
      <c r="D81" s="123"/>
      <c r="E81" s="123"/>
      <c r="F81" s="123"/>
      <c r="G81" s="123"/>
      <c r="H81" s="128"/>
      <c r="I81" s="123"/>
      <c r="J81" s="123"/>
      <c r="K81" s="123"/>
      <c r="L81" s="123"/>
      <c r="M81" s="123"/>
      <c r="N81" s="123"/>
      <c r="O81" s="123"/>
      <c r="P81" s="128"/>
      <c r="Q81" s="128"/>
      <c r="R81" s="178"/>
      <c r="S81" s="178"/>
      <c r="T81" s="123"/>
      <c r="U81" s="123"/>
      <c r="V81" s="123"/>
      <c r="W81" s="123"/>
      <c r="X81" s="123"/>
      <c r="Y81" s="123"/>
      <c r="Z81" s="123"/>
    </row>
    <row r="82" spans="3:26">
      <c r="C82" s="123"/>
      <c r="D82" s="123"/>
      <c r="E82" s="123"/>
      <c r="F82" s="123"/>
      <c r="G82" s="123"/>
      <c r="H82" s="128"/>
      <c r="I82" s="123"/>
      <c r="J82" s="123"/>
      <c r="K82" s="123"/>
      <c r="L82" s="123"/>
      <c r="M82" s="123"/>
      <c r="N82" s="123"/>
      <c r="O82" s="123"/>
      <c r="P82" s="128"/>
      <c r="Q82" s="128"/>
      <c r="R82" s="178"/>
      <c r="S82" s="178"/>
      <c r="T82" s="123"/>
      <c r="U82" s="123"/>
      <c r="V82" s="123"/>
      <c r="W82" s="123"/>
      <c r="X82" s="123"/>
      <c r="Y82" s="123"/>
      <c r="Z82" s="123"/>
    </row>
    <row r="83" spans="3:26">
      <c r="C83" s="123"/>
      <c r="D83" s="123"/>
      <c r="E83" s="123"/>
      <c r="F83" s="123"/>
      <c r="G83" s="123"/>
      <c r="H83" s="128"/>
      <c r="I83" s="123"/>
      <c r="J83" s="123"/>
      <c r="K83" s="123"/>
      <c r="L83" s="123"/>
      <c r="M83" s="123"/>
      <c r="N83" s="123"/>
      <c r="O83" s="123"/>
      <c r="P83" s="128"/>
      <c r="Q83" s="128"/>
      <c r="R83" s="178"/>
      <c r="S83" s="178"/>
      <c r="T83" s="123"/>
      <c r="U83" s="123"/>
      <c r="V83" s="123"/>
      <c r="W83" s="123"/>
      <c r="X83" s="123"/>
      <c r="Y83" s="123"/>
      <c r="Z83" s="123"/>
    </row>
    <row r="84" spans="3:26">
      <c r="C84" s="123"/>
      <c r="D84" s="123"/>
      <c r="E84" s="123"/>
      <c r="F84" s="123"/>
      <c r="G84" s="123"/>
      <c r="H84" s="128"/>
      <c r="I84" s="123"/>
      <c r="J84" s="123"/>
      <c r="K84" s="123"/>
      <c r="L84" s="123"/>
      <c r="M84" s="123"/>
      <c r="N84" s="123"/>
      <c r="O84" s="123"/>
      <c r="P84" s="128"/>
      <c r="Q84" s="128"/>
      <c r="R84" s="178"/>
      <c r="S84" s="178"/>
      <c r="T84" s="123"/>
      <c r="U84" s="123"/>
      <c r="V84" s="123"/>
      <c r="W84" s="123"/>
      <c r="X84" s="123"/>
      <c r="Y84" s="123"/>
      <c r="Z84" s="123"/>
    </row>
    <row r="85" spans="3:26">
      <c r="C85" s="123"/>
      <c r="D85" s="123"/>
      <c r="E85" s="123"/>
      <c r="F85" s="123"/>
      <c r="G85" s="123"/>
      <c r="H85" s="128"/>
      <c r="I85" s="123"/>
      <c r="J85" s="123"/>
      <c r="K85" s="123"/>
      <c r="L85" s="123"/>
      <c r="M85" s="123"/>
      <c r="N85" s="123"/>
      <c r="O85" s="123"/>
      <c r="P85" s="128"/>
      <c r="Q85" s="128"/>
      <c r="R85" s="178"/>
      <c r="S85" s="178"/>
      <c r="T85" s="123"/>
      <c r="U85" s="123"/>
      <c r="V85" s="123"/>
      <c r="W85" s="123"/>
      <c r="X85" s="123"/>
      <c r="Y85" s="123"/>
      <c r="Z85" s="123"/>
    </row>
    <row r="86" spans="3:26">
      <c r="C86" s="123"/>
      <c r="D86" s="123"/>
      <c r="E86" s="123"/>
      <c r="F86" s="123"/>
      <c r="G86" s="123"/>
      <c r="H86" s="128"/>
      <c r="I86" s="123"/>
      <c r="J86" s="123"/>
      <c r="K86" s="123"/>
      <c r="L86" s="123"/>
      <c r="M86" s="123"/>
      <c r="N86" s="123"/>
      <c r="O86" s="123"/>
      <c r="P86" s="128"/>
      <c r="Q86" s="128"/>
      <c r="R86" s="178"/>
      <c r="S86" s="178"/>
      <c r="T86" s="123"/>
      <c r="U86" s="123"/>
      <c r="V86" s="123"/>
      <c r="W86" s="123"/>
      <c r="X86" s="123"/>
      <c r="Y86" s="123"/>
      <c r="Z86" s="123"/>
    </row>
    <row r="87" spans="3:26">
      <c r="C87" s="123"/>
      <c r="D87" s="123"/>
      <c r="E87" s="123"/>
      <c r="F87" s="123"/>
      <c r="G87" s="123"/>
      <c r="H87" s="128"/>
      <c r="I87" s="123"/>
      <c r="J87" s="123"/>
      <c r="K87" s="123"/>
      <c r="L87" s="123"/>
      <c r="M87" s="123"/>
      <c r="N87" s="123"/>
      <c r="O87" s="123"/>
      <c r="P87" s="128"/>
      <c r="Q87" s="128"/>
      <c r="R87" s="178"/>
      <c r="S87" s="178"/>
      <c r="T87" s="123"/>
      <c r="U87" s="123"/>
      <c r="V87" s="123"/>
      <c r="W87" s="123"/>
      <c r="X87" s="123"/>
      <c r="Y87" s="123"/>
      <c r="Z87" s="123"/>
    </row>
    <row r="88" spans="3:26">
      <c r="C88" s="123"/>
      <c r="D88" s="123"/>
      <c r="E88" s="123"/>
      <c r="F88" s="123"/>
      <c r="G88" s="123"/>
      <c r="H88" s="128"/>
      <c r="I88" s="123"/>
      <c r="J88" s="123"/>
      <c r="K88" s="123"/>
      <c r="L88" s="123"/>
      <c r="M88" s="123"/>
      <c r="N88" s="123"/>
      <c r="O88" s="123"/>
      <c r="P88" s="128"/>
      <c r="Q88" s="128"/>
      <c r="R88" s="178"/>
      <c r="S88" s="178"/>
      <c r="T88" s="123"/>
      <c r="U88" s="123"/>
      <c r="V88" s="123"/>
      <c r="W88" s="123"/>
      <c r="X88" s="123"/>
      <c r="Y88" s="123"/>
      <c r="Z88" s="123"/>
    </row>
    <row r="89" spans="3:26">
      <c r="C89" s="123"/>
      <c r="D89" s="123"/>
      <c r="E89" s="123"/>
      <c r="F89" s="123"/>
      <c r="G89" s="123"/>
      <c r="H89" s="128"/>
      <c r="I89" s="123"/>
      <c r="J89" s="123"/>
      <c r="K89" s="123"/>
      <c r="L89" s="123"/>
      <c r="M89" s="123"/>
      <c r="N89" s="123"/>
      <c r="O89" s="123"/>
      <c r="P89" s="128"/>
      <c r="Q89" s="128"/>
      <c r="R89" s="178"/>
      <c r="S89" s="178"/>
      <c r="T89" s="123"/>
      <c r="U89" s="123"/>
      <c r="V89" s="123"/>
      <c r="W89" s="123"/>
      <c r="X89" s="123"/>
      <c r="Y89" s="123"/>
      <c r="Z89" s="123"/>
    </row>
    <row r="90" spans="3:26">
      <c r="C90" s="123"/>
      <c r="D90" s="123"/>
      <c r="E90" s="123"/>
      <c r="F90" s="123"/>
      <c r="G90" s="123"/>
      <c r="H90" s="128"/>
      <c r="I90" s="123"/>
      <c r="J90" s="123"/>
      <c r="K90" s="123"/>
      <c r="L90" s="123"/>
      <c r="M90" s="123"/>
      <c r="N90" s="123"/>
      <c r="O90" s="123"/>
      <c r="P90" s="128"/>
      <c r="Q90" s="128"/>
      <c r="R90" s="178"/>
      <c r="S90" s="178"/>
      <c r="T90" s="123"/>
      <c r="U90" s="123"/>
      <c r="V90" s="123"/>
      <c r="W90" s="123"/>
      <c r="X90" s="123"/>
      <c r="Y90" s="123"/>
      <c r="Z90" s="123"/>
    </row>
    <row r="91" spans="3:26">
      <c r="C91" s="123"/>
      <c r="D91" s="123"/>
      <c r="E91" s="123"/>
      <c r="F91" s="123"/>
      <c r="G91" s="123"/>
      <c r="H91" s="128"/>
      <c r="I91" s="123"/>
      <c r="J91" s="123"/>
      <c r="K91" s="123"/>
      <c r="L91" s="123"/>
      <c r="M91" s="123"/>
      <c r="N91" s="123"/>
      <c r="O91" s="123"/>
      <c r="P91" s="128"/>
      <c r="Q91" s="128"/>
      <c r="R91" s="178"/>
      <c r="S91" s="178"/>
      <c r="T91" s="123"/>
      <c r="U91" s="123"/>
      <c r="V91" s="123"/>
      <c r="W91" s="123"/>
      <c r="X91" s="123"/>
      <c r="Y91" s="123"/>
      <c r="Z91" s="123"/>
    </row>
    <row r="92" spans="3:26">
      <c r="C92" s="123"/>
      <c r="D92" s="123"/>
      <c r="E92" s="123"/>
      <c r="F92" s="128"/>
      <c r="G92" s="123"/>
      <c r="H92" s="128"/>
      <c r="I92" s="123"/>
      <c r="J92" s="123"/>
      <c r="K92" s="123"/>
      <c r="L92" s="123"/>
      <c r="M92" s="123"/>
      <c r="N92" s="123"/>
      <c r="O92" s="123"/>
      <c r="P92" s="128"/>
      <c r="Q92" s="128"/>
      <c r="R92" s="178"/>
      <c r="S92" s="178"/>
      <c r="T92" s="123"/>
      <c r="U92" s="123"/>
      <c r="V92" s="123"/>
      <c r="W92" s="123"/>
      <c r="X92" s="123"/>
      <c r="Y92" s="123"/>
      <c r="Z92" s="123"/>
    </row>
    <row r="93" spans="3:26">
      <c r="C93" s="123"/>
      <c r="D93" s="123"/>
      <c r="E93" s="123"/>
      <c r="F93" s="123"/>
      <c r="G93" s="123"/>
      <c r="H93" s="128"/>
      <c r="I93" s="123"/>
      <c r="J93" s="123"/>
      <c r="K93" s="123"/>
      <c r="L93" s="123"/>
      <c r="M93" s="123"/>
      <c r="N93" s="123"/>
      <c r="O93" s="123"/>
      <c r="P93" s="128"/>
      <c r="Q93" s="128"/>
      <c r="R93" s="178"/>
      <c r="S93" s="178"/>
      <c r="T93" s="123"/>
      <c r="U93" s="123"/>
      <c r="V93" s="123"/>
      <c r="W93" s="123"/>
      <c r="X93" s="123"/>
      <c r="Y93" s="123"/>
      <c r="Z93" s="123"/>
    </row>
    <row r="94" spans="3:26">
      <c r="C94" s="123"/>
      <c r="D94" s="123"/>
      <c r="E94" s="123"/>
      <c r="F94" s="123"/>
      <c r="G94" s="123"/>
      <c r="H94" s="128"/>
      <c r="I94" s="123"/>
      <c r="J94" s="123"/>
      <c r="K94" s="123"/>
      <c r="L94" s="123"/>
      <c r="M94" s="123"/>
      <c r="N94" s="123"/>
      <c r="O94" s="123"/>
      <c r="P94" s="128"/>
      <c r="Q94" s="123"/>
      <c r="R94" s="123"/>
      <c r="S94" s="123"/>
      <c r="T94" s="123"/>
      <c r="U94" s="123"/>
      <c r="V94" s="123"/>
      <c r="W94" s="123"/>
      <c r="X94" s="123"/>
      <c r="Y94" s="123"/>
      <c r="Z94" s="123"/>
    </row>
    <row r="95" spans="3:26">
      <c r="C95" s="123"/>
      <c r="D95" s="123"/>
      <c r="E95" s="123"/>
      <c r="F95" s="123"/>
      <c r="G95" s="123"/>
      <c r="H95" s="128"/>
      <c r="I95" s="123"/>
      <c r="J95" s="123"/>
      <c r="K95" s="123"/>
      <c r="L95" s="123"/>
      <c r="M95" s="123"/>
      <c r="N95" s="123"/>
      <c r="O95" s="123"/>
      <c r="P95" s="128"/>
      <c r="Q95" s="128"/>
      <c r="R95" s="178"/>
      <c r="S95" s="178"/>
      <c r="T95" s="123"/>
      <c r="U95" s="123"/>
      <c r="V95" s="123"/>
      <c r="W95" s="123"/>
      <c r="X95" s="123"/>
      <c r="Y95" s="123"/>
      <c r="Z95" s="123"/>
    </row>
    <row r="96" spans="3:26">
      <c r="C96" s="123"/>
      <c r="D96" s="123"/>
      <c r="E96" s="123"/>
      <c r="F96" s="123"/>
      <c r="G96" s="123"/>
      <c r="H96" s="128"/>
      <c r="I96" s="123"/>
      <c r="J96" s="123"/>
      <c r="K96" s="123"/>
      <c r="L96" s="123"/>
      <c r="M96" s="123"/>
      <c r="N96" s="123"/>
      <c r="O96" s="123"/>
      <c r="P96" s="128"/>
      <c r="Q96" s="123"/>
      <c r="R96" s="123"/>
      <c r="S96" s="123"/>
      <c r="T96" s="123"/>
      <c r="U96" s="123"/>
      <c r="V96" s="123"/>
      <c r="W96" s="123"/>
      <c r="X96" s="123"/>
      <c r="Y96" s="123"/>
      <c r="Z96" s="123"/>
    </row>
    <row r="97" spans="3:26">
      <c r="C97" s="123"/>
      <c r="D97" s="123"/>
      <c r="E97" s="123"/>
      <c r="F97" s="123"/>
      <c r="G97" s="122"/>
      <c r="H97" s="123"/>
      <c r="I97" s="123"/>
      <c r="J97" s="123"/>
      <c r="K97" s="123"/>
      <c r="L97" s="123"/>
      <c r="M97" s="123"/>
      <c r="N97" s="123"/>
      <c r="O97" s="123"/>
      <c r="P97" s="123"/>
      <c r="Q97" s="123"/>
      <c r="R97" s="124"/>
      <c r="S97" s="124"/>
      <c r="T97" s="123"/>
      <c r="U97" s="123"/>
      <c r="V97" s="123"/>
      <c r="W97" s="123"/>
      <c r="X97" s="123"/>
      <c r="Y97" s="123"/>
      <c r="Z97" s="123"/>
    </row>
    <row r="98" spans="3:26">
      <c r="C98" s="123"/>
      <c r="D98" s="123"/>
      <c r="E98" s="123"/>
      <c r="F98" s="123"/>
      <c r="G98" s="122"/>
      <c r="H98" s="123"/>
      <c r="I98" s="123"/>
      <c r="J98" s="123"/>
      <c r="K98" s="123"/>
      <c r="L98" s="123"/>
      <c r="M98" s="123"/>
      <c r="N98" s="123"/>
      <c r="O98" s="123"/>
      <c r="P98" s="123"/>
      <c r="Q98" s="123"/>
      <c r="R98" s="124"/>
      <c r="S98" s="124"/>
      <c r="T98" s="123"/>
      <c r="U98" s="123"/>
      <c r="V98" s="123"/>
      <c r="W98" s="123"/>
      <c r="X98" s="123"/>
      <c r="Y98" s="123"/>
      <c r="Z98" s="123"/>
    </row>
    <row r="99" spans="3:26">
      <c r="C99" s="123"/>
      <c r="D99" s="123"/>
      <c r="E99" s="123"/>
      <c r="F99" s="123"/>
      <c r="G99" s="122"/>
      <c r="H99" s="123"/>
      <c r="I99" s="123"/>
      <c r="J99" s="123"/>
      <c r="K99" s="123"/>
      <c r="L99" s="123"/>
      <c r="M99" s="123"/>
      <c r="N99" s="123"/>
      <c r="O99" s="123"/>
      <c r="P99" s="123"/>
      <c r="Q99" s="123"/>
      <c r="R99" s="124"/>
      <c r="S99" s="124"/>
      <c r="T99" s="123"/>
      <c r="U99" s="123"/>
      <c r="V99" s="123"/>
      <c r="W99" s="123"/>
      <c r="X99" s="123"/>
      <c r="Y99" s="123"/>
      <c r="Z99" s="123"/>
    </row>
    <row r="100" spans="3:26">
      <c r="C100" s="123"/>
      <c r="D100" s="123"/>
      <c r="E100" s="123"/>
      <c r="F100" s="123"/>
      <c r="G100" s="123"/>
      <c r="H100" s="128"/>
      <c r="I100" s="123"/>
      <c r="J100" s="123"/>
      <c r="K100" s="123"/>
      <c r="L100" s="123"/>
      <c r="M100" s="123"/>
      <c r="N100" s="123"/>
      <c r="O100" s="123"/>
      <c r="P100" s="128"/>
      <c r="Q100" s="128"/>
      <c r="R100" s="178"/>
      <c r="S100" s="178"/>
      <c r="T100" s="123"/>
      <c r="U100" s="123"/>
      <c r="V100" s="123"/>
      <c r="W100" s="123"/>
      <c r="X100" s="123"/>
      <c r="Y100" s="123"/>
      <c r="Z100" s="123"/>
    </row>
    <row r="101" spans="3:26">
      <c r="C101" s="123"/>
      <c r="D101" s="123"/>
      <c r="E101" s="123"/>
      <c r="F101" s="123"/>
      <c r="G101" s="123"/>
      <c r="H101" s="128"/>
      <c r="I101" s="123"/>
      <c r="J101" s="123"/>
      <c r="K101" s="123"/>
      <c r="L101" s="123"/>
      <c r="M101" s="123"/>
      <c r="N101" s="123"/>
      <c r="O101" s="123"/>
      <c r="P101" s="128"/>
      <c r="Q101" s="128"/>
      <c r="R101" s="178"/>
      <c r="S101" s="178"/>
      <c r="T101" s="123"/>
      <c r="U101" s="123"/>
      <c r="V101" s="123"/>
      <c r="W101" s="123"/>
      <c r="X101" s="123"/>
      <c r="Y101" s="123"/>
      <c r="Z101" s="123"/>
    </row>
    <row r="102" spans="3:26">
      <c r="C102" s="123"/>
      <c r="D102" s="123"/>
      <c r="E102" s="123"/>
      <c r="F102" s="123"/>
      <c r="G102" s="123"/>
      <c r="H102" s="128"/>
      <c r="I102" s="123"/>
      <c r="J102" s="123"/>
      <c r="K102" s="123"/>
      <c r="L102" s="123"/>
      <c r="M102" s="123"/>
      <c r="N102" s="123"/>
      <c r="O102" s="123"/>
      <c r="P102" s="128"/>
      <c r="Q102" s="128"/>
      <c r="R102" s="178"/>
      <c r="S102" s="178"/>
      <c r="T102" s="123"/>
      <c r="U102" s="123"/>
      <c r="V102" s="123"/>
      <c r="W102" s="123"/>
      <c r="X102" s="123"/>
      <c r="Y102" s="123"/>
      <c r="Z102" s="123"/>
    </row>
    <row r="103" spans="3:26">
      <c r="C103" s="123"/>
      <c r="D103" s="123"/>
      <c r="E103" s="123"/>
      <c r="F103" s="123"/>
      <c r="G103" s="123"/>
      <c r="H103" s="128"/>
      <c r="I103" s="123"/>
      <c r="J103" s="123"/>
      <c r="K103" s="123"/>
      <c r="L103" s="123"/>
      <c r="M103" s="123"/>
      <c r="N103" s="123"/>
      <c r="O103" s="123"/>
      <c r="P103" s="128"/>
      <c r="Q103" s="128"/>
      <c r="R103" s="178"/>
      <c r="S103" s="178"/>
      <c r="T103" s="123"/>
      <c r="U103" s="123"/>
      <c r="V103" s="123"/>
      <c r="W103" s="123"/>
      <c r="X103" s="123"/>
      <c r="Y103" s="123"/>
      <c r="Z103" s="123"/>
    </row>
    <row r="104" spans="3:26">
      <c r="C104" s="123"/>
      <c r="D104" s="123"/>
      <c r="E104" s="123"/>
      <c r="F104" s="123"/>
      <c r="G104" s="123"/>
      <c r="H104" s="128"/>
      <c r="I104" s="123"/>
      <c r="J104" s="123"/>
      <c r="K104" s="123"/>
      <c r="L104" s="123"/>
      <c r="M104" s="123"/>
      <c r="N104" s="123"/>
      <c r="O104" s="123"/>
      <c r="P104" s="128"/>
      <c r="Q104" s="128"/>
      <c r="R104" s="178"/>
      <c r="S104" s="178"/>
      <c r="T104" s="123"/>
      <c r="U104" s="123"/>
      <c r="V104" s="123"/>
      <c r="W104" s="123"/>
      <c r="X104" s="123"/>
      <c r="Y104" s="123"/>
      <c r="Z104" s="123"/>
    </row>
    <row r="105" spans="3:26">
      <c r="C105" s="123"/>
      <c r="D105" s="123"/>
      <c r="E105" s="123"/>
      <c r="F105" s="123"/>
      <c r="G105" s="123"/>
      <c r="H105" s="128"/>
      <c r="I105" s="123"/>
      <c r="J105" s="123"/>
      <c r="K105" s="123"/>
      <c r="L105" s="123"/>
      <c r="M105" s="123"/>
      <c r="N105" s="123"/>
      <c r="O105" s="123"/>
      <c r="P105" s="128"/>
      <c r="Q105" s="128"/>
      <c r="R105" s="178"/>
      <c r="S105" s="178"/>
      <c r="T105" s="123"/>
      <c r="U105" s="123"/>
      <c r="V105" s="123"/>
      <c r="W105" s="123"/>
      <c r="X105" s="123"/>
      <c r="Y105" s="123"/>
      <c r="Z105" s="123"/>
    </row>
    <row r="106" spans="3:26">
      <c r="C106" s="123"/>
      <c r="D106" s="123"/>
      <c r="E106" s="123"/>
      <c r="F106" s="123"/>
      <c r="G106" s="123"/>
      <c r="H106" s="128"/>
      <c r="I106" s="123"/>
      <c r="J106" s="123"/>
      <c r="K106" s="123"/>
      <c r="L106" s="123"/>
      <c r="M106" s="123"/>
      <c r="N106" s="123"/>
      <c r="O106" s="123"/>
      <c r="P106" s="128"/>
      <c r="Q106" s="128"/>
      <c r="R106" s="178"/>
      <c r="S106" s="178"/>
      <c r="T106" s="123"/>
      <c r="U106" s="123"/>
      <c r="V106" s="123"/>
      <c r="W106" s="123"/>
      <c r="X106" s="123"/>
      <c r="Y106" s="123"/>
      <c r="Z106" s="123"/>
    </row>
    <row r="107" spans="3:26">
      <c r="C107" s="123"/>
      <c r="D107" s="123"/>
      <c r="E107" s="123"/>
      <c r="F107" s="123"/>
      <c r="G107" s="123"/>
      <c r="H107" s="128"/>
      <c r="I107" s="123"/>
      <c r="J107" s="123"/>
      <c r="K107" s="123"/>
      <c r="L107" s="123"/>
      <c r="M107" s="123"/>
      <c r="N107" s="123"/>
      <c r="O107" s="123"/>
      <c r="P107" s="128"/>
      <c r="Q107" s="128"/>
      <c r="R107" s="178"/>
      <c r="S107" s="178"/>
      <c r="T107" s="123"/>
      <c r="U107" s="123"/>
      <c r="V107" s="123"/>
      <c r="W107" s="123"/>
      <c r="X107" s="123"/>
      <c r="Y107" s="123"/>
      <c r="Z107" s="123"/>
    </row>
    <row r="108" spans="3:26">
      <c r="C108" s="123"/>
      <c r="D108" s="123"/>
      <c r="E108" s="123"/>
      <c r="F108" s="123"/>
      <c r="G108" s="123"/>
      <c r="H108" s="128"/>
      <c r="I108" s="123"/>
      <c r="J108" s="123"/>
      <c r="K108" s="123"/>
      <c r="L108" s="123"/>
      <c r="M108" s="123"/>
      <c r="N108" s="123"/>
      <c r="O108" s="123"/>
      <c r="P108" s="128"/>
      <c r="Q108" s="128"/>
      <c r="R108" s="178"/>
      <c r="S108" s="178"/>
      <c r="T108" s="123"/>
      <c r="U108" s="123"/>
      <c r="V108" s="123"/>
      <c r="W108" s="123"/>
      <c r="X108" s="123"/>
      <c r="Y108" s="123"/>
      <c r="Z108" s="123"/>
    </row>
    <row r="109" spans="3:26">
      <c r="C109" s="123"/>
      <c r="D109" s="123"/>
      <c r="E109" s="123"/>
      <c r="F109" s="123"/>
      <c r="G109" s="123"/>
      <c r="H109" s="128"/>
      <c r="I109" s="123"/>
      <c r="J109" s="123"/>
      <c r="K109" s="123"/>
      <c r="L109" s="123"/>
      <c r="M109" s="123"/>
      <c r="N109" s="123"/>
      <c r="O109" s="123"/>
      <c r="P109" s="128"/>
      <c r="Q109" s="128"/>
      <c r="R109" s="178"/>
      <c r="S109" s="178"/>
      <c r="T109" s="123"/>
      <c r="U109" s="123"/>
      <c r="V109" s="123"/>
      <c r="W109" s="123"/>
      <c r="X109" s="123"/>
      <c r="Y109" s="123"/>
      <c r="Z109" s="123"/>
    </row>
    <row r="110" spans="3:26">
      <c r="C110" s="123"/>
      <c r="D110" s="123"/>
      <c r="E110" s="123"/>
      <c r="F110" s="123"/>
      <c r="G110" s="123"/>
      <c r="H110" s="128"/>
      <c r="I110" s="123"/>
      <c r="J110" s="123"/>
      <c r="K110" s="123"/>
      <c r="L110" s="123"/>
      <c r="M110" s="123"/>
      <c r="N110" s="123"/>
      <c r="O110" s="123"/>
      <c r="P110" s="128"/>
      <c r="Q110" s="128"/>
      <c r="R110" s="178"/>
      <c r="S110" s="178"/>
      <c r="T110" s="123"/>
      <c r="U110" s="123"/>
      <c r="V110" s="123"/>
      <c r="W110" s="123"/>
      <c r="X110" s="123"/>
      <c r="Y110" s="123"/>
      <c r="Z110" s="123"/>
    </row>
    <row r="111" spans="3:26">
      <c r="C111" s="123"/>
      <c r="D111" s="123"/>
      <c r="E111" s="123"/>
      <c r="F111" s="123"/>
      <c r="G111" s="123"/>
      <c r="H111" s="128"/>
      <c r="I111" s="123"/>
      <c r="J111" s="123"/>
      <c r="K111" s="123"/>
      <c r="L111" s="123"/>
      <c r="M111" s="123"/>
      <c r="N111" s="123"/>
      <c r="O111" s="123"/>
      <c r="P111" s="128"/>
      <c r="Q111" s="128"/>
      <c r="R111" s="178"/>
      <c r="S111" s="178"/>
      <c r="T111" s="123"/>
      <c r="U111" s="123"/>
      <c r="V111" s="123"/>
      <c r="W111" s="123"/>
      <c r="X111" s="123"/>
      <c r="Y111" s="123"/>
      <c r="Z111" s="123"/>
    </row>
    <row r="112" spans="3:26">
      <c r="C112" s="123"/>
      <c r="D112" s="123"/>
      <c r="E112" s="123"/>
      <c r="F112" s="123"/>
      <c r="G112" s="123"/>
      <c r="H112" s="128"/>
      <c r="I112" s="123"/>
      <c r="J112" s="123"/>
      <c r="K112" s="123"/>
      <c r="L112" s="123"/>
      <c r="M112" s="123"/>
      <c r="N112" s="123"/>
      <c r="O112" s="123"/>
      <c r="P112" s="128"/>
      <c r="Q112" s="128"/>
      <c r="R112" s="178"/>
      <c r="S112" s="178"/>
      <c r="T112" s="123"/>
      <c r="U112" s="123"/>
      <c r="V112" s="123"/>
      <c r="W112" s="123"/>
      <c r="X112" s="123"/>
      <c r="Y112" s="123"/>
      <c r="Z112" s="123"/>
    </row>
    <row r="113" spans="3:26">
      <c r="C113" s="123"/>
      <c r="D113" s="123"/>
      <c r="E113" s="123"/>
      <c r="F113" s="123"/>
      <c r="G113" s="123"/>
      <c r="H113" s="128"/>
      <c r="I113" s="123"/>
      <c r="J113" s="123"/>
      <c r="K113" s="123"/>
      <c r="L113" s="123"/>
      <c r="M113" s="123"/>
      <c r="N113" s="123"/>
      <c r="O113" s="123"/>
      <c r="P113" s="128"/>
      <c r="Q113" s="128"/>
      <c r="R113" s="178"/>
      <c r="S113" s="178"/>
      <c r="T113" s="123"/>
      <c r="U113" s="123"/>
      <c r="V113" s="123"/>
      <c r="W113" s="123"/>
      <c r="X113" s="123"/>
      <c r="Y113" s="123"/>
      <c r="Z113" s="123"/>
    </row>
    <row r="114" spans="3:26">
      <c r="C114" s="123"/>
      <c r="D114" s="123"/>
      <c r="E114" s="123"/>
      <c r="F114" s="123"/>
      <c r="G114" s="123"/>
      <c r="H114" s="128"/>
      <c r="I114" s="123"/>
      <c r="J114" s="123"/>
      <c r="K114" s="123"/>
      <c r="L114" s="123"/>
      <c r="M114" s="123"/>
      <c r="N114" s="123"/>
      <c r="O114" s="123"/>
      <c r="P114" s="128"/>
      <c r="Q114" s="128"/>
      <c r="R114" s="178"/>
      <c r="S114" s="178"/>
      <c r="T114" s="123"/>
      <c r="U114" s="123"/>
      <c r="V114" s="123"/>
      <c r="W114" s="123"/>
      <c r="X114" s="123"/>
      <c r="Y114" s="123"/>
      <c r="Z114" s="123"/>
    </row>
    <row r="115" spans="3:26">
      <c r="C115" s="123"/>
      <c r="D115" s="123"/>
      <c r="E115" s="123"/>
      <c r="F115" s="123"/>
      <c r="G115" s="123"/>
      <c r="H115" s="128"/>
      <c r="I115" s="123"/>
      <c r="J115" s="123"/>
      <c r="K115" s="123"/>
      <c r="L115" s="123"/>
      <c r="M115" s="123"/>
      <c r="N115" s="123"/>
      <c r="O115" s="123"/>
      <c r="P115" s="128"/>
      <c r="Q115" s="128"/>
      <c r="R115" s="178"/>
      <c r="S115" s="178"/>
      <c r="T115" s="123"/>
      <c r="U115" s="123"/>
      <c r="V115" s="123"/>
      <c r="W115" s="123"/>
      <c r="X115" s="123"/>
      <c r="Y115" s="123"/>
      <c r="Z115" s="123"/>
    </row>
    <row r="116" spans="3:26">
      <c r="C116" s="123"/>
      <c r="D116" s="123"/>
      <c r="E116" s="123"/>
      <c r="F116" s="123"/>
      <c r="G116" s="123"/>
      <c r="H116" s="128"/>
      <c r="I116" s="123"/>
      <c r="J116" s="123"/>
      <c r="K116" s="123"/>
      <c r="L116" s="123"/>
      <c r="M116" s="123"/>
      <c r="N116" s="123"/>
      <c r="O116" s="123"/>
      <c r="P116" s="128"/>
      <c r="Q116" s="128"/>
      <c r="R116" s="178"/>
      <c r="S116" s="178"/>
      <c r="T116" s="123"/>
      <c r="U116" s="123"/>
      <c r="V116" s="123"/>
      <c r="W116" s="123"/>
      <c r="X116" s="123"/>
      <c r="Y116" s="123"/>
      <c r="Z116" s="123"/>
    </row>
    <row r="117" spans="3:26">
      <c r="C117" s="123"/>
      <c r="D117" s="123"/>
      <c r="E117" s="123"/>
      <c r="F117" s="123"/>
      <c r="G117" s="123"/>
      <c r="H117" s="128"/>
      <c r="I117" s="123"/>
      <c r="J117" s="123"/>
      <c r="K117" s="123"/>
      <c r="L117" s="123"/>
      <c r="M117" s="123"/>
      <c r="N117" s="123"/>
      <c r="O117" s="123"/>
      <c r="P117" s="128"/>
      <c r="Q117" s="128"/>
      <c r="R117" s="178"/>
      <c r="S117" s="178"/>
      <c r="T117" s="123"/>
      <c r="U117" s="123"/>
      <c r="V117" s="123"/>
      <c r="W117" s="123"/>
      <c r="X117" s="123"/>
      <c r="Y117" s="123"/>
      <c r="Z117" s="123"/>
    </row>
    <row r="118" spans="3:26">
      <c r="C118" s="123"/>
      <c r="D118" s="123"/>
      <c r="E118" s="123"/>
      <c r="F118" s="123"/>
      <c r="G118" s="123"/>
      <c r="H118" s="128"/>
      <c r="I118" s="123"/>
      <c r="J118" s="123"/>
      <c r="K118" s="123"/>
      <c r="L118" s="123"/>
      <c r="M118" s="123"/>
      <c r="N118" s="123"/>
      <c r="O118" s="123"/>
      <c r="P118" s="128"/>
      <c r="Q118" s="128"/>
      <c r="R118" s="178"/>
      <c r="S118" s="178"/>
      <c r="T118" s="123"/>
      <c r="U118" s="123"/>
      <c r="V118" s="123"/>
      <c r="W118" s="123"/>
      <c r="X118" s="123"/>
      <c r="Y118" s="123"/>
      <c r="Z118" s="123"/>
    </row>
    <row r="119" spans="3:26">
      <c r="C119" s="123"/>
      <c r="D119" s="123"/>
      <c r="E119" s="123"/>
      <c r="F119" s="123"/>
      <c r="G119" s="123"/>
      <c r="H119" s="128"/>
      <c r="I119" s="123"/>
      <c r="J119" s="123"/>
      <c r="K119" s="123"/>
      <c r="L119" s="123"/>
      <c r="M119" s="123"/>
      <c r="N119" s="123"/>
      <c r="O119" s="123"/>
      <c r="P119" s="128"/>
      <c r="Q119" s="128"/>
      <c r="R119" s="178"/>
      <c r="S119" s="178"/>
      <c r="T119" s="123"/>
      <c r="U119" s="123"/>
      <c r="V119" s="123"/>
      <c r="W119" s="123"/>
      <c r="X119" s="123"/>
      <c r="Y119" s="123"/>
      <c r="Z119" s="123"/>
    </row>
    <row r="120" spans="3:26">
      <c r="C120" s="123"/>
      <c r="D120" s="123"/>
      <c r="E120" s="123"/>
      <c r="F120" s="123"/>
      <c r="G120" s="123"/>
      <c r="H120" s="128"/>
      <c r="I120" s="123"/>
      <c r="J120" s="123"/>
      <c r="K120" s="123"/>
      <c r="L120" s="123"/>
      <c r="M120" s="123"/>
      <c r="N120" s="123"/>
      <c r="O120" s="123"/>
      <c r="P120" s="128"/>
      <c r="Q120" s="128"/>
      <c r="R120" s="178"/>
      <c r="S120" s="178"/>
      <c r="T120" s="123"/>
      <c r="U120" s="123"/>
      <c r="V120" s="123"/>
      <c r="W120" s="123"/>
      <c r="X120" s="123"/>
      <c r="Y120" s="123"/>
      <c r="Z120" s="123"/>
    </row>
    <row r="121" spans="3:26">
      <c r="C121" s="123"/>
      <c r="D121" s="123"/>
      <c r="E121" s="123"/>
      <c r="F121" s="123"/>
      <c r="G121" s="123"/>
      <c r="H121" s="128"/>
      <c r="I121" s="123"/>
      <c r="J121" s="123"/>
      <c r="K121" s="123"/>
      <c r="L121" s="123"/>
      <c r="M121" s="123"/>
      <c r="N121" s="123"/>
      <c r="O121" s="123"/>
      <c r="P121" s="128"/>
      <c r="Q121" s="128"/>
      <c r="R121" s="178"/>
      <c r="S121" s="178"/>
      <c r="T121" s="123"/>
      <c r="U121" s="123"/>
      <c r="V121" s="123"/>
      <c r="W121" s="123"/>
      <c r="X121" s="123"/>
      <c r="Y121" s="123"/>
      <c r="Z121" s="123"/>
    </row>
    <row r="122" spans="3:26">
      <c r="C122" s="123"/>
      <c r="D122" s="123"/>
      <c r="E122" s="123"/>
      <c r="F122" s="123"/>
      <c r="G122" s="123"/>
      <c r="H122" s="128"/>
      <c r="I122" s="123"/>
      <c r="J122" s="123"/>
      <c r="K122" s="123"/>
      <c r="L122" s="123"/>
      <c r="M122" s="123"/>
      <c r="N122" s="123"/>
      <c r="O122" s="123"/>
      <c r="P122" s="128"/>
      <c r="Q122" s="128"/>
      <c r="R122" s="178"/>
      <c r="S122" s="178"/>
      <c r="T122" s="123"/>
      <c r="U122" s="123"/>
      <c r="V122" s="123"/>
      <c r="W122" s="123"/>
      <c r="X122" s="123"/>
      <c r="Y122" s="123"/>
      <c r="Z122" s="123"/>
    </row>
    <row r="123" spans="3:26">
      <c r="C123" s="123"/>
      <c r="D123" s="123"/>
      <c r="E123" s="123"/>
      <c r="F123" s="123"/>
      <c r="G123" s="123"/>
      <c r="H123" s="128"/>
      <c r="I123" s="123"/>
      <c r="J123" s="123"/>
      <c r="K123" s="123"/>
      <c r="L123" s="123"/>
      <c r="M123" s="123"/>
      <c r="N123" s="123"/>
      <c r="O123" s="123"/>
      <c r="P123" s="128"/>
      <c r="Q123" s="128"/>
      <c r="R123" s="178"/>
      <c r="S123" s="178"/>
      <c r="T123" s="123"/>
      <c r="U123" s="123"/>
      <c r="V123" s="123"/>
      <c r="W123" s="123"/>
      <c r="X123" s="123"/>
      <c r="Y123" s="123"/>
      <c r="Z123" s="123"/>
    </row>
    <row r="124" spans="3:26">
      <c r="C124" s="123"/>
      <c r="D124" s="123"/>
      <c r="E124" s="123"/>
      <c r="F124" s="123"/>
      <c r="G124" s="123"/>
      <c r="H124" s="128"/>
      <c r="I124" s="123"/>
      <c r="J124" s="123"/>
      <c r="K124" s="123"/>
      <c r="L124" s="123"/>
      <c r="M124" s="123"/>
      <c r="N124" s="123"/>
      <c r="O124" s="123"/>
      <c r="P124" s="128"/>
      <c r="Q124" s="128"/>
      <c r="R124" s="178"/>
      <c r="S124" s="178"/>
      <c r="T124" s="123"/>
      <c r="U124" s="123"/>
      <c r="V124" s="123"/>
      <c r="W124" s="123"/>
      <c r="X124" s="123"/>
      <c r="Y124" s="123"/>
      <c r="Z124" s="123"/>
    </row>
    <row r="125" spans="3:26">
      <c r="C125" s="123"/>
      <c r="D125" s="123"/>
      <c r="E125" s="123"/>
      <c r="F125" s="123"/>
      <c r="G125" s="123"/>
      <c r="H125" s="128"/>
      <c r="I125" s="123"/>
      <c r="J125" s="123"/>
      <c r="K125" s="123"/>
      <c r="L125" s="123"/>
      <c r="M125" s="123"/>
      <c r="N125" s="123"/>
      <c r="O125" s="123"/>
      <c r="P125" s="128"/>
      <c r="Q125" s="128"/>
      <c r="R125" s="178"/>
      <c r="S125" s="178"/>
      <c r="T125" s="123"/>
      <c r="U125" s="123"/>
      <c r="V125" s="123"/>
      <c r="W125" s="123"/>
      <c r="X125" s="123"/>
      <c r="Y125" s="123"/>
      <c r="Z125" s="123"/>
    </row>
    <row r="126" spans="3:26">
      <c r="C126" s="123"/>
      <c r="D126" s="123"/>
      <c r="E126" s="123"/>
      <c r="F126" s="123"/>
      <c r="G126" s="123"/>
      <c r="H126" s="128"/>
      <c r="I126" s="123"/>
      <c r="J126" s="123"/>
      <c r="K126" s="123"/>
      <c r="L126" s="123"/>
      <c r="M126" s="123"/>
      <c r="N126" s="123"/>
      <c r="O126" s="123"/>
      <c r="P126" s="128"/>
      <c r="Q126" s="128"/>
      <c r="R126" s="178"/>
      <c r="S126" s="178"/>
      <c r="T126" s="123"/>
      <c r="U126" s="123"/>
      <c r="V126" s="123"/>
      <c r="W126" s="123"/>
      <c r="X126" s="123"/>
      <c r="Y126" s="123"/>
      <c r="Z126" s="123"/>
    </row>
    <row r="127" spans="3:26">
      <c r="C127" s="123"/>
      <c r="D127" s="123"/>
      <c r="E127" s="123"/>
      <c r="F127" s="123"/>
      <c r="G127" s="123"/>
      <c r="H127" s="128"/>
      <c r="I127" s="123"/>
      <c r="J127" s="123"/>
      <c r="K127" s="123"/>
      <c r="L127" s="123"/>
      <c r="M127" s="123"/>
      <c r="N127" s="123"/>
      <c r="O127" s="123"/>
      <c r="P127" s="128"/>
      <c r="Q127" s="128"/>
      <c r="R127" s="178"/>
      <c r="S127" s="178"/>
      <c r="T127" s="123"/>
      <c r="U127" s="123"/>
      <c r="V127" s="123"/>
      <c r="W127" s="123"/>
      <c r="X127" s="123"/>
      <c r="Y127" s="123"/>
      <c r="Z127" s="123"/>
    </row>
    <row r="128" spans="3:26">
      <c r="C128" s="123"/>
      <c r="D128" s="123"/>
      <c r="E128" s="123"/>
      <c r="F128" s="123"/>
      <c r="G128" s="123"/>
      <c r="H128" s="128"/>
      <c r="I128" s="123"/>
      <c r="J128" s="123"/>
      <c r="K128" s="123"/>
      <c r="L128" s="123"/>
      <c r="M128" s="123"/>
      <c r="N128" s="123"/>
      <c r="O128" s="123"/>
      <c r="P128" s="128"/>
      <c r="Q128" s="128"/>
      <c r="R128" s="178"/>
      <c r="S128" s="178"/>
      <c r="T128" s="123"/>
      <c r="U128" s="123"/>
      <c r="V128" s="123"/>
      <c r="W128" s="123"/>
      <c r="X128" s="123"/>
      <c r="Y128" s="123"/>
      <c r="Z128" s="123"/>
    </row>
    <row r="129" spans="3:26">
      <c r="C129" s="123"/>
      <c r="D129" s="123"/>
      <c r="E129" s="123"/>
      <c r="F129" s="123"/>
      <c r="G129" s="123"/>
      <c r="H129" s="128"/>
      <c r="I129" s="123"/>
      <c r="J129" s="123"/>
      <c r="K129" s="123"/>
      <c r="L129" s="123"/>
      <c r="M129" s="123"/>
      <c r="N129" s="123"/>
      <c r="O129" s="123"/>
      <c r="P129" s="128"/>
      <c r="Q129" s="128"/>
      <c r="R129" s="178"/>
      <c r="S129" s="178"/>
      <c r="T129" s="123"/>
      <c r="U129" s="123"/>
      <c r="V129" s="123"/>
      <c r="W129" s="123"/>
      <c r="X129" s="123"/>
      <c r="Y129" s="123"/>
      <c r="Z129" s="123"/>
    </row>
    <row r="130" spans="3:26">
      <c r="C130" s="123"/>
      <c r="D130" s="123"/>
      <c r="E130" s="123"/>
      <c r="F130" s="123"/>
      <c r="G130" s="123"/>
      <c r="H130" s="128"/>
      <c r="I130" s="123"/>
      <c r="J130" s="123"/>
      <c r="K130" s="123"/>
      <c r="L130" s="123"/>
      <c r="M130" s="123"/>
      <c r="N130" s="123"/>
      <c r="O130" s="123"/>
      <c r="P130" s="128"/>
      <c r="Q130" s="128"/>
      <c r="R130" s="178"/>
      <c r="S130" s="178"/>
      <c r="T130" s="123"/>
      <c r="U130" s="123"/>
      <c r="V130" s="123"/>
      <c r="W130" s="123"/>
      <c r="X130" s="123"/>
      <c r="Y130" s="123"/>
      <c r="Z130" s="123"/>
    </row>
    <row r="131" spans="3:26">
      <c r="C131" s="123"/>
      <c r="D131" s="123"/>
      <c r="E131" s="123"/>
      <c r="F131" s="123"/>
      <c r="G131" s="123"/>
      <c r="H131" s="128"/>
      <c r="I131" s="123"/>
      <c r="J131" s="123"/>
      <c r="K131" s="123"/>
      <c r="L131" s="123"/>
      <c r="M131" s="123"/>
      <c r="N131" s="123"/>
      <c r="O131" s="123"/>
      <c r="P131" s="128"/>
      <c r="Q131" s="128"/>
      <c r="R131" s="178"/>
      <c r="S131" s="178"/>
      <c r="T131" s="123"/>
      <c r="U131" s="123"/>
      <c r="V131" s="123"/>
      <c r="W131" s="123"/>
      <c r="X131" s="123"/>
      <c r="Y131" s="123"/>
      <c r="Z131" s="123"/>
    </row>
    <row r="132" spans="3:26">
      <c r="C132" s="123"/>
      <c r="D132" s="123"/>
      <c r="E132" s="123"/>
      <c r="F132" s="123"/>
      <c r="G132" s="123"/>
      <c r="H132" s="128"/>
      <c r="I132" s="123"/>
      <c r="J132" s="123"/>
      <c r="K132" s="123"/>
      <c r="L132" s="123"/>
      <c r="M132" s="123"/>
      <c r="N132" s="123"/>
      <c r="O132" s="123"/>
      <c r="P132" s="128"/>
      <c r="Q132" s="128"/>
      <c r="R132" s="178"/>
      <c r="S132" s="178"/>
      <c r="T132" s="123"/>
      <c r="U132" s="123"/>
      <c r="V132" s="123"/>
      <c r="W132" s="123"/>
      <c r="X132" s="123"/>
      <c r="Y132" s="123"/>
      <c r="Z132" s="123"/>
    </row>
    <row r="133" spans="3:26">
      <c r="C133" s="123"/>
      <c r="D133" s="123"/>
      <c r="E133" s="123"/>
      <c r="F133" s="123"/>
      <c r="G133" s="123"/>
      <c r="H133" s="128"/>
      <c r="I133" s="123"/>
      <c r="J133" s="123"/>
      <c r="K133" s="123"/>
      <c r="L133" s="123"/>
      <c r="M133" s="123"/>
      <c r="N133" s="123"/>
      <c r="O133" s="123"/>
      <c r="P133" s="128"/>
      <c r="Q133" s="128"/>
      <c r="R133" s="178"/>
      <c r="S133" s="178"/>
      <c r="T133" s="123"/>
      <c r="U133" s="123"/>
      <c r="V133" s="123"/>
      <c r="W133" s="123"/>
      <c r="X133" s="123"/>
      <c r="Y133" s="123"/>
      <c r="Z133" s="123"/>
    </row>
    <row r="134" spans="3:26">
      <c r="C134" s="123"/>
      <c r="D134" s="123"/>
      <c r="E134" s="123"/>
      <c r="F134" s="123"/>
      <c r="G134" s="123"/>
      <c r="H134" s="128"/>
      <c r="I134" s="123"/>
      <c r="J134" s="123"/>
      <c r="K134" s="123"/>
      <c r="L134" s="123"/>
      <c r="M134" s="123"/>
      <c r="N134" s="123"/>
      <c r="O134" s="123"/>
      <c r="P134" s="128"/>
      <c r="Q134" s="128"/>
      <c r="R134" s="178"/>
      <c r="S134" s="178"/>
      <c r="T134" s="123"/>
      <c r="U134" s="123"/>
      <c r="V134" s="123"/>
      <c r="W134" s="123"/>
      <c r="X134" s="123"/>
      <c r="Y134" s="123"/>
      <c r="Z134" s="123"/>
    </row>
    <row r="135" spans="3:26">
      <c r="C135" s="123"/>
      <c r="D135" s="123"/>
      <c r="E135" s="123"/>
      <c r="F135" s="123"/>
      <c r="G135" s="123"/>
      <c r="H135" s="128"/>
      <c r="I135" s="123"/>
      <c r="J135" s="123"/>
      <c r="K135" s="123"/>
      <c r="L135" s="123"/>
      <c r="M135" s="123"/>
      <c r="N135" s="123"/>
      <c r="O135" s="123"/>
      <c r="P135" s="128"/>
      <c r="Q135" s="128"/>
      <c r="R135" s="178"/>
      <c r="S135" s="178"/>
      <c r="T135" s="123"/>
      <c r="U135" s="123"/>
      <c r="V135" s="123"/>
      <c r="W135" s="123"/>
      <c r="X135" s="123"/>
      <c r="Y135" s="123"/>
      <c r="Z135" s="123"/>
    </row>
    <row r="136" spans="3:26">
      <c r="C136" s="123"/>
      <c r="D136" s="123"/>
      <c r="E136" s="123"/>
      <c r="F136" s="123"/>
      <c r="G136" s="123"/>
      <c r="H136" s="128"/>
      <c r="I136" s="123"/>
      <c r="J136" s="123"/>
      <c r="K136" s="123"/>
      <c r="L136" s="123"/>
      <c r="M136" s="123"/>
      <c r="N136" s="123"/>
      <c r="O136" s="123"/>
      <c r="P136" s="128"/>
      <c r="Q136" s="128"/>
      <c r="R136" s="178"/>
      <c r="S136" s="178"/>
      <c r="T136" s="123"/>
      <c r="U136" s="123"/>
      <c r="V136" s="123"/>
      <c r="W136" s="123"/>
      <c r="X136" s="123"/>
      <c r="Y136" s="123"/>
      <c r="Z136" s="123"/>
    </row>
    <row r="137" spans="3:26">
      <c r="C137" s="123"/>
      <c r="D137" s="123"/>
      <c r="E137" s="123"/>
      <c r="F137" s="128"/>
      <c r="G137" s="123"/>
      <c r="H137" s="128"/>
      <c r="I137" s="123"/>
      <c r="J137" s="123"/>
      <c r="K137" s="123"/>
      <c r="L137" s="123"/>
      <c r="M137" s="123"/>
      <c r="N137" s="123"/>
      <c r="O137" s="123"/>
      <c r="P137" s="128"/>
      <c r="Q137" s="128"/>
      <c r="R137" s="178"/>
      <c r="S137" s="178"/>
      <c r="T137" s="123"/>
      <c r="U137" s="123"/>
      <c r="V137" s="123"/>
      <c r="W137" s="123"/>
      <c r="X137" s="123"/>
      <c r="Y137" s="123"/>
      <c r="Z137" s="123"/>
    </row>
    <row r="138" spans="3:26">
      <c r="C138" s="123"/>
      <c r="D138" s="123"/>
      <c r="E138" s="123"/>
      <c r="F138" s="123"/>
      <c r="G138" s="123"/>
      <c r="H138" s="128"/>
      <c r="I138" s="123"/>
      <c r="J138" s="123"/>
      <c r="K138" s="123"/>
      <c r="L138" s="123"/>
      <c r="M138" s="123"/>
      <c r="N138" s="123"/>
      <c r="O138" s="123"/>
      <c r="P138" s="128"/>
      <c r="Q138" s="128"/>
      <c r="R138" s="178"/>
      <c r="S138" s="178"/>
      <c r="T138" s="123"/>
      <c r="U138" s="123"/>
      <c r="V138" s="123"/>
      <c r="W138" s="123"/>
      <c r="X138" s="123"/>
      <c r="Y138" s="123"/>
      <c r="Z138" s="123"/>
    </row>
    <row r="139" spans="3:26">
      <c r="C139" s="123"/>
      <c r="D139" s="123"/>
      <c r="E139" s="123"/>
      <c r="F139" s="123"/>
      <c r="G139" s="123"/>
      <c r="H139" s="128"/>
      <c r="I139" s="123"/>
      <c r="J139" s="123"/>
      <c r="K139" s="123"/>
      <c r="L139" s="123"/>
      <c r="M139" s="123"/>
      <c r="N139" s="123"/>
      <c r="O139" s="123"/>
      <c r="P139" s="128"/>
      <c r="Q139" s="123"/>
      <c r="R139" s="123"/>
      <c r="S139" s="123"/>
      <c r="T139" s="123"/>
      <c r="U139" s="123"/>
      <c r="V139" s="123"/>
      <c r="W139" s="123"/>
      <c r="X139" s="123"/>
      <c r="Y139" s="123"/>
      <c r="Z139" s="123"/>
    </row>
    <row r="140" spans="3:26">
      <c r="C140" s="120"/>
      <c r="D140" s="123"/>
      <c r="E140" s="123"/>
      <c r="F140" s="123"/>
      <c r="G140" s="123"/>
      <c r="H140" s="128"/>
      <c r="I140" s="123"/>
      <c r="J140" s="123"/>
      <c r="K140" s="123"/>
      <c r="L140" s="123"/>
      <c r="M140" s="123"/>
      <c r="N140" s="123"/>
      <c r="O140" s="123"/>
      <c r="P140" s="128"/>
      <c r="Q140" s="128"/>
      <c r="R140" s="123"/>
      <c r="S140" s="123"/>
      <c r="T140" s="123"/>
      <c r="U140" s="123"/>
      <c r="V140" s="123"/>
      <c r="W140" s="123"/>
      <c r="X140" s="123"/>
      <c r="Y140" s="123"/>
      <c r="Z140" s="123"/>
    </row>
    <row r="141" spans="3:26">
      <c r="C141" s="120"/>
      <c r="D141" s="123"/>
      <c r="E141" s="123"/>
      <c r="F141" s="123"/>
      <c r="G141" s="123"/>
      <c r="H141" s="128"/>
      <c r="I141" s="123"/>
      <c r="J141" s="123"/>
      <c r="K141" s="123"/>
      <c r="L141" s="123"/>
      <c r="M141" s="123"/>
      <c r="N141" s="123"/>
      <c r="O141" s="123"/>
      <c r="P141" s="128"/>
      <c r="Q141" s="128"/>
      <c r="R141" s="123"/>
      <c r="S141" s="123"/>
      <c r="T141" s="123"/>
      <c r="U141" s="123"/>
      <c r="V141" s="123"/>
      <c r="W141" s="123"/>
      <c r="X141" s="123"/>
      <c r="Y141" s="123"/>
      <c r="Z141" s="123"/>
    </row>
    <row r="142" spans="3:26">
      <c r="C142" s="120"/>
      <c r="D142" s="123"/>
      <c r="E142" s="123"/>
      <c r="F142" s="123"/>
      <c r="G142" s="123"/>
      <c r="H142" s="128"/>
      <c r="I142" s="123"/>
      <c r="J142" s="123"/>
      <c r="K142" s="123"/>
      <c r="L142" s="123"/>
      <c r="M142" s="123"/>
      <c r="N142" s="123"/>
      <c r="O142" s="123"/>
      <c r="P142" s="128"/>
      <c r="Q142" s="128"/>
      <c r="R142" s="123"/>
      <c r="S142" s="123"/>
      <c r="T142" s="123"/>
      <c r="U142" s="123"/>
      <c r="V142" s="123"/>
      <c r="W142" s="123"/>
      <c r="X142" s="123"/>
      <c r="Y142" s="123"/>
      <c r="Z142" s="123"/>
    </row>
    <row r="143" spans="3:26">
      <c r="C143" s="120"/>
      <c r="D143" s="123"/>
      <c r="E143" s="123"/>
      <c r="F143" s="123"/>
      <c r="G143" s="123"/>
      <c r="H143" s="128"/>
      <c r="I143" s="123"/>
      <c r="J143" s="123"/>
      <c r="K143" s="123"/>
      <c r="L143" s="123"/>
      <c r="M143" s="123"/>
      <c r="N143" s="123"/>
      <c r="O143" s="123"/>
      <c r="P143" s="128"/>
      <c r="Q143" s="128"/>
      <c r="R143" s="123"/>
      <c r="S143" s="123"/>
      <c r="T143" s="123"/>
      <c r="U143" s="123"/>
      <c r="V143" s="123"/>
      <c r="W143" s="123"/>
      <c r="X143" s="123"/>
      <c r="Y143" s="123"/>
      <c r="Z143" s="123"/>
    </row>
    <row r="144" spans="3:26">
      <c r="C144" s="120"/>
      <c r="D144" s="123"/>
      <c r="E144" s="123"/>
      <c r="F144" s="123"/>
      <c r="G144" s="123"/>
      <c r="H144" s="128"/>
      <c r="I144" s="123"/>
      <c r="J144" s="123"/>
      <c r="K144" s="123"/>
      <c r="L144" s="123"/>
      <c r="M144" s="123"/>
      <c r="N144" s="123"/>
      <c r="O144" s="123"/>
      <c r="P144" s="128"/>
      <c r="Q144" s="128"/>
      <c r="R144" s="123"/>
      <c r="S144" s="123"/>
      <c r="T144" s="123"/>
      <c r="U144" s="123"/>
      <c r="V144" s="123"/>
      <c r="W144" s="123"/>
      <c r="X144" s="123"/>
      <c r="Y144" s="123"/>
      <c r="Z144" s="123"/>
    </row>
    <row r="145" spans="3:26">
      <c r="C145" s="120"/>
      <c r="D145" s="123"/>
      <c r="E145" s="123"/>
      <c r="F145" s="123"/>
      <c r="G145" s="123"/>
      <c r="H145" s="128"/>
      <c r="I145" s="123"/>
      <c r="J145" s="123"/>
      <c r="K145" s="123"/>
      <c r="L145" s="123"/>
      <c r="M145" s="123"/>
      <c r="N145" s="123"/>
      <c r="O145" s="123"/>
      <c r="P145" s="128"/>
      <c r="Q145" s="128"/>
      <c r="R145" s="123"/>
      <c r="S145" s="123"/>
      <c r="T145" s="123"/>
      <c r="U145" s="123"/>
      <c r="V145" s="123"/>
      <c r="W145" s="123"/>
      <c r="X145" s="123"/>
      <c r="Y145" s="123"/>
      <c r="Z145" s="123"/>
    </row>
    <row r="146" spans="3:26">
      <c r="C146" s="120"/>
      <c r="D146" s="123"/>
      <c r="E146" s="123"/>
      <c r="F146" s="123"/>
      <c r="G146" s="123"/>
      <c r="H146" s="128"/>
      <c r="I146" s="123"/>
      <c r="J146" s="123"/>
      <c r="K146" s="123"/>
      <c r="L146" s="123"/>
      <c r="M146" s="123"/>
      <c r="N146" s="123"/>
      <c r="O146" s="123"/>
      <c r="P146" s="128"/>
      <c r="Q146" s="128"/>
      <c r="R146" s="123"/>
      <c r="S146" s="123"/>
      <c r="T146" s="123"/>
      <c r="U146" s="123"/>
      <c r="V146" s="123"/>
      <c r="W146" s="123"/>
      <c r="X146" s="123"/>
      <c r="Y146" s="123"/>
      <c r="Z146" s="123"/>
    </row>
    <row r="147" spans="3:26">
      <c r="C147" s="120"/>
      <c r="D147" s="123"/>
      <c r="E147" s="123"/>
      <c r="F147" s="123"/>
      <c r="G147" s="123"/>
      <c r="H147" s="128"/>
      <c r="I147" s="123"/>
      <c r="J147" s="123"/>
      <c r="K147" s="123"/>
      <c r="L147" s="123"/>
      <c r="M147" s="123"/>
      <c r="N147" s="123"/>
      <c r="O147" s="123"/>
      <c r="P147" s="128"/>
      <c r="Q147" s="128"/>
      <c r="R147" s="123"/>
      <c r="S147" s="123"/>
      <c r="T147" s="123"/>
      <c r="U147" s="123"/>
      <c r="V147" s="123"/>
      <c r="W147" s="123"/>
      <c r="X147" s="123"/>
      <c r="Y147" s="123"/>
      <c r="Z147" s="123"/>
    </row>
    <row r="148" spans="3:26">
      <c r="C148" s="123"/>
      <c r="D148" s="123"/>
      <c r="E148" s="123"/>
      <c r="F148" s="123"/>
      <c r="G148" s="123"/>
      <c r="H148" s="128"/>
      <c r="I148" s="123"/>
      <c r="J148" s="123"/>
      <c r="K148" s="123"/>
      <c r="L148" s="123"/>
      <c r="M148" s="123"/>
      <c r="N148" s="123"/>
      <c r="O148" s="123"/>
      <c r="P148" s="128"/>
      <c r="Q148" s="128"/>
      <c r="R148" s="178"/>
      <c r="S148" s="178"/>
      <c r="T148" s="123"/>
      <c r="U148" s="123"/>
      <c r="V148" s="123"/>
      <c r="W148" s="123"/>
      <c r="X148" s="123"/>
      <c r="Y148" s="123"/>
      <c r="Z148" s="123"/>
    </row>
    <row r="149" spans="3:26">
      <c r="C149" s="123"/>
      <c r="D149" s="123"/>
      <c r="E149" s="123"/>
      <c r="F149" s="123"/>
      <c r="G149" s="123"/>
      <c r="H149" s="128"/>
      <c r="I149" s="123"/>
      <c r="J149" s="123"/>
      <c r="K149" s="123"/>
      <c r="L149" s="123"/>
      <c r="M149" s="123"/>
      <c r="N149" s="123"/>
      <c r="O149" s="123"/>
      <c r="P149" s="128"/>
      <c r="Q149" s="123"/>
      <c r="R149" s="123"/>
      <c r="S149" s="123"/>
      <c r="T149" s="123"/>
      <c r="U149" s="123"/>
      <c r="V149" s="123"/>
      <c r="W149" s="123"/>
      <c r="X149" s="123"/>
      <c r="Y149" s="123"/>
      <c r="Z149" s="123"/>
    </row>
    <row r="150" spans="3:26">
      <c r="C150" s="123"/>
      <c r="D150" s="123"/>
      <c r="E150" s="123"/>
      <c r="F150" s="123"/>
      <c r="G150" s="122"/>
      <c r="H150" s="123"/>
      <c r="I150" s="123"/>
      <c r="J150" s="123"/>
      <c r="K150" s="123"/>
      <c r="L150" s="123"/>
      <c r="M150" s="123"/>
      <c r="N150" s="123"/>
      <c r="O150" s="123"/>
      <c r="P150" s="123"/>
      <c r="Q150" s="123"/>
      <c r="R150" s="124"/>
      <c r="S150" s="124"/>
      <c r="T150" s="123"/>
      <c r="U150" s="123"/>
      <c r="V150" s="123"/>
      <c r="W150" s="123"/>
      <c r="X150" s="123"/>
      <c r="Y150" s="123"/>
      <c r="Z150" s="123"/>
    </row>
    <row r="151" spans="3:26">
      <c r="C151" s="123"/>
      <c r="D151" s="123"/>
      <c r="E151" s="123"/>
      <c r="F151" s="123"/>
      <c r="G151" s="122"/>
      <c r="H151" s="123"/>
      <c r="I151" s="123"/>
      <c r="J151" s="123"/>
      <c r="K151" s="123"/>
      <c r="L151" s="123"/>
      <c r="M151" s="123"/>
      <c r="N151" s="123"/>
      <c r="O151" s="123"/>
      <c r="P151" s="123"/>
      <c r="Q151" s="123"/>
      <c r="R151" s="124"/>
      <c r="S151" s="124"/>
      <c r="T151" s="123"/>
      <c r="U151" s="123"/>
      <c r="V151" s="123"/>
      <c r="W151" s="123"/>
      <c r="X151" s="123"/>
      <c r="Y151" s="123"/>
      <c r="Z151" s="123"/>
    </row>
    <row r="152" spans="3:26">
      <c r="C152" s="123"/>
      <c r="D152" s="123"/>
      <c r="E152" s="123"/>
      <c r="F152" s="123"/>
      <c r="G152" s="122"/>
      <c r="H152" s="123"/>
      <c r="I152" s="123"/>
      <c r="J152" s="123"/>
      <c r="K152" s="123"/>
      <c r="L152" s="123"/>
      <c r="M152" s="123"/>
      <c r="N152" s="123"/>
      <c r="O152" s="123"/>
      <c r="P152" s="123"/>
      <c r="Q152" s="123"/>
      <c r="R152" s="124"/>
      <c r="S152" s="124"/>
      <c r="T152" s="123"/>
      <c r="U152" s="123"/>
      <c r="V152" s="123"/>
      <c r="W152" s="123"/>
      <c r="X152" s="123"/>
      <c r="Y152" s="123"/>
      <c r="Z152" s="123"/>
    </row>
    <row r="153" spans="3:26">
      <c r="C153" s="123"/>
      <c r="D153" s="123"/>
      <c r="E153" s="123"/>
      <c r="F153" s="123"/>
      <c r="G153" s="122"/>
      <c r="H153" s="123"/>
      <c r="I153" s="123"/>
      <c r="J153" s="123"/>
      <c r="K153" s="123"/>
      <c r="L153" s="123"/>
      <c r="M153" s="123"/>
      <c r="N153" s="123"/>
      <c r="O153" s="123"/>
      <c r="P153" s="123"/>
      <c r="Q153" s="123"/>
      <c r="R153" s="124"/>
      <c r="S153" s="124"/>
      <c r="T153" s="123"/>
      <c r="U153" s="123"/>
      <c r="V153" s="123"/>
      <c r="W153" s="123"/>
      <c r="X153" s="123"/>
      <c r="Y153" s="123"/>
      <c r="Z153" s="123"/>
    </row>
    <row r="154" spans="3:26">
      <c r="C154" s="123"/>
      <c r="D154" s="123"/>
      <c r="E154" s="123"/>
      <c r="F154" s="123"/>
      <c r="G154" s="122"/>
      <c r="H154" s="123"/>
      <c r="I154" s="123"/>
      <c r="J154" s="123"/>
      <c r="K154" s="123"/>
      <c r="L154" s="123"/>
      <c r="M154" s="123"/>
      <c r="N154" s="123"/>
      <c r="O154" s="123"/>
      <c r="P154" s="123"/>
      <c r="Q154" s="123"/>
      <c r="R154" s="124"/>
      <c r="S154" s="124"/>
      <c r="T154" s="123"/>
      <c r="U154" s="123"/>
      <c r="V154" s="123"/>
      <c r="W154" s="123"/>
      <c r="X154" s="123"/>
      <c r="Y154" s="123"/>
      <c r="Z154" s="123"/>
    </row>
    <row r="155" spans="3:26">
      <c r="C155" s="123"/>
      <c r="D155" s="123"/>
      <c r="E155" s="123"/>
      <c r="F155" s="123"/>
      <c r="G155" s="122"/>
      <c r="H155" s="123"/>
      <c r="I155" s="123"/>
      <c r="J155" s="123"/>
      <c r="K155" s="123"/>
      <c r="L155" s="123"/>
      <c r="M155" s="123"/>
      <c r="N155" s="123"/>
      <c r="O155" s="123"/>
      <c r="P155" s="123"/>
      <c r="Q155" s="123"/>
      <c r="R155" s="124"/>
      <c r="S155" s="124"/>
      <c r="T155" s="123"/>
      <c r="U155" s="123"/>
      <c r="V155" s="123"/>
      <c r="W155" s="123"/>
      <c r="X155" s="123"/>
      <c r="Y155" s="123"/>
      <c r="Z155" s="123"/>
    </row>
    <row r="156" spans="3:26">
      <c r="C156" s="123"/>
      <c r="D156" s="123"/>
      <c r="E156" s="123"/>
      <c r="F156" s="123"/>
      <c r="G156" s="122"/>
      <c r="H156" s="123"/>
      <c r="I156" s="123"/>
      <c r="J156" s="123"/>
      <c r="K156" s="123"/>
      <c r="L156" s="123"/>
      <c r="M156" s="123"/>
      <c r="N156" s="123"/>
      <c r="O156" s="123"/>
      <c r="P156" s="123"/>
      <c r="Q156" s="123"/>
      <c r="R156" s="124"/>
      <c r="S156" s="124"/>
      <c r="T156" s="123"/>
      <c r="U156" s="123"/>
      <c r="V156" s="123"/>
      <c r="W156" s="123"/>
      <c r="X156" s="123"/>
      <c r="Y156" s="123"/>
      <c r="Z156" s="123"/>
    </row>
    <row r="157" spans="3:26">
      <c r="C157" s="123"/>
      <c r="D157" s="123"/>
      <c r="E157" s="123"/>
      <c r="F157" s="123"/>
      <c r="G157" s="122"/>
      <c r="H157" s="123"/>
      <c r="I157" s="123"/>
      <c r="J157" s="123"/>
      <c r="K157" s="123"/>
      <c r="L157" s="123"/>
      <c r="M157" s="123"/>
      <c r="N157" s="123"/>
      <c r="O157" s="123"/>
      <c r="P157" s="123"/>
      <c r="Q157" s="123"/>
      <c r="R157" s="124"/>
      <c r="S157" s="124"/>
      <c r="T157" s="123"/>
      <c r="U157" s="123"/>
      <c r="V157" s="123"/>
      <c r="W157" s="123"/>
      <c r="X157" s="123"/>
      <c r="Y157" s="123"/>
      <c r="Z157" s="123"/>
    </row>
    <row r="158" spans="3:26">
      <c r="C158" s="123"/>
      <c r="D158" s="123"/>
      <c r="E158" s="123"/>
      <c r="F158" s="123"/>
      <c r="G158" s="122"/>
      <c r="H158" s="123"/>
      <c r="I158" s="123"/>
      <c r="J158" s="123"/>
      <c r="K158" s="123"/>
      <c r="L158" s="123"/>
      <c r="M158" s="123"/>
      <c r="N158" s="123"/>
      <c r="O158" s="123"/>
      <c r="P158" s="123"/>
      <c r="Q158" s="123"/>
      <c r="R158" s="124"/>
      <c r="S158" s="124"/>
      <c r="T158" s="123"/>
      <c r="U158" s="123"/>
      <c r="V158" s="123"/>
      <c r="W158" s="123"/>
      <c r="X158" s="123"/>
      <c r="Y158" s="123"/>
      <c r="Z158" s="123"/>
    </row>
    <row r="159" spans="3:26">
      <c r="C159" s="123"/>
      <c r="D159" s="120"/>
      <c r="E159" s="123"/>
      <c r="F159" s="123"/>
      <c r="G159" s="123"/>
      <c r="H159" s="128"/>
      <c r="I159" s="123"/>
      <c r="J159" s="123"/>
      <c r="K159" s="123"/>
      <c r="L159" s="123"/>
      <c r="M159" s="123"/>
      <c r="N159" s="123"/>
      <c r="O159" s="123"/>
      <c r="P159" s="128"/>
      <c r="Q159" s="128"/>
      <c r="R159" s="178"/>
      <c r="S159" s="178"/>
      <c r="T159" s="123"/>
      <c r="U159" s="123"/>
      <c r="V159" s="123"/>
      <c r="W159" s="123"/>
      <c r="X159" s="123"/>
      <c r="Y159" s="123"/>
      <c r="Z159" s="123"/>
    </row>
    <row r="160" spans="3:26">
      <c r="C160" s="123"/>
      <c r="D160" s="120"/>
      <c r="E160" s="123"/>
      <c r="F160" s="123"/>
      <c r="G160" s="123"/>
      <c r="H160" s="128"/>
      <c r="I160" s="123"/>
      <c r="J160" s="123"/>
      <c r="K160" s="123"/>
      <c r="L160" s="123"/>
      <c r="M160" s="123"/>
      <c r="N160" s="123"/>
      <c r="O160" s="123"/>
      <c r="P160" s="128"/>
      <c r="Q160" s="128"/>
      <c r="R160" s="178"/>
      <c r="S160" s="178"/>
      <c r="T160" s="123"/>
      <c r="U160" s="123"/>
      <c r="V160" s="123"/>
      <c r="W160" s="123"/>
      <c r="X160" s="123"/>
      <c r="Y160" s="123"/>
      <c r="Z160" s="123"/>
    </row>
    <row r="161" spans="3:26">
      <c r="C161" s="123"/>
      <c r="D161" s="120"/>
      <c r="E161" s="123"/>
      <c r="F161" s="123"/>
      <c r="G161" s="123"/>
      <c r="H161" s="128"/>
      <c r="I161" s="123"/>
      <c r="J161" s="123"/>
      <c r="K161" s="123"/>
      <c r="L161" s="123"/>
      <c r="M161" s="123"/>
      <c r="N161" s="123"/>
      <c r="O161" s="123"/>
      <c r="P161" s="128"/>
      <c r="Q161" s="128"/>
      <c r="R161" s="178"/>
      <c r="S161" s="178"/>
      <c r="T161" s="123"/>
      <c r="U161" s="123"/>
      <c r="V161" s="123"/>
      <c r="W161" s="123"/>
      <c r="X161" s="123"/>
      <c r="Y161" s="123"/>
      <c r="Z161" s="123"/>
    </row>
    <row r="162" spans="3:26">
      <c r="C162" s="123"/>
      <c r="D162" s="120"/>
      <c r="E162" s="123"/>
      <c r="F162" s="123"/>
      <c r="G162" s="123"/>
      <c r="H162" s="128"/>
      <c r="I162" s="123"/>
      <c r="J162" s="123"/>
      <c r="K162" s="123"/>
      <c r="L162" s="123"/>
      <c r="M162" s="123"/>
      <c r="N162" s="123"/>
      <c r="O162" s="123"/>
      <c r="P162" s="128"/>
      <c r="Q162" s="128"/>
      <c r="R162" s="178"/>
      <c r="S162" s="178"/>
      <c r="T162" s="123"/>
      <c r="U162" s="123"/>
      <c r="V162" s="123"/>
      <c r="W162" s="123"/>
      <c r="X162" s="123"/>
      <c r="Y162" s="123"/>
      <c r="Z162" s="123"/>
    </row>
    <row r="163" spans="3:26">
      <c r="C163" s="123"/>
      <c r="D163" s="120"/>
      <c r="E163" s="123"/>
      <c r="F163" s="123"/>
      <c r="G163" s="123"/>
      <c r="H163" s="128"/>
      <c r="I163" s="123"/>
      <c r="J163" s="123"/>
      <c r="K163" s="123"/>
      <c r="L163" s="123"/>
      <c r="M163" s="123"/>
      <c r="N163" s="123"/>
      <c r="O163" s="123"/>
      <c r="P163" s="128"/>
      <c r="Q163" s="128"/>
      <c r="R163" s="178"/>
      <c r="S163" s="178"/>
      <c r="T163" s="123"/>
      <c r="U163" s="123"/>
      <c r="V163" s="123"/>
      <c r="W163" s="123"/>
      <c r="X163" s="123"/>
      <c r="Y163" s="123"/>
      <c r="Z163" s="123"/>
    </row>
    <row r="164" spans="3:26">
      <c r="C164" s="123"/>
      <c r="D164" s="120"/>
      <c r="E164" s="123"/>
      <c r="F164" s="123"/>
      <c r="G164" s="123"/>
      <c r="H164" s="128"/>
      <c r="I164" s="123"/>
      <c r="J164" s="123"/>
      <c r="K164" s="123"/>
      <c r="L164" s="123"/>
      <c r="M164" s="123"/>
      <c r="N164" s="123"/>
      <c r="O164" s="123"/>
      <c r="P164" s="128"/>
      <c r="Q164" s="128"/>
      <c r="R164" s="178"/>
      <c r="S164" s="178"/>
      <c r="T164" s="123"/>
      <c r="U164" s="123"/>
      <c r="V164" s="123"/>
      <c r="W164" s="123"/>
      <c r="X164" s="123"/>
      <c r="Y164" s="123"/>
      <c r="Z164" s="123"/>
    </row>
    <row r="165" spans="3:26">
      <c r="C165" s="123"/>
      <c r="D165" s="120"/>
      <c r="E165" s="123"/>
      <c r="F165" s="123"/>
      <c r="G165" s="123"/>
      <c r="H165" s="128"/>
      <c r="I165" s="123"/>
      <c r="J165" s="123"/>
      <c r="K165" s="123"/>
      <c r="L165" s="123"/>
      <c r="M165" s="123"/>
      <c r="N165" s="123"/>
      <c r="O165" s="123"/>
      <c r="P165" s="128"/>
      <c r="Q165" s="128"/>
      <c r="R165" s="178"/>
      <c r="S165" s="178"/>
      <c r="T165" s="123"/>
      <c r="U165" s="123"/>
      <c r="V165" s="123"/>
      <c r="W165" s="123"/>
      <c r="X165" s="123"/>
      <c r="Y165" s="123"/>
      <c r="Z165" s="123"/>
    </row>
    <row r="166" spans="3:26">
      <c r="C166" s="123"/>
      <c r="D166" s="120"/>
      <c r="E166" s="123"/>
      <c r="F166" s="123"/>
      <c r="G166" s="123"/>
      <c r="H166" s="128"/>
      <c r="I166" s="123"/>
      <c r="J166" s="123"/>
      <c r="K166" s="123"/>
      <c r="L166" s="123"/>
      <c r="M166" s="123"/>
      <c r="N166" s="123"/>
      <c r="O166" s="123"/>
      <c r="P166" s="128"/>
      <c r="Q166" s="128"/>
      <c r="R166" s="178"/>
      <c r="S166" s="178"/>
      <c r="T166" s="123"/>
      <c r="U166" s="123"/>
      <c r="V166" s="123"/>
      <c r="W166" s="123"/>
      <c r="X166" s="123"/>
      <c r="Y166" s="123"/>
      <c r="Z166" s="123"/>
    </row>
    <row r="167" spans="3:26">
      <c r="C167" s="123"/>
      <c r="D167" s="120"/>
      <c r="E167" s="123"/>
      <c r="F167" s="123"/>
      <c r="G167" s="123"/>
      <c r="H167" s="128"/>
      <c r="I167" s="123"/>
      <c r="J167" s="123"/>
      <c r="K167" s="123"/>
      <c r="L167" s="123"/>
      <c r="M167" s="123"/>
      <c r="N167" s="123"/>
      <c r="O167" s="123"/>
      <c r="P167" s="128"/>
      <c r="Q167" s="128"/>
      <c r="R167" s="178"/>
      <c r="S167" s="178"/>
      <c r="T167" s="123"/>
      <c r="U167" s="123"/>
      <c r="V167" s="123"/>
      <c r="W167" s="123"/>
      <c r="X167" s="123"/>
      <c r="Y167" s="123"/>
      <c r="Z167" s="123"/>
    </row>
    <row r="168" spans="3:26">
      <c r="C168" s="123"/>
      <c r="D168" s="120"/>
      <c r="E168" s="123"/>
      <c r="F168" s="123"/>
      <c r="G168" s="123"/>
      <c r="H168" s="128"/>
      <c r="I168" s="123"/>
      <c r="J168" s="123"/>
      <c r="K168" s="123"/>
      <c r="L168" s="123"/>
      <c r="M168" s="123"/>
      <c r="N168" s="123"/>
      <c r="O168" s="123"/>
      <c r="P168" s="128"/>
      <c r="Q168" s="128"/>
      <c r="R168" s="178"/>
      <c r="S168" s="178"/>
      <c r="T168" s="123"/>
      <c r="U168" s="123"/>
      <c r="V168" s="123"/>
      <c r="W168" s="123"/>
      <c r="X168" s="123"/>
      <c r="Y168" s="123"/>
      <c r="Z168" s="123"/>
    </row>
    <row r="169" spans="3:26">
      <c r="C169" s="123"/>
      <c r="D169" s="120"/>
      <c r="E169" s="123"/>
      <c r="F169" s="123"/>
      <c r="G169" s="123"/>
      <c r="H169" s="128"/>
      <c r="I169" s="123"/>
      <c r="J169" s="123"/>
      <c r="K169" s="123"/>
      <c r="L169" s="123"/>
      <c r="M169" s="123"/>
      <c r="N169" s="123"/>
      <c r="O169" s="123"/>
      <c r="P169" s="128"/>
      <c r="Q169" s="128"/>
      <c r="R169" s="178"/>
      <c r="S169" s="178"/>
      <c r="T169" s="123"/>
      <c r="U169" s="123"/>
      <c r="V169" s="123"/>
      <c r="W169" s="123"/>
      <c r="X169" s="123"/>
      <c r="Y169" s="123"/>
      <c r="Z169" s="123"/>
    </row>
    <row r="170" spans="3:26">
      <c r="C170" s="123"/>
      <c r="D170" s="120"/>
      <c r="E170" s="123"/>
      <c r="F170" s="123"/>
      <c r="G170" s="123"/>
      <c r="H170" s="128"/>
      <c r="I170" s="123"/>
      <c r="J170" s="123"/>
      <c r="K170" s="123"/>
      <c r="L170" s="123"/>
      <c r="M170" s="123"/>
      <c r="N170" s="123"/>
      <c r="O170" s="123"/>
      <c r="P170" s="128"/>
      <c r="Q170" s="128"/>
      <c r="R170" s="178"/>
      <c r="S170" s="178"/>
      <c r="T170" s="123"/>
      <c r="U170" s="123"/>
      <c r="V170" s="123"/>
      <c r="W170" s="123"/>
      <c r="X170" s="123"/>
      <c r="Y170" s="123"/>
      <c r="Z170" s="123"/>
    </row>
    <row r="171" spans="3:26">
      <c r="C171" s="123"/>
      <c r="D171" s="120"/>
      <c r="E171" s="123"/>
      <c r="F171" s="123"/>
      <c r="G171" s="123"/>
      <c r="H171" s="128"/>
      <c r="I171" s="123"/>
      <c r="J171" s="123"/>
      <c r="K171" s="123"/>
      <c r="L171" s="123"/>
      <c r="M171" s="123"/>
      <c r="N171" s="123"/>
      <c r="O171" s="123"/>
      <c r="P171" s="128"/>
      <c r="Q171" s="128"/>
      <c r="R171" s="178"/>
      <c r="S171" s="178"/>
      <c r="T171" s="123"/>
      <c r="U171" s="123"/>
      <c r="V171" s="123"/>
      <c r="W171" s="123"/>
      <c r="X171" s="123"/>
      <c r="Y171" s="123"/>
      <c r="Z171" s="123"/>
    </row>
    <row r="172" spans="3:26">
      <c r="C172" s="123"/>
      <c r="D172" s="120"/>
      <c r="E172" s="123"/>
      <c r="F172" s="123"/>
      <c r="G172" s="123"/>
      <c r="H172" s="128"/>
      <c r="I172" s="123"/>
      <c r="J172" s="123"/>
      <c r="K172" s="123"/>
      <c r="L172" s="123"/>
      <c r="M172" s="123"/>
      <c r="N172" s="123"/>
      <c r="O172" s="123"/>
      <c r="P172" s="128"/>
      <c r="Q172" s="128"/>
      <c r="R172" s="178"/>
      <c r="S172" s="178"/>
      <c r="T172" s="123"/>
      <c r="U172" s="123"/>
      <c r="V172" s="123"/>
      <c r="W172" s="123"/>
      <c r="X172" s="123"/>
      <c r="Y172" s="123"/>
      <c r="Z172" s="123"/>
    </row>
    <row r="173" spans="3:26">
      <c r="C173" s="123"/>
      <c r="D173" s="120"/>
      <c r="E173" s="123"/>
      <c r="F173" s="123"/>
      <c r="G173" s="123"/>
      <c r="H173" s="128"/>
      <c r="I173" s="123"/>
      <c r="J173" s="123"/>
      <c r="K173" s="123"/>
      <c r="L173" s="123"/>
      <c r="M173" s="123"/>
      <c r="N173" s="123"/>
      <c r="O173" s="123"/>
      <c r="P173" s="128"/>
      <c r="Q173" s="128"/>
      <c r="R173" s="178"/>
      <c r="S173" s="178"/>
      <c r="T173" s="123"/>
      <c r="U173" s="123"/>
      <c r="V173" s="123"/>
      <c r="W173" s="123"/>
      <c r="X173" s="123"/>
      <c r="Y173" s="123"/>
      <c r="Z173" s="123"/>
    </row>
    <row r="174" spans="3:26">
      <c r="C174" s="123"/>
      <c r="D174" s="120"/>
      <c r="E174" s="123"/>
      <c r="F174" s="123"/>
      <c r="G174" s="123"/>
      <c r="H174" s="128"/>
      <c r="I174" s="123"/>
      <c r="J174" s="123"/>
      <c r="K174" s="123"/>
      <c r="L174" s="123"/>
      <c r="M174" s="123"/>
      <c r="N174" s="123"/>
      <c r="O174" s="123"/>
      <c r="P174" s="128"/>
      <c r="Q174" s="128"/>
      <c r="R174" s="178"/>
      <c r="S174" s="178"/>
      <c r="T174" s="123"/>
      <c r="U174" s="123"/>
      <c r="V174" s="123"/>
      <c r="W174" s="123"/>
      <c r="X174" s="123"/>
      <c r="Y174" s="123"/>
      <c r="Z174" s="123"/>
    </row>
    <row r="175" spans="3:26">
      <c r="C175" s="123"/>
      <c r="D175" s="120"/>
      <c r="E175" s="123"/>
      <c r="F175" s="123"/>
      <c r="G175" s="123"/>
      <c r="H175" s="128"/>
      <c r="I175" s="123"/>
      <c r="J175" s="123"/>
      <c r="K175" s="123"/>
      <c r="L175" s="123"/>
      <c r="M175" s="123"/>
      <c r="N175" s="123"/>
      <c r="O175" s="123"/>
      <c r="P175" s="128"/>
      <c r="Q175" s="128"/>
      <c r="R175" s="178"/>
      <c r="S175" s="178"/>
      <c r="T175" s="123"/>
      <c r="U175" s="123"/>
      <c r="V175" s="123"/>
      <c r="W175" s="123"/>
      <c r="X175" s="123"/>
      <c r="Y175" s="123"/>
      <c r="Z175" s="123"/>
    </row>
    <row r="176" spans="3:26">
      <c r="C176" s="123"/>
      <c r="D176" s="120"/>
      <c r="E176" s="123"/>
      <c r="F176" s="123"/>
      <c r="G176" s="123"/>
      <c r="H176" s="128"/>
      <c r="I176" s="123"/>
      <c r="J176" s="123"/>
      <c r="K176" s="123"/>
      <c r="L176" s="123"/>
      <c r="M176" s="123"/>
      <c r="N176" s="123"/>
      <c r="O176" s="123"/>
      <c r="P176" s="128"/>
      <c r="Q176" s="128"/>
      <c r="R176" s="178"/>
      <c r="S176" s="178"/>
      <c r="T176" s="123"/>
      <c r="U176" s="123"/>
      <c r="V176" s="123"/>
      <c r="W176" s="123"/>
      <c r="X176" s="123"/>
      <c r="Y176" s="123"/>
      <c r="Z176" s="123"/>
    </row>
    <row r="177" spans="3:26">
      <c r="C177" s="123"/>
      <c r="D177" s="120"/>
      <c r="E177" s="123"/>
      <c r="F177" s="123"/>
      <c r="G177" s="123"/>
      <c r="H177" s="128"/>
      <c r="I177" s="123"/>
      <c r="J177" s="123"/>
      <c r="K177" s="123"/>
      <c r="L177" s="123"/>
      <c r="M177" s="123"/>
      <c r="N177" s="123"/>
      <c r="O177" s="123"/>
      <c r="P177" s="128"/>
      <c r="Q177" s="128"/>
      <c r="R177" s="178"/>
      <c r="S177" s="178"/>
      <c r="T177" s="123"/>
      <c r="U177" s="123"/>
      <c r="V177" s="123"/>
      <c r="W177" s="123"/>
      <c r="X177" s="123"/>
      <c r="Y177" s="123"/>
      <c r="Z177" s="123"/>
    </row>
    <row r="178" spans="3:26">
      <c r="C178" s="123"/>
      <c r="D178" s="120"/>
      <c r="E178" s="123"/>
      <c r="F178" s="123"/>
      <c r="G178" s="123"/>
      <c r="H178" s="128"/>
      <c r="I178" s="123"/>
      <c r="J178" s="123"/>
      <c r="K178" s="123"/>
      <c r="L178" s="123"/>
      <c r="M178" s="123"/>
      <c r="N178" s="123"/>
      <c r="O178" s="123"/>
      <c r="P178" s="128"/>
      <c r="Q178" s="128"/>
      <c r="R178" s="178"/>
      <c r="S178" s="178"/>
      <c r="T178" s="123"/>
      <c r="U178" s="123"/>
      <c r="V178" s="123"/>
      <c r="W178" s="123"/>
      <c r="X178" s="123"/>
      <c r="Y178" s="123"/>
      <c r="Z178" s="123"/>
    </row>
    <row r="179" spans="3:26">
      <c r="C179" s="123"/>
      <c r="D179" s="120"/>
      <c r="E179" s="123"/>
      <c r="F179" s="123"/>
      <c r="G179" s="123"/>
      <c r="H179" s="128"/>
      <c r="I179" s="123"/>
      <c r="J179" s="123"/>
      <c r="K179" s="123"/>
      <c r="L179" s="123"/>
      <c r="M179" s="123"/>
      <c r="N179" s="123"/>
      <c r="O179" s="123"/>
      <c r="P179" s="128"/>
      <c r="Q179" s="128"/>
      <c r="R179" s="178"/>
      <c r="S179" s="178"/>
      <c r="T179" s="123"/>
      <c r="U179" s="123"/>
      <c r="V179" s="123"/>
      <c r="W179" s="123"/>
      <c r="X179" s="123"/>
      <c r="Y179" s="123"/>
      <c r="Z179" s="123"/>
    </row>
    <row r="180" spans="3:26">
      <c r="C180" s="123"/>
      <c r="D180" s="120"/>
      <c r="E180" s="123"/>
      <c r="F180" s="123"/>
      <c r="G180" s="123"/>
      <c r="H180" s="128"/>
      <c r="I180" s="123"/>
      <c r="J180" s="123"/>
      <c r="K180" s="123"/>
      <c r="L180" s="123"/>
      <c r="M180" s="123"/>
      <c r="N180" s="123"/>
      <c r="O180" s="123"/>
      <c r="P180" s="128"/>
      <c r="Q180" s="128"/>
      <c r="R180" s="178"/>
      <c r="S180" s="178"/>
      <c r="T180" s="123"/>
      <c r="U180" s="123"/>
      <c r="V180" s="123"/>
      <c r="W180" s="123"/>
      <c r="X180" s="123"/>
      <c r="Y180" s="123"/>
      <c r="Z180" s="123"/>
    </row>
    <row r="181" spans="3:26">
      <c r="C181" s="123"/>
      <c r="D181" s="120"/>
      <c r="E181" s="123"/>
      <c r="F181" s="123"/>
      <c r="G181" s="123"/>
      <c r="H181" s="128"/>
      <c r="I181" s="123"/>
      <c r="J181" s="123"/>
      <c r="K181" s="123"/>
      <c r="L181" s="123"/>
      <c r="M181" s="123"/>
      <c r="N181" s="123"/>
      <c r="O181" s="123"/>
      <c r="P181" s="128"/>
      <c r="Q181" s="128"/>
      <c r="R181" s="178"/>
      <c r="S181" s="178"/>
      <c r="T181" s="123"/>
      <c r="U181" s="123"/>
      <c r="V181" s="123"/>
      <c r="W181" s="123"/>
      <c r="X181" s="123"/>
      <c r="Y181" s="123"/>
      <c r="Z181" s="123"/>
    </row>
    <row r="182" spans="3:26">
      <c r="C182" s="123"/>
      <c r="D182" s="120"/>
      <c r="E182" s="123"/>
      <c r="F182" s="123"/>
      <c r="G182" s="123"/>
      <c r="H182" s="128"/>
      <c r="I182" s="123"/>
      <c r="J182" s="123"/>
      <c r="K182" s="123"/>
      <c r="L182" s="123"/>
      <c r="M182" s="123"/>
      <c r="N182" s="123"/>
      <c r="O182" s="123"/>
      <c r="P182" s="128"/>
      <c r="Q182" s="128"/>
      <c r="R182" s="178"/>
      <c r="S182" s="178"/>
      <c r="T182" s="123"/>
      <c r="U182" s="123"/>
      <c r="V182" s="123"/>
      <c r="W182" s="123"/>
      <c r="X182" s="123"/>
      <c r="Y182" s="123"/>
      <c r="Z182" s="123"/>
    </row>
    <row r="183" spans="3:26">
      <c r="C183" s="123"/>
      <c r="D183" s="120"/>
      <c r="E183" s="123"/>
      <c r="F183" s="123"/>
      <c r="G183" s="123"/>
      <c r="H183" s="128"/>
      <c r="I183" s="123"/>
      <c r="J183" s="123"/>
      <c r="K183" s="123"/>
      <c r="L183" s="123"/>
      <c r="M183" s="123"/>
      <c r="N183" s="123"/>
      <c r="O183" s="123"/>
      <c r="P183" s="128"/>
      <c r="Q183" s="128"/>
      <c r="R183" s="178"/>
      <c r="S183" s="178"/>
      <c r="T183" s="123"/>
      <c r="U183" s="123"/>
      <c r="V183" s="123"/>
      <c r="W183" s="123"/>
      <c r="X183" s="123"/>
      <c r="Y183" s="123"/>
      <c r="Z183" s="123"/>
    </row>
    <row r="184" spans="3:26">
      <c r="C184" s="123"/>
      <c r="D184" s="120"/>
      <c r="E184" s="123"/>
      <c r="F184" s="123"/>
      <c r="G184" s="123"/>
      <c r="H184" s="128"/>
      <c r="I184" s="123"/>
      <c r="J184" s="123"/>
      <c r="K184" s="123"/>
      <c r="L184" s="123"/>
      <c r="M184" s="123"/>
      <c r="N184" s="123"/>
      <c r="O184" s="123"/>
      <c r="P184" s="128"/>
      <c r="Q184" s="128"/>
      <c r="R184" s="178"/>
      <c r="S184" s="178"/>
      <c r="T184" s="123"/>
      <c r="U184" s="123"/>
      <c r="V184" s="123"/>
      <c r="W184" s="123"/>
      <c r="X184" s="123"/>
      <c r="Y184" s="123"/>
      <c r="Z184" s="123"/>
    </row>
    <row r="185" spans="3:26">
      <c r="C185" s="123"/>
      <c r="D185" s="120"/>
      <c r="E185" s="123"/>
      <c r="F185" s="123"/>
      <c r="G185" s="123"/>
      <c r="H185" s="128"/>
      <c r="I185" s="123"/>
      <c r="J185" s="123"/>
      <c r="K185" s="123"/>
      <c r="L185" s="123"/>
      <c r="M185" s="123"/>
      <c r="N185" s="123"/>
      <c r="O185" s="123"/>
      <c r="P185" s="128"/>
      <c r="Q185" s="128"/>
      <c r="R185" s="178"/>
      <c r="S185" s="178"/>
      <c r="T185" s="123"/>
      <c r="U185" s="123"/>
      <c r="V185" s="123"/>
      <c r="W185" s="123"/>
      <c r="X185" s="123"/>
      <c r="Y185" s="123"/>
      <c r="Z185" s="123"/>
    </row>
    <row r="186" spans="3:26">
      <c r="C186" s="123"/>
      <c r="D186" s="120"/>
      <c r="E186" s="123"/>
      <c r="F186" s="123"/>
      <c r="G186" s="123"/>
      <c r="H186" s="128"/>
      <c r="I186" s="123"/>
      <c r="J186" s="123"/>
      <c r="K186" s="123"/>
      <c r="L186" s="123"/>
      <c r="M186" s="123"/>
      <c r="N186" s="123"/>
      <c r="O186" s="123"/>
      <c r="P186" s="128"/>
      <c r="Q186" s="128"/>
      <c r="R186" s="178"/>
      <c r="S186" s="178"/>
      <c r="T186" s="123"/>
      <c r="U186" s="123"/>
      <c r="V186" s="123"/>
      <c r="W186" s="123"/>
      <c r="X186" s="123"/>
      <c r="Y186" s="123"/>
      <c r="Z186" s="123"/>
    </row>
    <row r="187" spans="3:26">
      <c r="C187" s="123"/>
      <c r="D187" s="120"/>
      <c r="E187" s="123"/>
      <c r="F187" s="123"/>
      <c r="G187" s="123"/>
      <c r="H187" s="128"/>
      <c r="I187" s="123"/>
      <c r="J187" s="123"/>
      <c r="K187" s="123"/>
      <c r="L187" s="123"/>
      <c r="M187" s="123"/>
      <c r="N187" s="123"/>
      <c r="O187" s="123"/>
      <c r="P187" s="128"/>
      <c r="Q187" s="128"/>
      <c r="R187" s="178"/>
      <c r="S187" s="178"/>
      <c r="T187" s="123"/>
      <c r="U187" s="123"/>
      <c r="V187" s="123"/>
      <c r="W187" s="123"/>
      <c r="X187" s="123"/>
      <c r="Y187" s="123"/>
      <c r="Z187" s="123"/>
    </row>
    <row r="188" spans="3:26">
      <c r="C188" s="123"/>
      <c r="D188" s="120"/>
      <c r="E188" s="123"/>
      <c r="F188" s="123"/>
      <c r="G188" s="123"/>
      <c r="H188" s="128"/>
      <c r="I188" s="123"/>
      <c r="J188" s="123"/>
      <c r="K188" s="123"/>
      <c r="L188" s="123"/>
      <c r="M188" s="123"/>
      <c r="N188" s="123"/>
      <c r="O188" s="123"/>
      <c r="P188" s="128"/>
      <c r="Q188" s="128"/>
      <c r="R188" s="178"/>
      <c r="S188" s="178"/>
      <c r="T188" s="123"/>
      <c r="U188" s="123"/>
      <c r="V188" s="123"/>
      <c r="W188" s="123"/>
      <c r="X188" s="123"/>
      <c r="Y188" s="123"/>
      <c r="Z188" s="123"/>
    </row>
    <row r="189" spans="3:26">
      <c r="C189" s="123"/>
      <c r="D189" s="120"/>
      <c r="E189" s="123"/>
      <c r="F189" s="123"/>
      <c r="G189" s="123"/>
      <c r="H189" s="128"/>
      <c r="I189" s="123"/>
      <c r="J189" s="123"/>
      <c r="K189" s="123"/>
      <c r="L189" s="123"/>
      <c r="M189" s="123"/>
      <c r="N189" s="123"/>
      <c r="O189" s="123"/>
      <c r="P189" s="128"/>
      <c r="Q189" s="128"/>
      <c r="R189" s="178"/>
      <c r="S189" s="178"/>
      <c r="T189" s="123"/>
      <c r="U189" s="123"/>
      <c r="V189" s="123"/>
      <c r="W189" s="123"/>
      <c r="X189" s="123"/>
      <c r="Y189" s="123"/>
      <c r="Z189" s="123"/>
    </row>
    <row r="190" spans="3:26">
      <c r="C190" s="123"/>
      <c r="D190" s="120"/>
      <c r="E190" s="123"/>
      <c r="F190" s="123"/>
      <c r="G190" s="123"/>
      <c r="H190" s="128"/>
      <c r="I190" s="123"/>
      <c r="J190" s="123"/>
      <c r="K190" s="123"/>
      <c r="L190" s="123"/>
      <c r="M190" s="123"/>
      <c r="N190" s="123"/>
      <c r="O190" s="123"/>
      <c r="P190" s="128"/>
      <c r="Q190" s="128"/>
      <c r="R190" s="178"/>
      <c r="S190" s="178"/>
      <c r="T190" s="123"/>
      <c r="U190" s="123"/>
      <c r="V190" s="123"/>
      <c r="W190" s="123"/>
      <c r="X190" s="123"/>
      <c r="Y190" s="123"/>
      <c r="Z190" s="123"/>
    </row>
    <row r="191" spans="3:26">
      <c r="C191" s="123"/>
      <c r="D191" s="120"/>
      <c r="E191" s="123"/>
      <c r="F191" s="123"/>
      <c r="G191" s="123"/>
      <c r="H191" s="128"/>
      <c r="I191" s="123"/>
      <c r="J191" s="123"/>
      <c r="K191" s="123"/>
      <c r="L191" s="123"/>
      <c r="M191" s="123"/>
      <c r="N191" s="123"/>
      <c r="O191" s="123"/>
      <c r="P191" s="128"/>
      <c r="Q191" s="128"/>
      <c r="R191" s="178"/>
      <c r="S191" s="178"/>
      <c r="T191" s="123"/>
      <c r="U191" s="123"/>
      <c r="V191" s="123"/>
      <c r="W191" s="123"/>
      <c r="X191" s="123"/>
      <c r="Y191" s="123"/>
      <c r="Z191" s="123"/>
    </row>
    <row r="192" spans="3:26">
      <c r="C192" s="123"/>
      <c r="D192" s="120"/>
      <c r="E192" s="123"/>
      <c r="F192" s="123"/>
      <c r="G192" s="123"/>
      <c r="H192" s="128"/>
      <c r="I192" s="123"/>
      <c r="J192" s="123"/>
      <c r="K192" s="123"/>
      <c r="L192" s="123"/>
      <c r="M192" s="123"/>
      <c r="N192" s="123"/>
      <c r="O192" s="123"/>
      <c r="P192" s="128"/>
      <c r="Q192" s="128"/>
      <c r="R192" s="178"/>
      <c r="S192" s="178"/>
      <c r="T192" s="123"/>
      <c r="U192" s="123"/>
      <c r="V192" s="123"/>
      <c r="W192" s="123"/>
      <c r="X192" s="123"/>
      <c r="Y192" s="123"/>
      <c r="Z192" s="123"/>
    </row>
    <row r="193" spans="1:26">
      <c r="C193" s="123"/>
      <c r="D193" s="120"/>
      <c r="E193" s="123"/>
      <c r="F193" s="123"/>
      <c r="G193" s="123"/>
      <c r="H193" s="128"/>
      <c r="I193" s="123"/>
      <c r="J193" s="123"/>
      <c r="K193" s="123"/>
      <c r="L193" s="123"/>
      <c r="M193" s="123"/>
      <c r="N193" s="123"/>
      <c r="O193" s="123"/>
      <c r="P193" s="128"/>
      <c r="Q193" s="128"/>
      <c r="R193" s="178"/>
      <c r="S193" s="178"/>
      <c r="T193" s="123"/>
      <c r="U193" s="123"/>
      <c r="V193" s="123"/>
      <c r="W193" s="123"/>
      <c r="X193" s="123"/>
      <c r="Y193" s="123"/>
      <c r="Z193" s="123"/>
    </row>
    <row r="194" spans="1:26">
      <c r="C194" s="123"/>
      <c r="D194" s="120"/>
      <c r="E194" s="123"/>
      <c r="F194" s="123"/>
      <c r="G194" s="123"/>
      <c r="H194" s="128"/>
      <c r="I194" s="123"/>
      <c r="J194" s="123"/>
      <c r="K194" s="123"/>
      <c r="L194" s="123"/>
      <c r="M194" s="123"/>
      <c r="N194" s="123"/>
      <c r="O194" s="123"/>
      <c r="P194" s="128"/>
      <c r="Q194" s="128"/>
      <c r="R194" s="178"/>
      <c r="S194" s="178"/>
      <c r="T194" s="123"/>
      <c r="U194" s="123"/>
      <c r="V194" s="123"/>
      <c r="W194" s="123"/>
      <c r="X194" s="123"/>
      <c r="Y194" s="123"/>
      <c r="Z194" s="123"/>
    </row>
    <row r="195" spans="1:26">
      <c r="C195" s="123"/>
      <c r="D195" s="120"/>
      <c r="E195" s="123"/>
      <c r="F195" s="123"/>
      <c r="G195" s="123"/>
      <c r="H195" s="128"/>
      <c r="I195" s="123"/>
      <c r="J195" s="123"/>
      <c r="K195" s="123"/>
      <c r="L195" s="123"/>
      <c r="M195" s="123"/>
      <c r="N195" s="123"/>
      <c r="O195" s="123"/>
      <c r="P195" s="128"/>
      <c r="Q195" s="123"/>
      <c r="R195" s="123"/>
      <c r="S195" s="123"/>
      <c r="T195" s="123"/>
      <c r="U195" s="123"/>
      <c r="V195" s="123"/>
      <c r="W195" s="123"/>
      <c r="X195" s="123"/>
      <c r="Y195" s="123"/>
      <c r="Z195" s="123"/>
    </row>
    <row r="196" spans="1:26">
      <c r="C196" s="123"/>
      <c r="D196" s="120"/>
      <c r="E196" s="123"/>
      <c r="F196" s="123"/>
      <c r="G196" s="123"/>
      <c r="H196" s="128"/>
      <c r="I196" s="123"/>
      <c r="J196" s="123"/>
      <c r="K196" s="123"/>
      <c r="L196" s="123"/>
      <c r="M196" s="123"/>
      <c r="N196" s="123"/>
      <c r="O196" s="123"/>
      <c r="P196" s="128"/>
      <c r="Q196" s="128"/>
      <c r="R196" s="178"/>
      <c r="S196" s="178"/>
      <c r="T196" s="123"/>
      <c r="U196" s="123"/>
      <c r="V196" s="123"/>
      <c r="W196" s="123"/>
      <c r="X196" s="123"/>
      <c r="Y196" s="123"/>
      <c r="Z196" s="123"/>
    </row>
    <row r="197" spans="1:26">
      <c r="C197" s="123"/>
      <c r="D197" s="120"/>
      <c r="E197" s="123"/>
      <c r="F197" s="123"/>
      <c r="G197" s="123"/>
      <c r="H197" s="128"/>
      <c r="I197" s="123"/>
      <c r="J197" s="123"/>
      <c r="K197" s="123"/>
      <c r="L197" s="123"/>
      <c r="M197" s="123"/>
      <c r="N197" s="123"/>
      <c r="O197" s="123"/>
      <c r="P197" s="128"/>
      <c r="Q197" s="128"/>
      <c r="R197" s="178"/>
      <c r="S197" s="178"/>
      <c r="T197" s="123"/>
      <c r="U197" s="123"/>
      <c r="V197" s="123"/>
      <c r="W197" s="123"/>
      <c r="X197" s="123"/>
      <c r="Y197" s="123"/>
      <c r="Z197" s="123"/>
    </row>
    <row r="198" spans="1:26">
      <c r="C198" s="123"/>
      <c r="D198" s="120"/>
      <c r="E198" s="123"/>
      <c r="F198" s="128"/>
      <c r="G198" s="123"/>
      <c r="H198" s="128"/>
      <c r="I198" s="123"/>
      <c r="J198" s="123"/>
      <c r="K198" s="123"/>
      <c r="L198" s="123"/>
      <c r="M198" s="123"/>
      <c r="N198" s="123"/>
      <c r="O198" s="123"/>
      <c r="P198" s="128"/>
      <c r="Q198" s="128"/>
      <c r="R198" s="178"/>
      <c r="S198" s="178"/>
      <c r="T198" s="123"/>
      <c r="U198" s="123"/>
      <c r="V198" s="123"/>
      <c r="W198" s="123"/>
      <c r="X198" s="123"/>
      <c r="Y198" s="123"/>
      <c r="Z198" s="123"/>
    </row>
    <row r="199" spans="1:26">
      <c r="C199" s="123"/>
      <c r="D199" s="120"/>
      <c r="E199" s="123"/>
      <c r="F199" s="128"/>
      <c r="G199" s="123"/>
      <c r="H199" s="128"/>
      <c r="I199" s="123"/>
      <c r="J199" s="123"/>
      <c r="K199" s="123"/>
      <c r="L199" s="123"/>
      <c r="M199" s="123"/>
      <c r="N199" s="123"/>
      <c r="O199" s="123"/>
      <c r="P199" s="128"/>
      <c r="Q199" s="128"/>
      <c r="R199" s="178"/>
      <c r="S199" s="178"/>
      <c r="T199" s="123"/>
      <c r="U199" s="123"/>
      <c r="V199" s="123"/>
      <c r="W199" s="123"/>
      <c r="X199" s="123"/>
      <c r="Y199" s="123"/>
      <c r="Z199" s="123"/>
    </row>
    <row r="200" spans="1:26">
      <c r="C200" s="123"/>
      <c r="D200" s="120"/>
      <c r="E200" s="123"/>
      <c r="F200" s="123"/>
      <c r="G200" s="123"/>
      <c r="H200" s="128"/>
      <c r="I200" s="123"/>
      <c r="J200" s="123"/>
      <c r="K200" s="123"/>
      <c r="L200" s="123"/>
      <c r="M200" s="123"/>
      <c r="N200" s="123"/>
      <c r="O200" s="123"/>
      <c r="P200" s="128"/>
      <c r="Q200" s="128"/>
      <c r="R200" s="178"/>
      <c r="S200" s="178"/>
      <c r="T200" s="123"/>
      <c r="U200" s="123"/>
      <c r="V200" s="123"/>
      <c r="W200" s="123"/>
      <c r="X200" s="123"/>
      <c r="Y200" s="123"/>
      <c r="Z200" s="123"/>
    </row>
    <row r="201" spans="1:26">
      <c r="C201" s="123"/>
      <c r="D201" s="120"/>
      <c r="E201" s="123"/>
      <c r="F201" s="123"/>
      <c r="G201" s="123"/>
      <c r="H201" s="128"/>
      <c r="I201" s="123"/>
      <c r="J201" s="123"/>
      <c r="K201" s="123"/>
      <c r="L201" s="123"/>
      <c r="M201" s="123"/>
      <c r="N201" s="123"/>
      <c r="O201" s="123"/>
      <c r="P201" s="128"/>
      <c r="Q201" s="128"/>
      <c r="R201" s="178"/>
      <c r="S201" s="178"/>
      <c r="T201" s="123"/>
      <c r="U201" s="123"/>
      <c r="V201" s="123"/>
      <c r="W201" s="123"/>
      <c r="X201" s="123"/>
      <c r="Y201" s="123"/>
      <c r="Z201" s="123"/>
    </row>
    <row r="202" spans="1:26">
      <c r="A202" s="22"/>
      <c r="B202" s="74"/>
      <c r="C202" s="123"/>
      <c r="D202" s="120"/>
      <c r="E202" s="123"/>
      <c r="F202" s="123"/>
      <c r="G202" s="123"/>
      <c r="H202" s="128"/>
      <c r="I202" s="123"/>
      <c r="J202" s="123"/>
      <c r="K202" s="123"/>
      <c r="L202" s="123"/>
      <c r="M202" s="123"/>
      <c r="N202" s="123"/>
      <c r="O202" s="123"/>
      <c r="P202" s="128"/>
      <c r="Q202" s="128"/>
      <c r="R202" s="178"/>
      <c r="S202" s="178"/>
      <c r="T202" s="123"/>
      <c r="U202" s="123"/>
      <c r="V202" s="123"/>
      <c r="W202" s="123"/>
      <c r="X202" s="123"/>
      <c r="Y202" s="123"/>
      <c r="Z202" s="123"/>
    </row>
    <row r="203" spans="1:26">
      <c r="A203" s="22"/>
      <c r="B203" s="74"/>
      <c r="C203" s="123"/>
      <c r="D203" s="120"/>
      <c r="E203" s="123"/>
      <c r="F203" s="123"/>
      <c r="G203" s="123"/>
      <c r="H203" s="128"/>
      <c r="I203" s="123"/>
      <c r="J203" s="123"/>
      <c r="K203" s="123"/>
      <c r="L203" s="123"/>
      <c r="M203" s="123"/>
      <c r="N203" s="123"/>
      <c r="O203" s="123"/>
      <c r="P203" s="128"/>
      <c r="Q203" s="128"/>
      <c r="R203" s="178"/>
      <c r="S203" s="178"/>
      <c r="T203" s="123"/>
      <c r="U203" s="123"/>
      <c r="V203" s="123"/>
      <c r="W203" s="123"/>
      <c r="X203" s="123"/>
      <c r="Y203" s="123"/>
      <c r="Z203" s="123"/>
    </row>
    <row r="204" spans="1:26">
      <c r="A204" s="22"/>
      <c r="B204" s="74"/>
      <c r="C204" s="123"/>
      <c r="D204" s="120"/>
      <c r="E204" s="123"/>
      <c r="F204" s="123"/>
      <c r="G204" s="123"/>
      <c r="H204" s="128"/>
      <c r="I204" s="123"/>
      <c r="J204" s="123"/>
      <c r="K204" s="123"/>
      <c r="L204" s="123"/>
      <c r="M204" s="123"/>
      <c r="N204" s="123"/>
      <c r="O204" s="123"/>
      <c r="P204" s="128"/>
      <c r="Q204" s="128"/>
      <c r="R204" s="178"/>
      <c r="S204" s="178"/>
      <c r="T204" s="123"/>
      <c r="U204" s="123"/>
      <c r="V204" s="123"/>
      <c r="W204" s="123"/>
      <c r="X204" s="123"/>
      <c r="Y204" s="123"/>
      <c r="Z204" s="123"/>
    </row>
    <row r="205" spans="1:26">
      <c r="A205" s="55"/>
      <c r="B205" s="56"/>
      <c r="C205" s="123"/>
      <c r="D205" s="120"/>
      <c r="E205" s="123"/>
      <c r="F205" s="123"/>
      <c r="G205" s="123"/>
      <c r="H205" s="128"/>
      <c r="I205" s="123"/>
      <c r="J205" s="123"/>
      <c r="K205" s="123"/>
      <c r="L205" s="123"/>
      <c r="M205" s="123"/>
      <c r="N205" s="123"/>
      <c r="O205" s="123"/>
      <c r="P205" s="128"/>
      <c r="Q205" s="128"/>
      <c r="R205" s="178"/>
      <c r="S205" s="178"/>
      <c r="T205" s="123"/>
      <c r="U205" s="123"/>
      <c r="V205" s="123"/>
      <c r="W205" s="123"/>
      <c r="X205" s="123"/>
      <c r="Y205" s="123"/>
      <c r="Z205" s="123"/>
    </row>
    <row r="206" spans="1:26">
      <c r="A206" s="55"/>
      <c r="B206" s="56"/>
      <c r="C206" s="123"/>
      <c r="D206" s="120"/>
      <c r="E206" s="123"/>
      <c r="F206" s="123"/>
      <c r="G206" s="123"/>
      <c r="H206" s="128"/>
      <c r="I206" s="123"/>
      <c r="J206" s="123"/>
      <c r="K206" s="123"/>
      <c r="L206" s="123"/>
      <c r="M206" s="123"/>
      <c r="N206" s="123"/>
      <c r="O206" s="123"/>
      <c r="P206" s="128"/>
      <c r="Q206" s="128"/>
      <c r="R206" s="178"/>
      <c r="S206" s="178"/>
      <c r="T206" s="123"/>
      <c r="U206" s="123"/>
      <c r="V206" s="123"/>
      <c r="W206" s="123"/>
      <c r="X206" s="123"/>
      <c r="Y206" s="123"/>
      <c r="Z206" s="123"/>
    </row>
    <row r="207" spans="1:26">
      <c r="A207" s="22"/>
      <c r="B207" s="74"/>
      <c r="C207" s="123"/>
      <c r="D207" s="120"/>
      <c r="E207" s="123"/>
      <c r="F207" s="123"/>
      <c r="G207" s="123"/>
      <c r="H207" s="128"/>
      <c r="I207" s="123"/>
      <c r="J207" s="123"/>
      <c r="K207" s="123"/>
      <c r="L207" s="123"/>
      <c r="M207" s="123"/>
      <c r="N207" s="123"/>
      <c r="O207" s="123"/>
      <c r="P207" s="128"/>
      <c r="Q207" s="128"/>
      <c r="R207" s="178"/>
      <c r="S207" s="178"/>
      <c r="T207" s="123"/>
      <c r="U207" s="123"/>
      <c r="V207" s="123"/>
      <c r="W207" s="123"/>
      <c r="X207" s="123"/>
      <c r="Y207" s="123"/>
      <c r="Z207" s="123"/>
    </row>
    <row r="208" spans="1:26">
      <c r="A208" s="22"/>
      <c r="B208" s="74"/>
    </row>
    <row r="209" spans="1:2">
      <c r="A209" s="22"/>
      <c r="B209" s="74"/>
    </row>
    <row r="210" spans="1:2">
      <c r="A210" s="22"/>
      <c r="B210" s="74"/>
    </row>
    <row r="211" spans="1:2">
      <c r="A211" s="55"/>
      <c r="B211" s="56"/>
    </row>
    <row r="212" spans="1:2">
      <c r="A212" s="55"/>
      <c r="B212" s="56"/>
    </row>
    <row r="213" spans="1:2">
      <c r="A213" s="55"/>
      <c r="B213" s="56"/>
    </row>
    <row r="214" spans="1:2">
      <c r="A214" s="22"/>
      <c r="B214" s="22"/>
    </row>
  </sheetData>
  <phoneticPr fontId="0" type="noConversion"/>
  <pageMargins left="0.75" right="0.75" top="1" bottom="1" header="0.5" footer="0.5"/>
  <pageSetup orientation="landscape" horizontalDpi="300" verticalDpi="300" r:id="rId1"/>
  <headerFooter alignWithMargins="0"/>
  <legacyDrawing r:id="rId2"/>
</worksheet>
</file>

<file path=xl/worksheets/sheet20.xml><?xml version="1.0" encoding="utf-8"?>
<worksheet xmlns="http://schemas.openxmlformats.org/spreadsheetml/2006/main" xmlns:r="http://schemas.openxmlformats.org/officeDocument/2006/relationships">
  <dimension ref="A1:Z106"/>
  <sheetViews>
    <sheetView zoomScale="75" workbookViewId="0">
      <selection activeCell="B73" sqref="B73"/>
    </sheetView>
  </sheetViews>
  <sheetFormatPr defaultColWidth="11.42578125" defaultRowHeight="12.75"/>
  <cols>
    <col min="1" max="1" width="14.7109375" customWidth="1"/>
    <col min="2" max="2" width="13.5703125" customWidth="1"/>
    <col min="3" max="3" width="36.42578125" customWidth="1"/>
    <col min="4" max="4" width="10.85546875" customWidth="1"/>
    <col min="5" max="6" width="9.7109375" bestFit="1" customWidth="1"/>
  </cols>
  <sheetData>
    <row r="1" spans="1:23" ht="18">
      <c r="A1" s="10" t="s">
        <v>234</v>
      </c>
      <c r="D1" t="s">
        <v>250</v>
      </c>
    </row>
    <row r="2" spans="1:23" s="22" customFormat="1" ht="18">
      <c r="A2" s="83"/>
      <c r="D2" s="245"/>
      <c r="E2" s="74"/>
      <c r="F2" s="74"/>
      <c r="G2" s="74"/>
      <c r="H2" s="74"/>
      <c r="J2" s="56"/>
    </row>
    <row r="3" spans="1:23" ht="18">
      <c r="A3" s="10"/>
      <c r="B3" s="16"/>
      <c r="C3" s="17"/>
      <c r="D3" s="245"/>
      <c r="P3" s="18">
        <v>1</v>
      </c>
      <c r="Q3" t="s">
        <v>666</v>
      </c>
    </row>
    <row r="4" spans="1:23" ht="18">
      <c r="B4" s="131" t="s">
        <v>594</v>
      </c>
      <c r="C4" s="98"/>
      <c r="D4" s="252" t="str">
        <f>"~FI_T: "&amp;Region&amp;"~EUR10"</f>
        <v>~FI_T: FIN~EUR10</v>
      </c>
      <c r="E4" s="4"/>
      <c r="S4" s="4"/>
      <c r="T4" s="4"/>
    </row>
    <row r="5" spans="1:23" ht="39"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tr">
        <f ca="1">J5&amp;"~"&amp;AuxYear</f>
        <v>EFF~2017</v>
      </c>
      <c r="L5" s="52" t="s">
        <v>758</v>
      </c>
      <c r="M5" s="52" t="s">
        <v>661</v>
      </c>
      <c r="N5" s="52" t="s">
        <v>662</v>
      </c>
      <c r="O5" s="52" t="s">
        <v>88</v>
      </c>
      <c r="P5" s="52" t="s">
        <v>541</v>
      </c>
      <c r="Q5" s="52" t="str">
        <f ca="1">P5&amp;"~"&amp;AuxYear</f>
        <v>RESID~2017</v>
      </c>
      <c r="R5" s="52" t="str">
        <f ca="1">"RESID~"&amp;CEILING(AuxYear+9,5)</f>
        <v>RESID~2030</v>
      </c>
      <c r="S5" s="52" t="str">
        <f ca="1">"RESID~"&amp;CEILING(AuxYear+19,5)</f>
        <v>RESID~2040</v>
      </c>
      <c r="T5" s="52" t="str">
        <f ca="1">"RESID~"&amp;CEILING(AuxYear+29,5)</f>
        <v>RESID~2050</v>
      </c>
      <c r="U5" s="52" t="s">
        <v>537</v>
      </c>
      <c r="V5" s="52" t="str">
        <f ca="1">"CF~"&amp;CEILING(AuxYear+2,5)</f>
        <v>CF~2020</v>
      </c>
      <c r="W5" s="257" t="s">
        <v>381</v>
      </c>
    </row>
    <row r="6" spans="1:23" ht="21" customHeight="1">
      <c r="B6" s="76" t="s">
        <v>113</v>
      </c>
      <c r="C6" s="441" t="s">
        <v>7</v>
      </c>
      <c r="D6" s="36" t="str">
        <f ca="1">IEAData!H99</f>
        <v>COMNGA</v>
      </c>
      <c r="E6" s="85">
        <f ca="1">IEAData!D172</f>
        <v>0.15756313104000003</v>
      </c>
      <c r="F6" s="85">
        <f ca="1">AuxData!D172</f>
        <v>0.30825025199999995</v>
      </c>
      <c r="G6" s="87">
        <v>0.8</v>
      </c>
      <c r="H6" s="343" t="str">
        <f t="shared" ref="H6:H16" si="0">RIGHT(D6,3)</f>
        <v>NGA</v>
      </c>
      <c r="I6" s="81">
        <v>1.01</v>
      </c>
      <c r="J6" s="6">
        <f t="shared" ref="J6:J16" si="1">G6</f>
        <v>0.8</v>
      </c>
      <c r="K6" s="6">
        <f t="shared" ref="K6:K16" si="2">J6^IF(J6&gt;1,I6,1/I6)</f>
        <v>0.80176942758945924</v>
      </c>
      <c r="L6" s="38">
        <f t="shared" ref="L6:L16" ca="1" si="3">F6*K6</f>
        <v>0.24714562810034651</v>
      </c>
      <c r="M6" s="19">
        <v>1</v>
      </c>
      <c r="N6" s="89">
        <v>0.1</v>
      </c>
      <c r="O6" s="32">
        <v>15</v>
      </c>
      <c r="P6" s="161">
        <f t="shared" ref="P6:P16" ca="1" si="4">J6*E6/$N6</f>
        <v>1.2605050483200002</v>
      </c>
      <c r="Q6" s="104">
        <f t="shared" ref="Q6:Q16" ca="1" si="5">F6*K6/$N6</f>
        <v>2.4714562810034648</v>
      </c>
      <c r="R6" s="104"/>
      <c r="S6" s="185">
        <f t="shared" ref="S6:S13" ca="1" si="6">MIN(Q6,P6*0.2)</f>
        <v>0.25210100966400006</v>
      </c>
      <c r="T6" s="40"/>
      <c r="U6" s="40"/>
      <c r="V6" s="40">
        <f t="shared" ref="V6:V16" si="7">N6*$I$25</f>
        <v>0.1</v>
      </c>
      <c r="W6" s="258">
        <f t="shared" ref="W6:W16" ca="1" si="8">IF($E$17=0,0,E6/$E$17)</f>
        <v>1.5296197597782472E-2</v>
      </c>
    </row>
    <row r="7" spans="1:23" ht="21" customHeight="1">
      <c r="B7" s="76" t="s">
        <v>114</v>
      </c>
      <c r="C7" s="402" t="s">
        <v>8</v>
      </c>
      <c r="D7" s="36" t="str">
        <f ca="1">IEAData!H100</f>
        <v>COMDST</v>
      </c>
      <c r="E7" s="64">
        <f ca="1">IEAData!D173</f>
        <v>1.5907685228364661</v>
      </c>
      <c r="F7" s="64">
        <f ca="1">AuxData!D173</f>
        <v>1.6923031072571491</v>
      </c>
      <c r="G7" s="88">
        <v>0.75</v>
      </c>
      <c r="H7" s="343" t="str">
        <f t="shared" si="0"/>
        <v>DST</v>
      </c>
      <c r="I7" s="81">
        <v>1.01</v>
      </c>
      <c r="J7" s="6">
        <f t="shared" si="1"/>
        <v>0.75</v>
      </c>
      <c r="K7" s="6">
        <f t="shared" si="2"/>
        <v>0.75213929828851755</v>
      </c>
      <c r="L7" s="38">
        <f t="shared" ca="1" si="3"/>
        <v>1.2728476715838699</v>
      </c>
      <c r="M7" s="19">
        <v>1</v>
      </c>
      <c r="N7" s="81">
        <v>0.1</v>
      </c>
      <c r="O7" s="32">
        <v>15</v>
      </c>
      <c r="P7" s="161">
        <f t="shared" ca="1" si="4"/>
        <v>11.930763921273494</v>
      </c>
      <c r="Q7" s="104">
        <f t="shared" ca="1" si="5"/>
        <v>12.728476715838699</v>
      </c>
      <c r="R7" s="104"/>
      <c r="S7" s="185">
        <f t="shared" ca="1" si="6"/>
        <v>2.386152784254699</v>
      </c>
      <c r="T7" s="40"/>
      <c r="U7" s="40"/>
      <c r="V7" s="40">
        <f t="shared" si="7"/>
        <v>0.1</v>
      </c>
      <c r="W7" s="258">
        <f t="shared" ca="1" si="8"/>
        <v>0.15443149356724739</v>
      </c>
    </row>
    <row r="8" spans="1:23" ht="21" customHeight="1">
      <c r="B8" s="76" t="s">
        <v>340</v>
      </c>
      <c r="C8" s="402" t="s">
        <v>9</v>
      </c>
      <c r="D8" s="36" t="s">
        <v>597</v>
      </c>
      <c r="E8" s="64">
        <f ca="1">IEAData!D175</f>
        <v>0</v>
      </c>
      <c r="F8" s="64">
        <f ca="1">AuxData!D175</f>
        <v>0</v>
      </c>
      <c r="G8" s="88">
        <v>0.65</v>
      </c>
      <c r="H8" s="343" t="str">
        <f t="shared" si="0"/>
        <v>KER</v>
      </c>
      <c r="I8" s="81">
        <v>1.01</v>
      </c>
      <c r="J8" s="6">
        <f t="shared" si="1"/>
        <v>0.65</v>
      </c>
      <c r="K8" s="6">
        <f t="shared" si="2"/>
        <v>0.65277828603114285</v>
      </c>
      <c r="L8" s="38">
        <f t="shared" ca="1" si="3"/>
        <v>0</v>
      </c>
      <c r="M8" s="19">
        <v>1</v>
      </c>
      <c r="N8" s="81">
        <v>0.1</v>
      </c>
      <c r="O8" s="32">
        <v>15</v>
      </c>
      <c r="P8" s="161">
        <f t="shared" ca="1" si="4"/>
        <v>0</v>
      </c>
      <c r="Q8" s="104">
        <f t="shared" ca="1" si="5"/>
        <v>0</v>
      </c>
      <c r="R8" s="104"/>
      <c r="S8" s="185">
        <f t="shared" ca="1" si="6"/>
        <v>0</v>
      </c>
      <c r="T8" s="40"/>
      <c r="U8" s="40"/>
      <c r="V8" s="40">
        <f t="shared" si="7"/>
        <v>0.1</v>
      </c>
      <c r="W8" s="258">
        <f t="shared" ca="1" si="8"/>
        <v>0</v>
      </c>
    </row>
    <row r="9" spans="1:23" ht="21" customHeight="1">
      <c r="B9" s="76" t="s">
        <v>341</v>
      </c>
      <c r="C9" s="402" t="s">
        <v>10</v>
      </c>
      <c r="D9" s="36" t="s">
        <v>596</v>
      </c>
      <c r="E9" s="64">
        <f ca="1">IEAData!D174</f>
        <v>0.7759982592000001</v>
      </c>
      <c r="F9" s="64">
        <f ca="1">AuxData!D174</f>
        <v>0.29600006000000001</v>
      </c>
      <c r="G9" s="88">
        <v>0.7</v>
      </c>
      <c r="H9" s="343" t="str">
        <f t="shared" si="0"/>
        <v>HFO</v>
      </c>
      <c r="I9" s="81">
        <v>1.01</v>
      </c>
      <c r="J9" s="6">
        <f t="shared" si="1"/>
        <v>0.7</v>
      </c>
      <c r="K9" s="6">
        <f t="shared" si="2"/>
        <v>0.70247637456639089</v>
      </c>
      <c r="L9" s="38">
        <f t="shared" ca="1" si="3"/>
        <v>0.20793304902023418</v>
      </c>
      <c r="M9" s="19">
        <v>1</v>
      </c>
      <c r="N9" s="81">
        <v>0.1</v>
      </c>
      <c r="O9" s="32">
        <v>15</v>
      </c>
      <c r="P9" s="161">
        <f t="shared" ca="1" si="4"/>
        <v>5.4319878143999993</v>
      </c>
      <c r="Q9" s="104">
        <f t="shared" ca="1" si="5"/>
        <v>2.0793304902023415</v>
      </c>
      <c r="R9" s="104"/>
      <c r="S9" s="185">
        <f t="shared" ca="1" si="6"/>
        <v>1.08639756288</v>
      </c>
      <c r="T9" s="40"/>
      <c r="U9" s="40"/>
      <c r="V9" s="40">
        <f t="shared" si="7"/>
        <v>0.1</v>
      </c>
      <c r="W9" s="258">
        <f t="shared" ca="1" si="8"/>
        <v>7.5333757522532782E-2</v>
      </c>
    </row>
    <row r="10" spans="1:23" ht="21" customHeight="1">
      <c r="B10" s="76" t="s">
        <v>1031</v>
      </c>
      <c r="C10" s="402" t="s">
        <v>1038</v>
      </c>
      <c r="D10" s="36" t="str">
        <f ca="1">IEAData!H103</f>
        <v>COMCOP</v>
      </c>
      <c r="E10" s="64">
        <f ca="1">IEAData!D176</f>
        <v>2.6494070400000003E-2</v>
      </c>
      <c r="F10" s="64">
        <f ca="1">AuxData!D176</f>
        <v>1.9840400000000001E-2</v>
      </c>
      <c r="G10" s="88">
        <v>0.64</v>
      </c>
      <c r="H10" s="343" t="str">
        <f t="shared" si="0"/>
        <v>COP</v>
      </c>
      <c r="I10" s="81">
        <v>1.01</v>
      </c>
      <c r="J10" s="6">
        <f t="shared" si="1"/>
        <v>0.64</v>
      </c>
      <c r="K10" s="6">
        <f t="shared" si="2"/>
        <v>0.64283421501712912</v>
      </c>
      <c r="L10" s="38">
        <f t="shared" ca="1" si="3"/>
        <v>1.275408795962585E-2</v>
      </c>
      <c r="M10" s="19">
        <v>1</v>
      </c>
      <c r="N10" s="81">
        <v>0.1</v>
      </c>
      <c r="O10" s="32">
        <v>15</v>
      </c>
      <c r="P10" s="161">
        <f t="shared" ca="1" si="4"/>
        <v>0.16956205056000001</v>
      </c>
      <c r="Q10" s="104">
        <f t="shared" ca="1" si="5"/>
        <v>0.12754087959625848</v>
      </c>
      <c r="R10" s="104"/>
      <c r="S10" s="185">
        <f t="shared" ca="1" si="6"/>
        <v>3.3912410112000003E-2</v>
      </c>
      <c r="T10" s="40"/>
      <c r="U10" s="40"/>
      <c r="V10" s="40">
        <f t="shared" si="7"/>
        <v>0.1</v>
      </c>
      <c r="W10" s="258">
        <f t="shared" ca="1" si="8"/>
        <v>2.5720391143095405E-3</v>
      </c>
    </row>
    <row r="11" spans="1:23" ht="21" customHeight="1">
      <c r="B11" s="76" t="s">
        <v>143</v>
      </c>
      <c r="C11" s="402" t="s">
        <v>674</v>
      </c>
      <c r="D11" s="36" t="str">
        <f ca="1">IEAData!H104</f>
        <v>COMLPG</v>
      </c>
      <c r="E11" s="90">
        <f ca="1">IEAData!D177</f>
        <v>0</v>
      </c>
      <c r="F11" s="90">
        <f ca="1">AuxData!D177</f>
        <v>0</v>
      </c>
      <c r="G11" s="88">
        <v>0.75</v>
      </c>
      <c r="H11" s="343" t="str">
        <f t="shared" si="0"/>
        <v>LPG</v>
      </c>
      <c r="I11" s="81">
        <v>1.01</v>
      </c>
      <c r="J11" s="6">
        <f t="shared" si="1"/>
        <v>0.75</v>
      </c>
      <c r="K11" s="6">
        <f t="shared" si="2"/>
        <v>0.75213929828851755</v>
      </c>
      <c r="L11" s="38">
        <f t="shared" ca="1" si="3"/>
        <v>0</v>
      </c>
      <c r="M11" s="19">
        <v>1</v>
      </c>
      <c r="N11" s="81">
        <v>0.1</v>
      </c>
      <c r="O11" s="32">
        <v>15</v>
      </c>
      <c r="P11" s="161">
        <f t="shared" ca="1" si="4"/>
        <v>0</v>
      </c>
      <c r="Q11" s="104">
        <f t="shared" ca="1" si="5"/>
        <v>0</v>
      </c>
      <c r="R11" s="104"/>
      <c r="S11" s="185">
        <f t="shared" ca="1" si="6"/>
        <v>0</v>
      </c>
      <c r="T11" s="40"/>
      <c r="U11" s="40"/>
      <c r="V11" s="40">
        <f t="shared" si="7"/>
        <v>0.1</v>
      </c>
      <c r="W11" s="258">
        <f t="shared" ca="1" si="8"/>
        <v>0</v>
      </c>
    </row>
    <row r="12" spans="1:23" ht="21" customHeight="1">
      <c r="B12" s="91" t="s">
        <v>622</v>
      </c>
      <c r="C12" s="442" t="s">
        <v>623</v>
      </c>
      <c r="D12" s="36" t="str">
        <f ca="1">IEAData!H105</f>
        <v>COMBIO</v>
      </c>
      <c r="E12" s="90">
        <f ca="1">IEAData!D178</f>
        <v>0</v>
      </c>
      <c r="F12" s="90">
        <f ca="1">AuxData!D178</f>
        <v>0</v>
      </c>
      <c r="G12" s="30">
        <f ca="1">0.69*CalibData!$N$131</f>
        <v>0.62790000000000001</v>
      </c>
      <c r="H12" s="343" t="str">
        <f t="shared" si="0"/>
        <v>BIO</v>
      </c>
      <c r="I12" s="81">
        <v>1.01</v>
      </c>
      <c r="J12" s="6">
        <f t="shared" ca="1" si="1"/>
        <v>0.62790000000000001</v>
      </c>
      <c r="K12" s="6">
        <f t="shared" ca="1" si="2"/>
        <v>0.63079982966535686</v>
      </c>
      <c r="L12" s="38">
        <f t="shared" ca="1" si="3"/>
        <v>0</v>
      </c>
      <c r="M12" s="19">
        <v>1</v>
      </c>
      <c r="N12" s="81">
        <v>0.1</v>
      </c>
      <c r="O12" s="32">
        <v>15</v>
      </c>
      <c r="P12" s="161">
        <f t="shared" ca="1" si="4"/>
        <v>0</v>
      </c>
      <c r="Q12" s="104">
        <f t="shared" ca="1" si="5"/>
        <v>0</v>
      </c>
      <c r="R12" s="104"/>
      <c r="S12" s="185">
        <f t="shared" ca="1" si="6"/>
        <v>0</v>
      </c>
      <c r="T12" s="40"/>
      <c r="U12" s="40"/>
      <c r="V12" s="40">
        <f t="shared" si="7"/>
        <v>0.1</v>
      </c>
      <c r="W12" s="258">
        <f t="shared" ca="1" si="8"/>
        <v>0</v>
      </c>
    </row>
    <row r="13" spans="1:23" ht="21" customHeight="1">
      <c r="B13" s="265" t="s">
        <v>144</v>
      </c>
      <c r="C13" s="402" t="s">
        <v>675</v>
      </c>
      <c r="D13" s="36" t="s">
        <v>844</v>
      </c>
      <c r="E13" s="64">
        <f ca="1">IEAData!D179</f>
        <v>1.6430118622349879</v>
      </c>
      <c r="F13" s="64">
        <f ca="1">AuxData!D179</f>
        <v>1.3624475278422929</v>
      </c>
      <c r="G13" s="53">
        <v>0.94</v>
      </c>
      <c r="H13" s="343" t="str">
        <f t="shared" si="0"/>
        <v>ELC</v>
      </c>
      <c r="I13" s="81">
        <v>1.01</v>
      </c>
      <c r="J13" s="6">
        <f t="shared" si="1"/>
        <v>0.94</v>
      </c>
      <c r="K13" s="6">
        <f t="shared" si="2"/>
        <v>0.94057604652704008</v>
      </c>
      <c r="L13" s="38">
        <f t="shared" ca="1" si="3"/>
        <v>1.2814855093384432</v>
      </c>
      <c r="M13" s="57">
        <v>1</v>
      </c>
      <c r="N13" s="81">
        <v>0.1</v>
      </c>
      <c r="O13" s="66">
        <v>15</v>
      </c>
      <c r="P13" s="161">
        <f t="shared" ca="1" si="4"/>
        <v>15.444311505008885</v>
      </c>
      <c r="Q13" s="104">
        <f t="shared" ca="1" si="5"/>
        <v>12.814855093384431</v>
      </c>
      <c r="R13" s="118"/>
      <c r="S13" s="185">
        <f t="shared" ca="1" si="6"/>
        <v>3.0888623010017771</v>
      </c>
      <c r="T13" s="53"/>
      <c r="U13" s="53"/>
      <c r="V13" s="40">
        <f t="shared" si="7"/>
        <v>0.1</v>
      </c>
      <c r="W13" s="258">
        <f t="shared" ca="1" si="8"/>
        <v>0.15950326662312131</v>
      </c>
    </row>
    <row r="14" spans="1:23" ht="21" customHeight="1">
      <c r="B14" s="271" t="s">
        <v>565</v>
      </c>
      <c r="C14" s="432" t="s">
        <v>566</v>
      </c>
      <c r="D14" s="36" t="str">
        <f ca="1">IEAData!H107</f>
        <v>COMHET</v>
      </c>
      <c r="E14" s="64">
        <f ca="1">IEAData!D180</f>
        <v>6.1069680000000011</v>
      </c>
      <c r="F14" s="64">
        <f ca="1">AuxData!D180</f>
        <v>5.9862960000000003</v>
      </c>
      <c r="G14" s="69">
        <v>0.95</v>
      </c>
      <c r="H14" s="343" t="str">
        <f t="shared" si="0"/>
        <v>HET</v>
      </c>
      <c r="I14" s="81">
        <v>1.01</v>
      </c>
      <c r="J14" s="6">
        <f t="shared" si="1"/>
        <v>0.95</v>
      </c>
      <c r="K14" s="6">
        <f t="shared" si="2"/>
        <v>0.95048258421076803</v>
      </c>
      <c r="L14" s="38">
        <f t="shared" ca="1" si="3"/>
        <v>5.689870091930584</v>
      </c>
      <c r="M14" s="57">
        <v>1</v>
      </c>
      <c r="N14" s="81">
        <v>0.25</v>
      </c>
      <c r="O14" s="81">
        <v>15</v>
      </c>
      <c r="P14" s="161">
        <f t="shared" ca="1" si="4"/>
        <v>23.206478400000002</v>
      </c>
      <c r="Q14" s="104">
        <f t="shared" ca="1" si="5"/>
        <v>22.759480367722336</v>
      </c>
      <c r="R14" s="118">
        <f ca="1">Q14*0.75</f>
        <v>17.069610275791753</v>
      </c>
      <c r="S14" s="351">
        <f ca="1">R14*0.5</f>
        <v>8.5348051378958765</v>
      </c>
      <c r="T14" s="53"/>
      <c r="U14" s="53"/>
      <c r="V14" s="40">
        <f t="shared" si="7"/>
        <v>0.25</v>
      </c>
      <c r="W14" s="258">
        <f t="shared" ca="1" si="8"/>
        <v>0.59286324557500636</v>
      </c>
    </row>
    <row r="15" spans="1:23" ht="21" customHeight="1">
      <c r="B15" s="271" t="s">
        <v>563</v>
      </c>
      <c r="C15" s="432" t="s">
        <v>564</v>
      </c>
      <c r="D15" s="36" t="str">
        <f ca="1">IEAData!H108</f>
        <v>COMGEO</v>
      </c>
      <c r="E15" s="64">
        <f ca="1">IEAData!D181</f>
        <v>0</v>
      </c>
      <c r="F15" s="64">
        <f ca="1">AuxData!D181</f>
        <v>0</v>
      </c>
      <c r="G15" s="69">
        <v>0.95</v>
      </c>
      <c r="H15" s="343" t="str">
        <f t="shared" si="0"/>
        <v>GEO</v>
      </c>
      <c r="I15" s="81">
        <v>1.01</v>
      </c>
      <c r="J15" s="6">
        <f t="shared" si="1"/>
        <v>0.95</v>
      </c>
      <c r="K15" s="6">
        <f t="shared" si="2"/>
        <v>0.95048258421076803</v>
      </c>
      <c r="L15" s="38">
        <f t="shared" ca="1" si="3"/>
        <v>0</v>
      </c>
      <c r="M15" s="57">
        <v>1</v>
      </c>
      <c r="N15" s="81">
        <v>0.25</v>
      </c>
      <c r="O15" s="81">
        <v>15</v>
      </c>
      <c r="P15" s="161">
        <f t="shared" ca="1" si="4"/>
        <v>0</v>
      </c>
      <c r="Q15" s="104">
        <f t="shared" ca="1" si="5"/>
        <v>0</v>
      </c>
      <c r="R15" s="118"/>
      <c r="S15" s="53">
        <f ca="1">P15*0.4</f>
        <v>0</v>
      </c>
      <c r="T15" s="53"/>
      <c r="U15" s="53"/>
      <c r="V15" s="40">
        <f t="shared" si="7"/>
        <v>0.25</v>
      </c>
      <c r="W15" s="258">
        <f t="shared" ca="1" si="8"/>
        <v>0</v>
      </c>
    </row>
    <row r="16" spans="1:23" ht="21" customHeight="1" thickBot="1">
      <c r="A16" s="11"/>
      <c r="B16" s="266" t="s">
        <v>154</v>
      </c>
      <c r="C16" s="403" t="s">
        <v>676</v>
      </c>
      <c r="D16" s="24" t="str">
        <f ca="1">IEAData!H109</f>
        <v>COMSOL</v>
      </c>
      <c r="E16" s="34">
        <f ca="1">IEAData!D182</f>
        <v>0</v>
      </c>
      <c r="F16" s="34">
        <f ca="1">AuxData!D182</f>
        <v>0</v>
      </c>
      <c r="G16" s="71">
        <v>0.95</v>
      </c>
      <c r="H16" s="343" t="str">
        <f t="shared" si="0"/>
        <v>SOL</v>
      </c>
      <c r="I16" s="81">
        <v>1.01</v>
      </c>
      <c r="J16" s="6">
        <f t="shared" si="1"/>
        <v>0.95</v>
      </c>
      <c r="K16" s="6">
        <f t="shared" si="2"/>
        <v>0.95048258421076803</v>
      </c>
      <c r="L16" s="38">
        <f t="shared" ca="1" si="3"/>
        <v>0</v>
      </c>
      <c r="M16" s="73">
        <v>1</v>
      </c>
      <c r="N16" s="20">
        <v>0.1</v>
      </c>
      <c r="O16" s="20">
        <v>15</v>
      </c>
      <c r="P16" s="162">
        <f t="shared" ca="1" si="4"/>
        <v>0</v>
      </c>
      <c r="Q16" s="104">
        <f t="shared" ca="1" si="5"/>
        <v>0</v>
      </c>
      <c r="R16" s="117"/>
      <c r="S16" s="54">
        <f ca="1">P16*0.4</f>
        <v>0</v>
      </c>
      <c r="T16" s="54"/>
      <c r="U16" s="54"/>
      <c r="V16" s="53">
        <f t="shared" si="7"/>
        <v>0.1</v>
      </c>
      <c r="W16" s="258">
        <f t="shared" ca="1" si="8"/>
        <v>0</v>
      </c>
    </row>
    <row r="17" spans="1:23" ht="14.25">
      <c r="B17" s="434" t="s">
        <v>999</v>
      </c>
      <c r="C17" s="190" t="s">
        <v>235</v>
      </c>
      <c r="D17" s="190"/>
      <c r="E17" s="191">
        <f ca="1">SUM(E6:E16)</f>
        <v>10.300803845711457</v>
      </c>
      <c r="F17" s="191">
        <f ca="1">SUM(F6:F16)</f>
        <v>9.6651373470994422</v>
      </c>
      <c r="G17" s="191"/>
      <c r="H17" s="191">
        <f ca="1">SUMPRODUCT(E$6:E16,J$6:J16)</f>
        <v>9.2253326339562385</v>
      </c>
      <c r="I17" s="190"/>
      <c r="J17" s="193"/>
      <c r="K17" s="191">
        <f ca="1">SUMPRODUCT(F6:F16,K6:K16)</f>
        <v>8.7120360379331032</v>
      </c>
      <c r="L17" s="191">
        <f ca="1">SUM(L6:L16)</f>
        <v>8.7120360379331032</v>
      </c>
      <c r="M17" s="190"/>
      <c r="N17" s="190"/>
      <c r="O17" s="191"/>
      <c r="P17" s="192">
        <f ca="1">SUM(P6:P16)</f>
        <v>57.443608739562379</v>
      </c>
      <c r="Q17" s="190"/>
      <c r="R17" s="190"/>
      <c r="S17" s="192"/>
      <c r="T17" s="190"/>
      <c r="U17" s="190"/>
      <c r="V17" s="190"/>
      <c r="W17" s="259">
        <f ca="1">SUM(W6:W16)</f>
        <v>0.99999999999999978</v>
      </c>
    </row>
    <row r="18" spans="1:23">
      <c r="B18" s="123"/>
      <c r="C18" s="55"/>
      <c r="D18" s="55"/>
      <c r="E18" s="57"/>
      <c r="G18" s="57"/>
      <c r="H18" s="57"/>
      <c r="I18" s="55"/>
      <c r="J18" s="254"/>
      <c r="L18" s="57"/>
      <c r="M18" s="55"/>
      <c r="N18" s="55"/>
      <c r="O18" s="57"/>
      <c r="P18" s="161"/>
      <c r="Q18" s="55"/>
      <c r="R18" s="55"/>
      <c r="S18" s="161"/>
      <c r="T18" s="55"/>
      <c r="U18" s="55"/>
      <c r="V18" s="55"/>
    </row>
    <row r="19" spans="1:23">
      <c r="B19" s="123"/>
      <c r="C19" s="55"/>
      <c r="D19" s="55"/>
      <c r="E19" s="57"/>
      <c r="G19" s="57"/>
      <c r="H19" s="57"/>
      <c r="I19" s="55"/>
      <c r="J19" s="254"/>
      <c r="L19" s="57"/>
      <c r="M19" s="55"/>
      <c r="N19" s="55"/>
      <c r="O19" s="57"/>
      <c r="P19" s="161"/>
      <c r="Q19" s="55"/>
      <c r="R19" s="55"/>
      <c r="S19" s="161"/>
      <c r="T19" s="55"/>
      <c r="U19" s="55"/>
      <c r="V19" s="55"/>
    </row>
    <row r="20" spans="1:23">
      <c r="B20" s="123"/>
      <c r="C20" s="55"/>
      <c r="D20" s="256"/>
      <c r="E20" s="57"/>
      <c r="F20" s="57"/>
      <c r="G20" s="57"/>
      <c r="H20" s="55"/>
      <c r="I20" s="254"/>
      <c r="J20" s="57"/>
      <c r="K20" s="255"/>
      <c r="L20" s="55"/>
      <c r="M20" s="55"/>
      <c r="N20" s="57"/>
      <c r="O20" s="161"/>
      <c r="P20" s="55"/>
      <c r="Q20" s="55"/>
      <c r="R20" s="161"/>
      <c r="S20" s="55"/>
      <c r="T20" s="55"/>
      <c r="U20" s="55"/>
      <c r="V20" s="55"/>
    </row>
    <row r="21" spans="1:23" ht="18">
      <c r="B21" s="155" t="s">
        <v>592</v>
      </c>
      <c r="C21" s="156"/>
      <c r="D21" s="252" t="str">
        <f>"~FI_T: "&amp;Region</f>
        <v>~FI_T: FIN</v>
      </c>
      <c r="J21" s="57"/>
      <c r="K21" s="255"/>
    </row>
    <row r="22" spans="1:23" ht="13.5" thickBot="1">
      <c r="B22" s="27" t="s">
        <v>384</v>
      </c>
      <c r="C22" s="27" t="s">
        <v>385</v>
      </c>
      <c r="D22" s="27" t="s">
        <v>243</v>
      </c>
      <c r="E22" s="344" t="s">
        <v>942</v>
      </c>
      <c r="F22" s="344" t="s">
        <v>379</v>
      </c>
      <c r="G22" s="344" t="str">
        <f ca="1">F22&amp;"~"&amp;AuxYear</f>
        <v>DEMAND~2017</v>
      </c>
      <c r="H22" s="386" t="s">
        <v>974</v>
      </c>
      <c r="I22" s="386" t="s">
        <v>974</v>
      </c>
      <c r="J22" s="57"/>
      <c r="K22" s="255"/>
    </row>
    <row r="23" spans="1:23" ht="13.5" customHeight="1">
      <c r="A23" s="7"/>
      <c r="B23" s="58" t="s">
        <v>237</v>
      </c>
      <c r="C23" s="58" t="s">
        <v>1226</v>
      </c>
      <c r="D23" s="95" t="s">
        <v>249</v>
      </c>
      <c r="E23" s="63"/>
      <c r="F23" s="63">
        <v>0</v>
      </c>
      <c r="G23" s="63">
        <v>0</v>
      </c>
      <c r="H23" s="367"/>
      <c r="I23" s="367"/>
      <c r="J23" s="57"/>
      <c r="K23" s="255"/>
    </row>
    <row r="24" spans="1:23" ht="13.5" customHeight="1">
      <c r="B24" s="58" t="s">
        <v>238</v>
      </c>
      <c r="C24" s="58" t="s">
        <v>1227</v>
      </c>
      <c r="D24" s="95" t="s">
        <v>249</v>
      </c>
      <c r="E24" s="63"/>
      <c r="F24" s="63">
        <v>0</v>
      </c>
      <c r="G24" s="63">
        <v>0</v>
      </c>
      <c r="H24" s="367"/>
      <c r="I24" s="367"/>
      <c r="J24" s="57"/>
      <c r="K24" s="255"/>
    </row>
    <row r="25" spans="1:23" ht="13.5" customHeight="1">
      <c r="B25" s="80" t="s">
        <v>235</v>
      </c>
      <c r="C25" s="28" t="s">
        <v>234</v>
      </c>
      <c r="D25" s="95" t="s">
        <v>249</v>
      </c>
      <c r="E25" s="63">
        <f ca="1">H17</f>
        <v>9.2253326339562385</v>
      </c>
      <c r="F25" s="63">
        <v>0</v>
      </c>
      <c r="G25" s="63">
        <v>0</v>
      </c>
      <c r="H25" s="395">
        <f ca="1">IF(E25&gt;0,L17/E25,1)</f>
        <v>0.94436009882897731</v>
      </c>
      <c r="I25" s="542">
        <v>1</v>
      </c>
      <c r="J25" s="57"/>
      <c r="K25" s="255"/>
    </row>
    <row r="26" spans="1:23" ht="13.5" customHeight="1">
      <c r="B26" s="80" t="s">
        <v>1131</v>
      </c>
      <c r="C26" s="28" t="s">
        <v>234</v>
      </c>
      <c r="D26" s="95" t="s">
        <v>249</v>
      </c>
      <c r="E26" s="63"/>
      <c r="F26" s="63">
        <v>1</v>
      </c>
      <c r="G26" s="63">
        <v>1</v>
      </c>
      <c r="H26" s="395"/>
      <c r="I26" s="367"/>
      <c r="J26" s="57"/>
      <c r="K26" s="255"/>
    </row>
    <row r="27" spans="1:23" ht="13.5" customHeight="1">
      <c r="B27" s="80" t="s">
        <v>1130</v>
      </c>
      <c r="C27" s="28" t="str">
        <f>CONCATENATE("Commercial Space Heat - ","1")</f>
        <v>Commercial Space Heat - 1</v>
      </c>
      <c r="D27" s="95" t="s">
        <v>249</v>
      </c>
      <c r="E27" s="63"/>
      <c r="F27" s="63">
        <v>1</v>
      </c>
      <c r="G27" s="63">
        <v>1</v>
      </c>
      <c r="H27" s="395"/>
      <c r="I27" s="367"/>
      <c r="J27" s="57"/>
      <c r="K27" s="255"/>
    </row>
    <row r="28" spans="1:23">
      <c r="J28" s="57"/>
      <c r="K28" s="255"/>
    </row>
    <row r="51" spans="3:26">
      <c r="C51" s="125"/>
      <c r="D51" s="123"/>
      <c r="E51" s="123"/>
      <c r="F51" s="123"/>
      <c r="G51" s="123"/>
      <c r="H51" s="128"/>
      <c r="I51" s="123"/>
      <c r="J51" s="123"/>
      <c r="K51" s="123"/>
      <c r="L51" s="123"/>
      <c r="M51" s="123"/>
      <c r="N51" s="123"/>
      <c r="O51" s="123"/>
      <c r="P51" s="128"/>
      <c r="Q51" s="123"/>
      <c r="R51" s="123"/>
      <c r="S51" s="123"/>
      <c r="T51" s="123"/>
      <c r="U51" s="123"/>
      <c r="V51" s="123"/>
      <c r="W51" s="123"/>
      <c r="X51" s="123"/>
      <c r="Y51" s="123"/>
      <c r="Z51" s="123"/>
    </row>
    <row r="52" spans="3:26">
      <c r="C52" s="123"/>
      <c r="D52" s="120"/>
      <c r="E52" s="123"/>
      <c r="F52" s="123"/>
      <c r="G52" s="123"/>
      <c r="H52" s="128"/>
      <c r="I52" s="123"/>
      <c r="J52" s="123"/>
      <c r="K52" s="123"/>
      <c r="L52" s="123"/>
      <c r="M52" s="123"/>
      <c r="N52" s="123"/>
      <c r="O52" s="123"/>
      <c r="P52" s="128"/>
      <c r="Q52" s="123"/>
      <c r="R52" s="123"/>
      <c r="S52" s="123"/>
      <c r="T52" s="123"/>
      <c r="U52" s="123"/>
      <c r="V52" s="123"/>
      <c r="W52" s="123"/>
      <c r="X52" s="123"/>
      <c r="Y52" s="123"/>
      <c r="Z52" s="123"/>
    </row>
    <row r="53" spans="3:26">
      <c r="C53" s="123"/>
      <c r="D53" s="120"/>
      <c r="E53" s="123"/>
      <c r="F53" s="123"/>
      <c r="G53" s="123"/>
      <c r="H53" s="128"/>
      <c r="I53" s="123"/>
      <c r="J53" s="123"/>
      <c r="K53" s="123"/>
      <c r="L53" s="123"/>
      <c r="M53" s="123"/>
      <c r="N53" s="123"/>
      <c r="O53" s="123"/>
      <c r="P53" s="128"/>
      <c r="Q53" s="123"/>
      <c r="R53" s="123"/>
      <c r="S53" s="123"/>
      <c r="T53" s="123"/>
      <c r="U53" s="123"/>
      <c r="V53" s="123"/>
      <c r="W53" s="123"/>
      <c r="X53" s="123"/>
      <c r="Y53" s="123"/>
      <c r="Z53" s="123"/>
    </row>
    <row r="54" spans="3:26">
      <c r="C54" s="123"/>
      <c r="D54" s="120"/>
      <c r="E54" s="123"/>
      <c r="F54" s="123"/>
      <c r="G54" s="123"/>
      <c r="H54" s="128"/>
      <c r="I54" s="123"/>
      <c r="J54" s="123"/>
      <c r="K54" s="123"/>
      <c r="L54" s="123"/>
      <c r="M54" s="123"/>
      <c r="N54" s="123"/>
      <c r="O54" s="123"/>
      <c r="P54" s="128"/>
      <c r="Q54" s="123"/>
      <c r="R54" s="123"/>
      <c r="S54" s="123"/>
      <c r="T54" s="123"/>
      <c r="U54" s="123"/>
      <c r="V54" s="123"/>
      <c r="W54" s="123"/>
      <c r="X54" s="123"/>
      <c r="Y54" s="123"/>
      <c r="Z54" s="123"/>
    </row>
    <row r="55" spans="3:26">
      <c r="C55" s="123"/>
      <c r="D55" s="120"/>
      <c r="E55" s="123"/>
      <c r="F55" s="123"/>
      <c r="G55" s="123"/>
      <c r="H55" s="128"/>
      <c r="I55" s="123"/>
      <c r="J55" s="123"/>
      <c r="K55" s="123"/>
      <c r="L55" s="123"/>
      <c r="M55" s="123"/>
      <c r="N55" s="123"/>
      <c r="O55" s="123"/>
      <c r="P55" s="128"/>
      <c r="Q55" s="123"/>
      <c r="R55" s="123"/>
      <c r="S55" s="123"/>
      <c r="T55" s="123"/>
      <c r="U55" s="123"/>
      <c r="V55" s="123"/>
      <c r="W55" s="123"/>
      <c r="X55" s="123"/>
      <c r="Y55" s="123"/>
      <c r="Z55" s="123"/>
    </row>
    <row r="56" spans="3:26">
      <c r="C56" s="123"/>
      <c r="D56" s="120"/>
      <c r="E56" s="123"/>
      <c r="F56" s="123"/>
      <c r="G56" s="123"/>
      <c r="H56" s="128"/>
      <c r="I56" s="123"/>
      <c r="J56" s="123"/>
      <c r="K56" s="123"/>
      <c r="L56" s="123"/>
      <c r="M56" s="123"/>
      <c r="N56" s="123"/>
      <c r="O56" s="123"/>
      <c r="P56" s="128"/>
      <c r="Q56" s="123"/>
      <c r="R56" s="123"/>
      <c r="S56" s="123"/>
      <c r="T56" s="123"/>
      <c r="U56" s="123"/>
      <c r="V56" s="123"/>
      <c r="W56" s="123"/>
      <c r="X56" s="123"/>
      <c r="Y56" s="123"/>
      <c r="Z56" s="123"/>
    </row>
    <row r="57" spans="3:26">
      <c r="C57" s="123"/>
      <c r="D57" s="120"/>
      <c r="E57" s="123"/>
      <c r="F57" s="123"/>
      <c r="G57" s="123"/>
      <c r="H57" s="128"/>
      <c r="I57" s="123"/>
      <c r="J57" s="123"/>
      <c r="K57" s="123"/>
      <c r="L57" s="123"/>
      <c r="M57" s="123"/>
      <c r="N57" s="123"/>
      <c r="O57" s="123"/>
      <c r="P57" s="128"/>
      <c r="Q57" s="123"/>
      <c r="R57" s="123"/>
      <c r="S57" s="123"/>
      <c r="T57" s="123"/>
      <c r="U57" s="123"/>
      <c r="V57" s="123"/>
      <c r="W57" s="123"/>
      <c r="X57" s="123"/>
      <c r="Y57" s="123"/>
      <c r="Z57" s="123"/>
    </row>
    <row r="58" spans="3:26">
      <c r="C58" s="123"/>
      <c r="D58" s="120"/>
      <c r="E58" s="123"/>
      <c r="F58" s="123"/>
      <c r="G58" s="123"/>
      <c r="H58" s="128"/>
      <c r="I58" s="123"/>
      <c r="J58" s="123"/>
      <c r="K58" s="123"/>
      <c r="L58" s="123"/>
      <c r="M58" s="123"/>
      <c r="N58" s="123"/>
      <c r="O58" s="123"/>
      <c r="P58" s="128"/>
      <c r="Q58" s="123"/>
      <c r="R58" s="123"/>
      <c r="S58" s="123"/>
      <c r="T58" s="123"/>
      <c r="U58" s="123"/>
      <c r="V58" s="123"/>
      <c r="W58" s="123"/>
      <c r="X58" s="123"/>
      <c r="Y58" s="123"/>
      <c r="Z58" s="123"/>
    </row>
    <row r="59" spans="3:26">
      <c r="C59" s="123"/>
      <c r="D59" s="120"/>
      <c r="E59" s="123"/>
      <c r="F59" s="123"/>
      <c r="G59" s="123"/>
      <c r="H59" s="128"/>
      <c r="I59" s="123"/>
      <c r="J59" s="123"/>
      <c r="K59" s="123"/>
      <c r="L59" s="123"/>
      <c r="M59" s="123"/>
      <c r="N59" s="123"/>
      <c r="O59" s="123"/>
      <c r="P59" s="128"/>
      <c r="Q59" s="123"/>
      <c r="R59" s="123"/>
      <c r="S59" s="123"/>
      <c r="T59" s="123"/>
      <c r="U59" s="123"/>
      <c r="V59" s="123"/>
      <c r="W59" s="123"/>
      <c r="X59" s="123"/>
      <c r="Y59" s="123"/>
      <c r="Z59" s="123"/>
    </row>
    <row r="60" spans="3:26">
      <c r="C60" s="123"/>
      <c r="D60" s="120"/>
      <c r="E60" s="123"/>
      <c r="F60" s="123"/>
      <c r="G60" s="123"/>
      <c r="H60" s="128"/>
      <c r="I60" s="123"/>
      <c r="J60" s="123"/>
      <c r="K60" s="123"/>
      <c r="L60" s="123"/>
      <c r="M60" s="123"/>
      <c r="N60" s="123"/>
      <c r="O60" s="123"/>
      <c r="P60" s="128"/>
      <c r="Q60" s="123"/>
      <c r="R60" s="123"/>
      <c r="S60" s="123"/>
      <c r="T60" s="123"/>
      <c r="U60" s="123"/>
      <c r="V60" s="123"/>
      <c r="W60" s="123"/>
      <c r="X60" s="123"/>
      <c r="Y60" s="123"/>
      <c r="Z60" s="123"/>
    </row>
    <row r="61" spans="3:26">
      <c r="C61" s="123"/>
      <c r="D61" s="120"/>
      <c r="E61" s="123"/>
      <c r="F61" s="123"/>
      <c r="G61" s="123"/>
      <c r="H61" s="128"/>
      <c r="I61" s="123"/>
      <c r="J61" s="123"/>
      <c r="K61" s="123"/>
      <c r="L61" s="123"/>
      <c r="M61" s="123"/>
      <c r="N61" s="123"/>
      <c r="O61" s="123"/>
      <c r="P61" s="128"/>
      <c r="Q61" s="123"/>
      <c r="R61" s="123"/>
      <c r="S61" s="123"/>
      <c r="T61" s="123"/>
      <c r="U61" s="123"/>
      <c r="V61" s="123"/>
      <c r="W61" s="123"/>
      <c r="X61" s="123"/>
      <c r="Y61" s="123"/>
      <c r="Z61" s="123"/>
    </row>
    <row r="62" spans="3:26">
      <c r="C62" s="123"/>
      <c r="D62" s="120"/>
      <c r="E62" s="123"/>
      <c r="F62" s="123"/>
      <c r="G62" s="123"/>
      <c r="H62" s="128"/>
      <c r="I62" s="123"/>
      <c r="J62" s="123"/>
      <c r="K62" s="123"/>
      <c r="L62" s="123"/>
      <c r="M62" s="123"/>
      <c r="N62" s="123"/>
      <c r="O62" s="123"/>
      <c r="P62" s="128"/>
      <c r="Q62" s="123"/>
      <c r="R62" s="123"/>
      <c r="S62" s="123"/>
      <c r="T62" s="123"/>
      <c r="U62" s="123"/>
      <c r="V62" s="123"/>
      <c r="W62" s="123"/>
      <c r="X62" s="123"/>
      <c r="Y62" s="123"/>
      <c r="Z62" s="123"/>
    </row>
    <row r="63" spans="3:26">
      <c r="C63" s="123"/>
      <c r="D63" s="120"/>
      <c r="E63" s="123"/>
      <c r="F63" s="123"/>
      <c r="G63" s="123"/>
      <c r="H63" s="128"/>
      <c r="I63" s="123"/>
      <c r="J63" s="123"/>
      <c r="K63" s="123"/>
      <c r="L63" s="123"/>
      <c r="M63" s="123"/>
      <c r="N63" s="123"/>
      <c r="O63" s="123"/>
      <c r="P63" s="128"/>
      <c r="Q63" s="123"/>
      <c r="R63" s="123"/>
      <c r="S63" s="123"/>
      <c r="T63" s="123"/>
      <c r="U63" s="123"/>
      <c r="V63" s="123"/>
      <c r="W63" s="123"/>
      <c r="X63" s="123"/>
      <c r="Y63" s="123"/>
      <c r="Z63" s="123"/>
    </row>
    <row r="64" spans="3:26">
      <c r="C64" s="123"/>
      <c r="D64" s="120"/>
      <c r="E64" s="123"/>
      <c r="F64" s="123"/>
      <c r="G64" s="123"/>
      <c r="H64" s="128"/>
      <c r="I64" s="123"/>
      <c r="J64" s="123"/>
      <c r="K64" s="123"/>
      <c r="L64" s="123"/>
      <c r="M64" s="123"/>
      <c r="N64" s="123"/>
      <c r="O64" s="123"/>
      <c r="P64" s="128"/>
      <c r="Q64" s="123"/>
      <c r="R64" s="123"/>
      <c r="S64" s="123"/>
      <c r="T64" s="123"/>
      <c r="U64" s="123"/>
      <c r="V64" s="123"/>
      <c r="W64" s="123"/>
      <c r="X64" s="123"/>
      <c r="Y64" s="123"/>
      <c r="Z64" s="123"/>
    </row>
    <row r="65" spans="3:26">
      <c r="C65" s="123"/>
      <c r="D65" s="123"/>
      <c r="E65" s="123"/>
      <c r="F65" s="120"/>
      <c r="G65" s="123"/>
      <c r="H65" s="128"/>
      <c r="I65" s="123"/>
      <c r="J65" s="123"/>
      <c r="K65" s="123"/>
      <c r="L65" s="123"/>
      <c r="M65" s="123"/>
      <c r="N65" s="123"/>
      <c r="O65" s="123"/>
      <c r="P65" s="128"/>
      <c r="Q65" s="123"/>
      <c r="R65" s="123"/>
      <c r="S65" s="123"/>
      <c r="T65" s="123"/>
      <c r="U65" s="123"/>
      <c r="V65" s="123"/>
      <c r="W65" s="123"/>
      <c r="X65" s="123"/>
      <c r="Y65" s="123"/>
      <c r="Z65" s="123"/>
    </row>
    <row r="66" spans="3:26">
      <c r="C66" s="123"/>
      <c r="D66" s="123"/>
      <c r="E66" s="123"/>
      <c r="F66" s="123"/>
      <c r="G66" s="123"/>
      <c r="H66" s="128"/>
      <c r="I66" s="123"/>
      <c r="J66" s="123"/>
      <c r="K66" s="123"/>
      <c r="L66" s="123"/>
      <c r="M66" s="123"/>
      <c r="N66" s="123"/>
      <c r="O66" s="123"/>
      <c r="P66" s="128"/>
      <c r="Q66" s="123"/>
      <c r="R66" s="123"/>
      <c r="S66" s="123"/>
      <c r="T66" s="123"/>
      <c r="U66" s="123"/>
      <c r="V66" s="123"/>
      <c r="W66" s="123"/>
      <c r="X66" s="123"/>
      <c r="Y66" s="123"/>
      <c r="Z66" s="123"/>
    </row>
    <row r="67" spans="3:26">
      <c r="C67" s="123"/>
      <c r="D67" s="123"/>
      <c r="E67" s="123"/>
      <c r="F67" s="120"/>
      <c r="G67" s="123"/>
      <c r="H67" s="128"/>
      <c r="I67" s="123"/>
      <c r="J67" s="123"/>
      <c r="K67" s="123"/>
      <c r="L67" s="123"/>
      <c r="M67" s="123"/>
      <c r="N67" s="123"/>
      <c r="O67" s="123"/>
      <c r="P67" s="128"/>
      <c r="Q67" s="123"/>
      <c r="R67" s="123"/>
      <c r="S67" s="123"/>
      <c r="T67" s="123"/>
      <c r="U67" s="123"/>
      <c r="V67" s="123"/>
      <c r="W67" s="123"/>
      <c r="X67" s="123"/>
      <c r="Y67" s="123"/>
      <c r="Z67" s="123"/>
    </row>
    <row r="68" spans="3:26">
      <c r="C68" s="123"/>
      <c r="D68" s="123"/>
      <c r="E68" s="123"/>
      <c r="F68" s="123"/>
      <c r="G68" s="123"/>
      <c r="H68" s="128"/>
      <c r="I68" s="123"/>
      <c r="J68" s="123"/>
      <c r="K68" s="123"/>
      <c r="L68" s="123"/>
      <c r="M68" s="123"/>
      <c r="N68" s="123"/>
      <c r="O68" s="123"/>
      <c r="P68" s="128"/>
      <c r="Q68" s="123"/>
      <c r="R68" s="123"/>
      <c r="S68" s="123"/>
      <c r="T68" s="123"/>
      <c r="U68" s="123"/>
      <c r="V68" s="123"/>
      <c r="W68" s="123"/>
      <c r="X68" s="123"/>
      <c r="Y68" s="123"/>
      <c r="Z68" s="123"/>
    </row>
    <row r="69" spans="3:26">
      <c r="C69" s="123"/>
      <c r="D69" s="123"/>
      <c r="E69" s="123"/>
      <c r="F69" s="123"/>
      <c r="G69" s="123"/>
      <c r="H69" s="128"/>
      <c r="I69" s="123"/>
      <c r="J69" s="123"/>
      <c r="K69" s="123"/>
      <c r="L69" s="123"/>
      <c r="M69" s="123"/>
      <c r="N69" s="123"/>
      <c r="O69" s="123"/>
      <c r="P69" s="128"/>
      <c r="Q69" s="123"/>
      <c r="R69" s="123"/>
      <c r="S69" s="123"/>
      <c r="T69" s="123"/>
      <c r="U69" s="123"/>
      <c r="V69" s="123"/>
      <c r="W69" s="123"/>
      <c r="X69" s="123"/>
      <c r="Y69" s="123"/>
      <c r="Z69" s="123"/>
    </row>
    <row r="70" spans="3:26">
      <c r="C70" s="123"/>
      <c r="D70" s="123"/>
      <c r="E70" s="123"/>
      <c r="F70" s="123"/>
      <c r="G70" s="123"/>
      <c r="H70" s="123"/>
      <c r="I70" s="123"/>
      <c r="J70" s="123"/>
      <c r="K70" s="123"/>
      <c r="L70" s="123"/>
      <c r="M70" s="123"/>
      <c r="N70" s="123"/>
      <c r="O70" s="123"/>
      <c r="P70" s="123"/>
      <c r="Q70" s="123"/>
      <c r="R70" s="124"/>
      <c r="S70" s="124"/>
      <c r="T70" s="123"/>
      <c r="U70" s="123"/>
      <c r="V70" s="123"/>
      <c r="W70" s="123"/>
      <c r="X70" s="123"/>
      <c r="Y70" s="123"/>
      <c r="Z70" s="123"/>
    </row>
    <row r="71" spans="3:26">
      <c r="C71" s="123"/>
      <c r="D71" s="123"/>
      <c r="E71" s="123"/>
      <c r="F71" s="123"/>
      <c r="G71" s="123"/>
      <c r="H71" s="123"/>
      <c r="I71" s="123"/>
      <c r="J71" s="123"/>
      <c r="K71" s="123"/>
      <c r="L71" s="123"/>
      <c r="M71" s="123"/>
      <c r="N71" s="123"/>
      <c r="O71" s="123"/>
      <c r="P71" s="123"/>
      <c r="Q71" s="123"/>
      <c r="R71" s="124"/>
      <c r="S71" s="124"/>
      <c r="T71" s="123"/>
      <c r="U71" s="123"/>
      <c r="V71" s="123"/>
      <c r="W71" s="123"/>
      <c r="X71" s="123"/>
      <c r="Y71" s="123"/>
      <c r="Z71" s="123"/>
    </row>
    <row r="72" spans="3:26">
      <c r="C72" s="123"/>
      <c r="D72" s="123"/>
      <c r="E72" s="123"/>
      <c r="F72" s="123"/>
      <c r="G72" s="123"/>
      <c r="H72" s="123"/>
      <c r="I72" s="123"/>
      <c r="J72" s="123"/>
      <c r="K72" s="123"/>
      <c r="L72" s="123"/>
      <c r="M72" s="123"/>
      <c r="N72" s="123"/>
      <c r="O72" s="123"/>
      <c r="P72" s="123"/>
      <c r="Q72" s="123"/>
      <c r="R72" s="124"/>
      <c r="S72" s="124"/>
      <c r="T72" s="123"/>
      <c r="U72" s="123"/>
      <c r="V72" s="123"/>
      <c r="W72" s="123"/>
      <c r="X72" s="123"/>
      <c r="Y72" s="123"/>
      <c r="Z72" s="123"/>
    </row>
    <row r="73" spans="3:26">
      <c r="C73" s="125"/>
      <c r="D73" s="123"/>
      <c r="E73" s="123"/>
      <c r="F73" s="123"/>
      <c r="G73" s="123"/>
      <c r="H73" s="128"/>
      <c r="I73" s="123"/>
      <c r="J73" s="123"/>
      <c r="K73" s="123"/>
      <c r="L73" s="123"/>
      <c r="M73" s="123"/>
      <c r="N73" s="123"/>
      <c r="O73" s="123"/>
      <c r="P73" s="128"/>
      <c r="Q73" s="123"/>
      <c r="R73" s="123"/>
      <c r="S73" s="123"/>
      <c r="T73" s="123"/>
      <c r="U73" s="123"/>
      <c r="V73" s="123"/>
      <c r="W73" s="123"/>
      <c r="X73" s="123"/>
      <c r="Y73" s="123"/>
      <c r="Z73" s="123"/>
    </row>
    <row r="74" spans="3:26">
      <c r="C74" s="125"/>
      <c r="D74" s="123"/>
      <c r="E74" s="123"/>
      <c r="F74" s="123"/>
      <c r="G74" s="123"/>
      <c r="H74" s="128"/>
      <c r="I74" s="123"/>
      <c r="J74" s="123"/>
      <c r="K74" s="123"/>
      <c r="L74" s="123"/>
      <c r="M74" s="123"/>
      <c r="N74" s="123"/>
      <c r="O74" s="123"/>
      <c r="P74" s="128"/>
      <c r="Q74" s="123"/>
      <c r="R74" s="123"/>
      <c r="S74" s="123"/>
      <c r="T74" s="123"/>
      <c r="U74" s="123"/>
      <c r="V74" s="123"/>
      <c r="W74" s="123"/>
      <c r="X74" s="123"/>
      <c r="Y74" s="123"/>
      <c r="Z74" s="123"/>
    </row>
    <row r="75" spans="3:26">
      <c r="C75" s="125"/>
      <c r="D75" s="123"/>
      <c r="E75" s="123"/>
      <c r="F75" s="123"/>
      <c r="G75" s="123"/>
      <c r="H75" s="128"/>
      <c r="I75" s="123"/>
      <c r="J75" s="123"/>
      <c r="K75" s="123"/>
      <c r="L75" s="123"/>
      <c r="M75" s="123"/>
      <c r="N75" s="123"/>
      <c r="O75" s="123"/>
      <c r="P75" s="128"/>
      <c r="Q75" s="123"/>
      <c r="R75" s="123"/>
      <c r="S75" s="123"/>
      <c r="T75" s="123"/>
      <c r="U75" s="123"/>
      <c r="V75" s="123"/>
      <c r="W75" s="123"/>
      <c r="X75" s="123"/>
      <c r="Y75" s="123"/>
      <c r="Z75" s="123"/>
    </row>
    <row r="76" spans="3:26">
      <c r="C76" s="123"/>
      <c r="D76" s="123"/>
      <c r="E76" s="123"/>
      <c r="F76" s="123"/>
      <c r="G76" s="123"/>
      <c r="H76" s="123"/>
      <c r="I76" s="123"/>
      <c r="J76" s="123"/>
      <c r="K76" s="123"/>
      <c r="L76" s="123"/>
      <c r="M76" s="123"/>
      <c r="N76" s="123"/>
      <c r="O76" s="123"/>
      <c r="P76" s="123"/>
      <c r="Q76" s="123"/>
      <c r="R76" s="124"/>
      <c r="S76" s="124"/>
      <c r="T76" s="123"/>
      <c r="U76" s="123"/>
      <c r="V76" s="123"/>
      <c r="W76" s="123"/>
      <c r="X76" s="123"/>
      <c r="Y76" s="123"/>
      <c r="Z76" s="123"/>
    </row>
    <row r="77" spans="3:26">
      <c r="C77" s="123"/>
      <c r="D77" s="123"/>
      <c r="E77" s="123"/>
      <c r="F77" s="123"/>
      <c r="G77" s="123"/>
      <c r="H77" s="123"/>
      <c r="I77" s="123"/>
      <c r="J77" s="123"/>
      <c r="K77" s="123"/>
      <c r="L77" s="123"/>
      <c r="M77" s="123"/>
      <c r="N77" s="123"/>
      <c r="O77" s="123"/>
      <c r="P77" s="123"/>
      <c r="Q77" s="123"/>
      <c r="R77" s="124"/>
      <c r="S77" s="124"/>
      <c r="T77" s="123"/>
      <c r="U77" s="123"/>
      <c r="V77" s="123"/>
      <c r="W77" s="123"/>
      <c r="X77" s="123"/>
      <c r="Y77" s="123"/>
      <c r="Z77" s="123"/>
    </row>
    <row r="78" spans="3:26">
      <c r="C78" s="123"/>
      <c r="D78" s="123"/>
      <c r="E78" s="123"/>
      <c r="F78" s="123"/>
      <c r="G78" s="123"/>
      <c r="H78" s="123"/>
      <c r="I78" s="123"/>
      <c r="J78" s="123"/>
      <c r="K78" s="123"/>
      <c r="L78" s="123"/>
      <c r="M78" s="123"/>
      <c r="N78" s="123"/>
      <c r="O78" s="123"/>
      <c r="P78" s="123"/>
      <c r="Q78" s="123"/>
      <c r="R78" s="124"/>
      <c r="S78" s="124"/>
      <c r="T78" s="123"/>
      <c r="U78" s="123"/>
      <c r="V78" s="123"/>
      <c r="W78" s="123"/>
      <c r="X78" s="123"/>
      <c r="Y78" s="123"/>
      <c r="Z78" s="123"/>
    </row>
    <row r="79" spans="3:26">
      <c r="C79" s="125"/>
      <c r="D79" s="123"/>
      <c r="E79" s="123"/>
      <c r="F79" s="123"/>
      <c r="G79" s="123"/>
      <c r="H79" s="128"/>
      <c r="I79" s="123"/>
      <c r="J79" s="123"/>
      <c r="K79" s="123"/>
      <c r="L79" s="123"/>
      <c r="M79" s="123"/>
      <c r="N79" s="123"/>
      <c r="O79" s="123"/>
      <c r="P79" s="128"/>
      <c r="Q79" s="123"/>
      <c r="R79" s="123"/>
      <c r="S79" s="123"/>
      <c r="T79" s="123"/>
      <c r="U79" s="123"/>
      <c r="V79" s="123"/>
      <c r="W79" s="123"/>
      <c r="X79" s="123"/>
      <c r="Y79" s="123"/>
      <c r="Z79" s="123"/>
    </row>
    <row r="80" spans="3:26">
      <c r="C80" s="125"/>
      <c r="D80" s="123"/>
      <c r="E80" s="123"/>
      <c r="F80" s="123"/>
      <c r="G80" s="123"/>
      <c r="H80" s="128"/>
      <c r="I80" s="123"/>
      <c r="J80" s="123"/>
      <c r="K80" s="123"/>
      <c r="L80" s="123"/>
      <c r="M80" s="123"/>
      <c r="N80" s="123"/>
      <c r="O80" s="123"/>
      <c r="P80" s="128"/>
      <c r="Q80" s="123"/>
      <c r="R80" s="123"/>
      <c r="S80" s="123"/>
      <c r="T80" s="123"/>
      <c r="U80" s="123"/>
      <c r="V80" s="123"/>
      <c r="W80" s="123"/>
      <c r="X80" s="123"/>
      <c r="Y80" s="123"/>
      <c r="Z80" s="123"/>
    </row>
    <row r="81" spans="3:26">
      <c r="C81" s="125"/>
      <c r="D81" s="123"/>
      <c r="E81" s="123"/>
      <c r="F81" s="123"/>
      <c r="G81" s="123"/>
      <c r="H81" s="128"/>
      <c r="I81" s="123"/>
      <c r="J81" s="123"/>
      <c r="K81" s="123"/>
      <c r="L81" s="123"/>
      <c r="M81" s="123"/>
      <c r="N81" s="123"/>
      <c r="O81" s="123"/>
      <c r="P81" s="128"/>
      <c r="Q81" s="123"/>
      <c r="R81" s="123"/>
      <c r="S81" s="123"/>
      <c r="T81" s="123"/>
      <c r="U81" s="123"/>
      <c r="V81" s="123"/>
      <c r="W81" s="123"/>
      <c r="X81" s="123"/>
      <c r="Y81" s="123"/>
      <c r="Z81" s="123"/>
    </row>
    <row r="82" spans="3:26">
      <c r="C82" s="123"/>
      <c r="D82" s="120"/>
      <c r="E82" s="123"/>
      <c r="F82" s="123"/>
      <c r="G82" s="123"/>
      <c r="H82" s="123"/>
      <c r="I82" s="123"/>
      <c r="J82" s="123"/>
      <c r="K82" s="123"/>
      <c r="L82" s="123"/>
      <c r="M82" s="123"/>
      <c r="N82" s="123"/>
      <c r="O82" s="123"/>
      <c r="P82" s="123"/>
      <c r="Q82" s="123"/>
      <c r="R82" s="124"/>
      <c r="S82" s="124"/>
      <c r="T82" s="123"/>
      <c r="U82" s="123"/>
      <c r="V82" s="123"/>
      <c r="W82" s="123"/>
      <c r="X82" s="123"/>
      <c r="Y82" s="123"/>
      <c r="Z82" s="123"/>
    </row>
    <row r="83" spans="3:26">
      <c r="C83" s="123"/>
      <c r="D83" s="120"/>
      <c r="E83" s="123"/>
      <c r="F83" s="123"/>
      <c r="G83" s="123"/>
      <c r="H83" s="123"/>
      <c r="I83" s="123"/>
      <c r="J83" s="123"/>
      <c r="K83" s="123"/>
      <c r="L83" s="123"/>
      <c r="M83" s="123"/>
      <c r="N83" s="123"/>
      <c r="O83" s="123"/>
      <c r="P83" s="123"/>
      <c r="Q83" s="123"/>
      <c r="R83" s="124"/>
      <c r="S83" s="124"/>
      <c r="T83" s="123"/>
      <c r="U83" s="123"/>
      <c r="V83" s="123"/>
      <c r="W83" s="123"/>
      <c r="X83" s="123"/>
      <c r="Y83" s="123"/>
      <c r="Z83" s="123"/>
    </row>
    <row r="84" spans="3:26">
      <c r="C84" s="123"/>
      <c r="D84" s="120"/>
      <c r="E84" s="123"/>
      <c r="F84" s="123"/>
      <c r="G84" s="123"/>
      <c r="H84" s="123"/>
      <c r="I84" s="123"/>
      <c r="J84" s="123"/>
      <c r="K84" s="123"/>
      <c r="L84" s="123"/>
      <c r="M84" s="123"/>
      <c r="N84" s="123"/>
      <c r="O84" s="123"/>
      <c r="P84" s="123"/>
      <c r="Q84" s="123"/>
      <c r="R84" s="124"/>
      <c r="S84" s="124"/>
      <c r="T84" s="123"/>
      <c r="U84" s="123"/>
      <c r="V84" s="123"/>
      <c r="W84" s="123"/>
      <c r="X84" s="123"/>
      <c r="Y84" s="123"/>
      <c r="Z84" s="123"/>
    </row>
    <row r="85" spans="3:26">
      <c r="C85" s="123"/>
      <c r="D85" s="120"/>
      <c r="E85" s="123"/>
      <c r="F85" s="123"/>
      <c r="G85" s="123"/>
      <c r="H85" s="123"/>
      <c r="I85" s="123"/>
      <c r="J85" s="123"/>
      <c r="K85" s="123"/>
      <c r="L85" s="123"/>
      <c r="M85" s="123"/>
      <c r="N85" s="123"/>
      <c r="O85" s="123"/>
      <c r="P85" s="123"/>
      <c r="Q85" s="123"/>
      <c r="R85" s="124"/>
      <c r="S85" s="124"/>
      <c r="T85" s="123"/>
      <c r="U85" s="123"/>
      <c r="V85" s="123"/>
      <c r="W85" s="123"/>
      <c r="X85" s="123"/>
      <c r="Y85" s="123"/>
      <c r="Z85" s="123"/>
    </row>
    <row r="86" spans="3:26">
      <c r="C86" s="123"/>
      <c r="D86" s="120"/>
      <c r="E86" s="123"/>
      <c r="F86" s="123"/>
      <c r="G86" s="123"/>
      <c r="H86" s="128"/>
      <c r="I86" s="123"/>
      <c r="J86" s="123"/>
      <c r="K86" s="123"/>
      <c r="L86" s="123"/>
      <c r="M86" s="123"/>
      <c r="N86" s="123"/>
      <c r="O86" s="123"/>
      <c r="P86" s="128"/>
      <c r="Q86" s="123"/>
      <c r="R86" s="123"/>
      <c r="S86" s="123"/>
      <c r="T86" s="123"/>
      <c r="U86" s="123"/>
      <c r="V86" s="123"/>
      <c r="W86" s="123"/>
      <c r="X86" s="123"/>
      <c r="Y86" s="123"/>
      <c r="Z86" s="123"/>
    </row>
    <row r="87" spans="3:26">
      <c r="C87" s="123"/>
      <c r="D87" s="120"/>
      <c r="E87" s="123"/>
      <c r="F87" s="123"/>
      <c r="G87" s="123"/>
      <c r="H87" s="128"/>
      <c r="I87" s="123"/>
      <c r="J87" s="123"/>
      <c r="K87" s="123"/>
      <c r="L87" s="123"/>
      <c r="M87" s="123"/>
      <c r="N87" s="123"/>
      <c r="O87" s="123"/>
      <c r="P87" s="128"/>
      <c r="Q87" s="123"/>
      <c r="R87" s="123"/>
      <c r="S87" s="123"/>
      <c r="T87" s="123"/>
      <c r="U87" s="123"/>
      <c r="V87" s="123"/>
      <c r="W87" s="123"/>
      <c r="X87" s="123"/>
      <c r="Y87" s="123"/>
      <c r="Z87" s="123"/>
    </row>
    <row r="88" spans="3:26">
      <c r="C88" s="123"/>
      <c r="D88" s="120"/>
      <c r="E88" s="123"/>
      <c r="F88" s="123"/>
      <c r="G88" s="123"/>
      <c r="H88" s="128"/>
      <c r="I88" s="123"/>
      <c r="J88" s="123"/>
      <c r="K88" s="123"/>
      <c r="L88" s="123"/>
      <c r="M88" s="123"/>
      <c r="N88" s="123"/>
      <c r="O88" s="123"/>
      <c r="P88" s="128"/>
      <c r="Q88" s="123"/>
      <c r="R88" s="123"/>
      <c r="S88" s="123"/>
      <c r="T88" s="123"/>
      <c r="U88" s="123"/>
      <c r="V88" s="123"/>
      <c r="W88" s="123"/>
      <c r="X88" s="123"/>
      <c r="Y88" s="123"/>
      <c r="Z88" s="123"/>
    </row>
    <row r="89" spans="3:26">
      <c r="C89" s="123"/>
      <c r="D89" s="120"/>
      <c r="E89" s="123"/>
      <c r="F89" s="123"/>
      <c r="G89" s="123"/>
      <c r="H89" s="128"/>
      <c r="I89" s="123"/>
      <c r="J89" s="123"/>
      <c r="K89" s="123"/>
      <c r="L89" s="123"/>
      <c r="M89" s="123"/>
      <c r="N89" s="123"/>
      <c r="O89" s="123"/>
      <c r="P89" s="128"/>
      <c r="Q89" s="123"/>
      <c r="R89" s="123"/>
      <c r="S89" s="123"/>
      <c r="T89" s="123"/>
      <c r="U89" s="123"/>
      <c r="V89" s="123"/>
      <c r="W89" s="123"/>
      <c r="X89" s="123"/>
      <c r="Y89" s="123"/>
      <c r="Z89" s="123"/>
    </row>
    <row r="90" spans="3:26">
      <c r="C90" s="123"/>
      <c r="D90" s="120"/>
      <c r="E90" s="123"/>
      <c r="F90" s="123"/>
      <c r="G90" s="123"/>
      <c r="H90" s="128"/>
      <c r="I90" s="123"/>
      <c r="J90" s="123"/>
      <c r="K90" s="123"/>
      <c r="L90" s="123"/>
      <c r="M90" s="123"/>
      <c r="N90" s="123"/>
      <c r="O90" s="123"/>
      <c r="P90" s="128"/>
      <c r="Q90" s="123"/>
      <c r="R90" s="123"/>
      <c r="S90" s="123"/>
      <c r="T90" s="123"/>
      <c r="U90" s="123"/>
      <c r="V90" s="123"/>
      <c r="W90" s="123"/>
      <c r="X90" s="123"/>
      <c r="Y90" s="123"/>
      <c r="Z90" s="123"/>
    </row>
    <row r="91" spans="3:26">
      <c r="C91" s="123"/>
      <c r="D91" s="120"/>
      <c r="E91" s="123"/>
      <c r="F91" s="123"/>
      <c r="G91" s="123"/>
      <c r="H91" s="128"/>
      <c r="I91" s="123"/>
      <c r="J91" s="123"/>
      <c r="K91" s="123"/>
      <c r="L91" s="123"/>
      <c r="M91" s="123"/>
      <c r="N91" s="123"/>
      <c r="O91" s="123"/>
      <c r="P91" s="128"/>
      <c r="Q91" s="123"/>
      <c r="R91" s="123"/>
      <c r="S91" s="123"/>
      <c r="T91" s="123"/>
      <c r="U91" s="123"/>
      <c r="V91" s="123"/>
      <c r="W91" s="123"/>
      <c r="X91" s="123"/>
      <c r="Y91" s="123"/>
      <c r="Z91" s="123"/>
    </row>
    <row r="92" spans="3:26">
      <c r="C92" s="123"/>
      <c r="D92" s="120"/>
      <c r="E92" s="123"/>
      <c r="F92" s="123"/>
      <c r="G92" s="123"/>
      <c r="H92" s="128"/>
      <c r="I92" s="123"/>
      <c r="J92" s="123"/>
      <c r="K92" s="123"/>
      <c r="L92" s="123"/>
      <c r="M92" s="123"/>
      <c r="N92" s="123"/>
      <c r="O92" s="123"/>
      <c r="P92" s="128"/>
      <c r="Q92" s="123"/>
      <c r="R92" s="123"/>
      <c r="S92" s="123"/>
      <c r="T92" s="123"/>
      <c r="U92" s="123"/>
      <c r="V92" s="123"/>
      <c r="W92" s="123"/>
      <c r="X92" s="123"/>
      <c r="Y92" s="123"/>
      <c r="Z92" s="123"/>
    </row>
    <row r="93" spans="3:26">
      <c r="C93" s="123"/>
      <c r="D93" s="120"/>
      <c r="E93" s="123"/>
      <c r="F93" s="123"/>
      <c r="G93" s="123"/>
      <c r="H93" s="128"/>
      <c r="I93" s="123"/>
      <c r="J93" s="123"/>
      <c r="K93" s="123"/>
      <c r="L93" s="123"/>
      <c r="M93" s="123"/>
      <c r="N93" s="123"/>
      <c r="O93" s="123"/>
      <c r="P93" s="128"/>
      <c r="Q93" s="123"/>
      <c r="R93" s="123"/>
      <c r="S93" s="123"/>
      <c r="T93" s="123"/>
      <c r="U93" s="123"/>
      <c r="V93" s="123"/>
      <c r="W93" s="123"/>
      <c r="X93" s="123"/>
      <c r="Y93" s="123"/>
      <c r="Z93" s="123"/>
    </row>
    <row r="94" spans="3:26">
      <c r="C94" s="123"/>
      <c r="D94" s="120"/>
      <c r="E94" s="123"/>
      <c r="F94" s="123"/>
      <c r="G94" s="123"/>
      <c r="H94" s="128"/>
      <c r="I94" s="123"/>
      <c r="J94" s="123"/>
      <c r="K94" s="123"/>
      <c r="L94" s="123"/>
      <c r="M94" s="123"/>
      <c r="N94" s="123"/>
      <c r="O94" s="123"/>
      <c r="P94" s="128"/>
      <c r="Q94" s="123"/>
      <c r="R94" s="123"/>
      <c r="S94" s="123"/>
      <c r="T94" s="123"/>
      <c r="U94" s="123"/>
      <c r="V94" s="123"/>
      <c r="W94" s="123"/>
      <c r="X94" s="123"/>
      <c r="Y94" s="123"/>
      <c r="Z94" s="123"/>
    </row>
    <row r="95" spans="3:26">
      <c r="C95" s="123"/>
      <c r="D95" s="120"/>
      <c r="E95" s="123"/>
      <c r="F95" s="123"/>
      <c r="G95" s="123"/>
      <c r="H95" s="128"/>
      <c r="I95" s="123"/>
      <c r="J95" s="123"/>
      <c r="K95" s="123"/>
      <c r="L95" s="123"/>
      <c r="M95" s="123"/>
      <c r="N95" s="123"/>
      <c r="O95" s="123"/>
      <c r="P95" s="128"/>
      <c r="Q95" s="123"/>
      <c r="R95" s="123"/>
      <c r="S95" s="123"/>
      <c r="T95" s="123"/>
      <c r="U95" s="123"/>
      <c r="V95" s="123"/>
      <c r="W95" s="123"/>
      <c r="X95" s="123"/>
      <c r="Y95" s="123"/>
      <c r="Z95" s="123"/>
    </row>
    <row r="96" spans="3:26">
      <c r="C96" s="123"/>
      <c r="D96" s="120"/>
      <c r="E96" s="123"/>
      <c r="F96" s="123"/>
      <c r="G96" s="123"/>
      <c r="H96" s="128"/>
      <c r="I96" s="123"/>
      <c r="J96" s="123"/>
      <c r="K96" s="123"/>
      <c r="L96" s="123"/>
      <c r="M96" s="123"/>
      <c r="N96" s="123"/>
      <c r="O96" s="123"/>
      <c r="P96" s="128"/>
      <c r="Q96" s="123"/>
      <c r="R96" s="123"/>
      <c r="S96" s="123"/>
      <c r="T96" s="123"/>
      <c r="U96" s="123"/>
      <c r="V96" s="123"/>
      <c r="W96" s="123"/>
      <c r="X96" s="123"/>
      <c r="Y96" s="123"/>
      <c r="Z96" s="123"/>
    </row>
    <row r="97" spans="3:26">
      <c r="C97" s="123"/>
      <c r="D97" s="120"/>
      <c r="E97" s="123"/>
      <c r="F97" s="123"/>
      <c r="G97" s="123"/>
      <c r="H97" s="128"/>
      <c r="I97" s="123"/>
      <c r="J97" s="123"/>
      <c r="K97" s="123"/>
      <c r="L97" s="123"/>
      <c r="M97" s="123"/>
      <c r="N97" s="123"/>
      <c r="O97" s="123"/>
      <c r="P97" s="128"/>
      <c r="Q97" s="123"/>
      <c r="R97" s="123"/>
      <c r="S97" s="123"/>
      <c r="T97" s="123"/>
      <c r="U97" s="123"/>
      <c r="V97" s="123"/>
      <c r="W97" s="123"/>
      <c r="X97" s="123"/>
      <c r="Y97" s="123"/>
      <c r="Z97" s="123"/>
    </row>
    <row r="98" spans="3:26">
      <c r="C98" s="123"/>
      <c r="D98" s="120"/>
      <c r="E98" s="123"/>
      <c r="F98" s="123"/>
      <c r="G98" s="123"/>
      <c r="H98" s="128"/>
      <c r="I98" s="123"/>
      <c r="J98" s="123"/>
      <c r="K98" s="123"/>
      <c r="L98" s="123"/>
      <c r="M98" s="123"/>
      <c r="N98" s="123"/>
      <c r="O98" s="123"/>
      <c r="P98" s="128"/>
      <c r="Q98" s="123"/>
      <c r="R98" s="123"/>
      <c r="S98" s="123"/>
      <c r="T98" s="123"/>
      <c r="U98" s="123"/>
      <c r="V98" s="123"/>
      <c r="W98" s="123"/>
      <c r="X98" s="123"/>
      <c r="Y98" s="123"/>
      <c r="Z98" s="123"/>
    </row>
    <row r="99" spans="3:26">
      <c r="C99" s="123"/>
      <c r="D99" s="120"/>
      <c r="E99" s="123"/>
      <c r="F99" s="123"/>
      <c r="G99" s="123"/>
      <c r="H99" s="128"/>
      <c r="I99" s="123"/>
      <c r="J99" s="123"/>
      <c r="K99" s="123"/>
      <c r="L99" s="123"/>
      <c r="M99" s="123"/>
      <c r="N99" s="123"/>
      <c r="O99" s="123"/>
      <c r="P99" s="128"/>
      <c r="Q99" s="123"/>
      <c r="R99" s="123"/>
      <c r="S99" s="123"/>
      <c r="T99" s="123"/>
      <c r="U99" s="123"/>
      <c r="V99" s="123"/>
      <c r="W99" s="123"/>
      <c r="X99" s="123"/>
      <c r="Y99" s="123"/>
      <c r="Z99" s="123"/>
    </row>
    <row r="100" spans="3:26">
      <c r="C100" s="125"/>
      <c r="D100" s="120"/>
      <c r="E100" s="123"/>
      <c r="F100" s="123"/>
      <c r="G100" s="123"/>
      <c r="H100" s="128"/>
      <c r="I100" s="123"/>
      <c r="J100" s="123"/>
      <c r="K100" s="123"/>
      <c r="L100" s="123"/>
      <c r="M100" s="123"/>
      <c r="N100" s="123"/>
      <c r="O100" s="123"/>
      <c r="P100" s="128"/>
      <c r="Q100" s="123"/>
      <c r="R100" s="123"/>
      <c r="S100" s="123"/>
      <c r="T100" s="123"/>
      <c r="U100" s="123"/>
      <c r="V100" s="123"/>
      <c r="W100" s="123"/>
      <c r="X100" s="123"/>
      <c r="Y100" s="123"/>
      <c r="Z100" s="123"/>
    </row>
    <row r="101" spans="3:26">
      <c r="C101" s="125"/>
      <c r="D101" s="120"/>
      <c r="E101" s="123"/>
      <c r="F101" s="123"/>
      <c r="G101" s="123"/>
      <c r="H101" s="128"/>
      <c r="I101" s="123"/>
      <c r="J101" s="123"/>
      <c r="K101" s="123"/>
      <c r="L101" s="123"/>
      <c r="M101" s="123"/>
      <c r="N101" s="123"/>
      <c r="O101" s="123"/>
      <c r="P101" s="128"/>
      <c r="Q101" s="123"/>
      <c r="R101" s="123"/>
      <c r="S101" s="123"/>
      <c r="T101" s="123"/>
      <c r="U101" s="123"/>
      <c r="V101" s="123"/>
      <c r="W101" s="123"/>
      <c r="X101" s="123"/>
      <c r="Y101" s="123"/>
      <c r="Z101" s="123"/>
    </row>
    <row r="102" spans="3:26">
      <c r="C102" s="123"/>
      <c r="D102" s="120"/>
      <c r="E102" s="123"/>
      <c r="F102" s="123"/>
      <c r="G102" s="123"/>
      <c r="H102" s="128"/>
      <c r="I102" s="123"/>
      <c r="J102" s="123"/>
      <c r="K102" s="123"/>
      <c r="L102" s="123"/>
      <c r="M102" s="123"/>
      <c r="N102" s="123"/>
      <c r="O102" s="123"/>
      <c r="P102" s="128"/>
      <c r="Q102" s="123"/>
      <c r="R102" s="123"/>
      <c r="S102" s="123"/>
      <c r="T102" s="123"/>
      <c r="U102" s="123"/>
      <c r="V102" s="123"/>
      <c r="W102" s="123"/>
      <c r="X102" s="123"/>
      <c r="Y102" s="123"/>
      <c r="Z102" s="123"/>
    </row>
    <row r="103" spans="3:26">
      <c r="C103" s="123"/>
      <c r="D103" s="120"/>
      <c r="E103" s="123"/>
      <c r="F103" s="123"/>
      <c r="G103" s="123"/>
      <c r="H103" s="128"/>
      <c r="I103" s="123"/>
      <c r="J103" s="123"/>
      <c r="K103" s="123"/>
      <c r="L103" s="123"/>
      <c r="M103" s="123"/>
      <c r="N103" s="123"/>
      <c r="O103" s="123"/>
      <c r="P103" s="128"/>
      <c r="Q103" s="123"/>
      <c r="R103" s="123"/>
      <c r="S103" s="123"/>
      <c r="T103" s="123"/>
      <c r="U103" s="123"/>
      <c r="V103" s="123"/>
      <c r="W103" s="123"/>
      <c r="X103" s="123"/>
      <c r="Y103" s="123"/>
      <c r="Z103" s="123"/>
    </row>
    <row r="104" spans="3:26">
      <c r="C104" s="123"/>
      <c r="D104" s="120"/>
      <c r="E104" s="123"/>
      <c r="F104" s="123"/>
      <c r="G104" s="123"/>
      <c r="H104" s="128"/>
      <c r="I104" s="123"/>
      <c r="J104" s="123"/>
      <c r="K104" s="123"/>
      <c r="L104" s="123"/>
      <c r="M104" s="123"/>
      <c r="N104" s="123"/>
      <c r="O104" s="123"/>
      <c r="P104" s="128"/>
      <c r="Q104" s="123"/>
      <c r="R104" s="123"/>
      <c r="S104" s="123"/>
      <c r="T104" s="123"/>
      <c r="U104" s="123"/>
      <c r="V104" s="123"/>
      <c r="W104" s="123"/>
      <c r="X104" s="123"/>
      <c r="Y104" s="123"/>
      <c r="Z104" s="123"/>
    </row>
    <row r="105" spans="3:26">
      <c r="C105" s="125"/>
      <c r="D105" s="120"/>
      <c r="E105" s="123"/>
      <c r="F105" s="123"/>
      <c r="G105" s="123"/>
      <c r="H105" s="128"/>
      <c r="I105" s="123"/>
      <c r="J105" s="123"/>
      <c r="K105" s="123"/>
      <c r="L105" s="123"/>
      <c r="M105" s="123"/>
      <c r="N105" s="123"/>
      <c r="O105" s="123"/>
      <c r="P105" s="128"/>
      <c r="Q105" s="123"/>
      <c r="R105" s="123"/>
      <c r="S105" s="123"/>
      <c r="T105" s="123"/>
      <c r="U105" s="123"/>
      <c r="V105" s="123"/>
      <c r="W105" s="123"/>
      <c r="X105" s="123"/>
      <c r="Y105" s="123"/>
      <c r="Z105" s="123"/>
    </row>
    <row r="106" spans="3:26">
      <c r="C106" s="125"/>
      <c r="D106" s="120"/>
      <c r="E106" s="123"/>
      <c r="F106" s="123"/>
      <c r="G106" s="123"/>
      <c r="H106" s="128"/>
      <c r="I106" s="123"/>
      <c r="J106" s="123"/>
      <c r="K106" s="123"/>
      <c r="L106" s="123"/>
      <c r="M106" s="123"/>
      <c r="N106" s="123"/>
      <c r="O106" s="123"/>
      <c r="P106" s="128"/>
      <c r="Q106" s="123"/>
      <c r="R106" s="123"/>
      <c r="S106" s="123"/>
      <c r="T106" s="123"/>
      <c r="U106" s="123"/>
      <c r="V106" s="123"/>
      <c r="W106" s="123"/>
      <c r="X106" s="123"/>
      <c r="Y106" s="123"/>
      <c r="Z106"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21.xml><?xml version="1.0" encoding="utf-8"?>
<worksheet xmlns="http://schemas.openxmlformats.org/spreadsheetml/2006/main" xmlns:r="http://schemas.openxmlformats.org/officeDocument/2006/relationships">
  <dimension ref="A1:AF74"/>
  <sheetViews>
    <sheetView zoomScale="75" workbookViewId="0">
      <selection activeCell="B73" sqref="B73"/>
    </sheetView>
  </sheetViews>
  <sheetFormatPr defaultColWidth="11.42578125" defaultRowHeight="12.75"/>
  <cols>
    <col min="1" max="1" width="15.85546875" customWidth="1"/>
    <col min="2" max="2" width="13.5703125" customWidth="1"/>
    <col min="3" max="3" width="43" customWidth="1"/>
    <col min="4" max="4" width="12.42578125" customWidth="1"/>
    <col min="5" max="6" width="9.7109375" bestFit="1" customWidth="1"/>
    <col min="7" max="22" width="11.42578125" customWidth="1"/>
    <col min="23" max="23" width="12" customWidth="1"/>
    <col min="24" max="24" width="11.42578125" customWidth="1"/>
    <col min="25" max="25" width="13.140625" customWidth="1"/>
  </cols>
  <sheetData>
    <row r="1" spans="1:26" ht="18">
      <c r="A1" s="10" t="s">
        <v>108</v>
      </c>
      <c r="D1" t="s">
        <v>250</v>
      </c>
    </row>
    <row r="2" spans="1:26" s="22" customFormat="1" ht="18">
      <c r="A2" s="83"/>
      <c r="D2" s="245"/>
      <c r="E2" s="74"/>
      <c r="F2" s="74"/>
      <c r="G2" s="74"/>
      <c r="H2" s="74"/>
      <c r="J2" s="56"/>
      <c r="Y2"/>
    </row>
    <row r="3" spans="1:26" ht="18">
      <c r="B3" s="16"/>
      <c r="C3" s="17"/>
      <c r="D3" s="245"/>
      <c r="O3" s="18">
        <v>1</v>
      </c>
      <c r="P3" t="s">
        <v>666</v>
      </c>
      <c r="Y3" s="10">
        <v>0</v>
      </c>
      <c r="Z3" s="358">
        <v>1</v>
      </c>
    </row>
    <row r="4" spans="1:26" ht="18">
      <c r="B4" s="131" t="s">
        <v>594</v>
      </c>
      <c r="C4" s="98"/>
      <c r="D4" s="252" t="str">
        <f>"~FI_T: "&amp;Region&amp;"~EUR10"</f>
        <v>~FI_T: FIN~EUR10</v>
      </c>
      <c r="E4" s="4"/>
      <c r="R4" s="4"/>
      <c r="S4" s="4"/>
      <c r="Z4" s="294"/>
    </row>
    <row r="5" spans="1:26" ht="52.5" customHeight="1" thickBot="1">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c r="X5" s="427" t="s">
        <v>993</v>
      </c>
      <c r="Y5" s="427" t="s">
        <v>997</v>
      </c>
      <c r="Z5" s="427" t="s">
        <v>998</v>
      </c>
    </row>
    <row r="6" spans="1:26" ht="20.25" customHeight="1">
      <c r="B6" s="434" t="s">
        <v>999</v>
      </c>
      <c r="C6" s="190"/>
      <c r="D6" s="190"/>
      <c r="E6" s="191"/>
      <c r="F6" s="191"/>
      <c r="G6" s="191"/>
      <c r="H6" s="191"/>
      <c r="I6" s="190"/>
      <c r="J6" s="193"/>
      <c r="K6" s="191"/>
      <c r="L6" s="190"/>
      <c r="M6" s="190"/>
      <c r="N6" s="191"/>
      <c r="O6" s="192"/>
      <c r="P6" s="190"/>
      <c r="Q6" s="190"/>
      <c r="R6" s="192"/>
      <c r="S6" s="190"/>
      <c r="T6" s="190"/>
      <c r="U6" s="190"/>
      <c r="V6" s="257"/>
      <c r="X6" s="190"/>
      <c r="Y6" s="190"/>
      <c r="Z6" s="190"/>
    </row>
    <row r="7" spans="1:26" ht="14.25" customHeight="1">
      <c r="B7" s="265" t="s">
        <v>331</v>
      </c>
      <c r="C7" s="408" t="s">
        <v>489</v>
      </c>
      <c r="D7" s="82" t="str">
        <f ca="1">IEAData!H99</f>
        <v>COMNGA</v>
      </c>
      <c r="E7" s="64">
        <f ca="1">IEAData!C172*IEAData!B158</f>
        <v>0</v>
      </c>
      <c r="F7" s="64">
        <f ca="1">AuxData!C172*AuxData!B158</f>
        <v>0</v>
      </c>
      <c r="G7" s="88">
        <v>1</v>
      </c>
      <c r="H7" s="343" t="str">
        <f t="shared" ref="H7:H13" si="0">RIGHT(D7,3)</f>
        <v>NGA</v>
      </c>
      <c r="I7" s="81">
        <v>1</v>
      </c>
      <c r="J7" s="6">
        <f t="shared" ref="J7:J13" si="1">G7*I7</f>
        <v>1</v>
      </c>
      <c r="K7" s="38">
        <f t="shared" ref="K7:K13" ca="1" si="2">F7*J7</f>
        <v>0</v>
      </c>
      <c r="L7" s="19">
        <v>1</v>
      </c>
      <c r="M7" s="81">
        <v>0.13</v>
      </c>
      <c r="N7" s="32">
        <v>20</v>
      </c>
      <c r="O7" s="161">
        <f t="shared" ref="O7:O13" ca="1" si="3">E7*J7/$M7</f>
        <v>0</v>
      </c>
      <c r="P7" s="104">
        <f t="shared" ref="P7:P13" ca="1" si="4">F7*J7/$M7</f>
        <v>0</v>
      </c>
      <c r="Q7" s="104"/>
      <c r="R7" s="185">
        <f ca="1">O7*0.2</f>
        <v>0</v>
      </c>
      <c r="S7" s="40"/>
      <c r="T7" s="40"/>
      <c r="U7" s="116"/>
      <c r="V7" s="258">
        <f t="shared" ref="V7:V13" ca="1" si="5">IF($E$14=0,0,E7/$E$14)</f>
        <v>0</v>
      </c>
      <c r="X7" s="430">
        <f ca="1">IF(B6="*",MATCH(LEFT(B7,3),OFFSET(CalibData!$C$78,1,0,100),0),X6)</f>
        <v>41</v>
      </c>
      <c r="Y7" s="430"/>
      <c r="Z7" s="430"/>
    </row>
    <row r="8" spans="1:26" ht="14.25" customHeight="1">
      <c r="B8" s="265" t="s">
        <v>332</v>
      </c>
      <c r="C8" s="408" t="s">
        <v>490</v>
      </c>
      <c r="D8" s="82" t="str">
        <f ca="1">IEAData!H100</f>
        <v>COMDST</v>
      </c>
      <c r="E8" s="64">
        <f ca="1">IEAData!C173*IEAData!B159</f>
        <v>0</v>
      </c>
      <c r="F8" s="64">
        <f ca="1">AuxData!C173*AuxData!B159</f>
        <v>0</v>
      </c>
      <c r="G8" s="88">
        <v>0.7</v>
      </c>
      <c r="H8" s="343" t="str">
        <f t="shared" si="0"/>
        <v>DST</v>
      </c>
      <c r="I8" s="81">
        <v>1</v>
      </c>
      <c r="J8" s="6">
        <f t="shared" si="1"/>
        <v>0.7</v>
      </c>
      <c r="K8" s="38">
        <f t="shared" ca="1" si="2"/>
        <v>0</v>
      </c>
      <c r="L8" s="19">
        <v>1</v>
      </c>
      <c r="M8" s="81">
        <v>0.13</v>
      </c>
      <c r="N8" s="32">
        <v>20</v>
      </c>
      <c r="O8" s="161">
        <f t="shared" ca="1" si="3"/>
        <v>0</v>
      </c>
      <c r="P8" s="104">
        <f t="shared" ca="1" si="4"/>
        <v>0</v>
      </c>
      <c r="Q8" s="104"/>
      <c r="R8" s="185">
        <f ca="1">O8*0.2</f>
        <v>0</v>
      </c>
      <c r="S8" s="40"/>
      <c r="T8" s="40"/>
      <c r="U8" s="116"/>
      <c r="V8" s="258">
        <f t="shared" ca="1" si="5"/>
        <v>0</v>
      </c>
      <c r="X8" s="430">
        <f ca="1">IF(B7="*",MATCH(LEFT(B8,3),OFFSET(CalibData!$C$78,1,0,100),0),X7)</f>
        <v>41</v>
      </c>
      <c r="Y8" s="430"/>
      <c r="Z8" s="430"/>
    </row>
    <row r="9" spans="1:26" ht="14.25" customHeight="1">
      <c r="B9" s="265" t="s">
        <v>333</v>
      </c>
      <c r="C9" s="408" t="s">
        <v>491</v>
      </c>
      <c r="D9" s="82" t="str">
        <f ca="1">IEAData!H108</f>
        <v>COMGEO</v>
      </c>
      <c r="E9" s="64">
        <f ca="1">IEAData!C181*IEAData!B167</f>
        <v>0</v>
      </c>
      <c r="F9" s="64">
        <f ca="1">AuxData!C181*AuxData!B167</f>
        <v>0</v>
      </c>
      <c r="G9" s="88">
        <v>1</v>
      </c>
      <c r="H9" s="343" t="str">
        <f t="shared" si="0"/>
        <v>GEO</v>
      </c>
      <c r="I9" s="81">
        <v>1</v>
      </c>
      <c r="J9" s="6">
        <f t="shared" si="1"/>
        <v>1</v>
      </c>
      <c r="K9" s="38">
        <f t="shared" ca="1" si="2"/>
        <v>0</v>
      </c>
      <c r="L9" s="57">
        <v>1</v>
      </c>
      <c r="M9" s="81">
        <v>0.13</v>
      </c>
      <c r="N9" s="66">
        <v>20</v>
      </c>
      <c r="O9" s="161">
        <f t="shared" ca="1" si="3"/>
        <v>0</v>
      </c>
      <c r="P9" s="104">
        <f t="shared" ca="1" si="4"/>
        <v>0</v>
      </c>
      <c r="Q9" s="104"/>
      <c r="R9" s="185">
        <f ca="1">O9*0.2</f>
        <v>0</v>
      </c>
      <c r="S9" s="40"/>
      <c r="T9" s="40"/>
      <c r="U9" s="116"/>
      <c r="V9" s="258">
        <f t="shared" ca="1" si="5"/>
        <v>0</v>
      </c>
      <c r="X9" s="430">
        <f ca="1">IF(B8="*",MATCH(LEFT(B9,3),OFFSET(CalibData!$C$78,1,0,100),0),X8)</f>
        <v>41</v>
      </c>
      <c r="Y9" s="430"/>
      <c r="Z9" s="430"/>
    </row>
    <row r="10" spans="1:26" ht="14.25" customHeight="1">
      <c r="B10" s="265" t="s">
        <v>863</v>
      </c>
      <c r="C10" s="408" t="s">
        <v>864</v>
      </c>
      <c r="D10" s="82" t="s">
        <v>867</v>
      </c>
      <c r="E10" s="64">
        <f ca="1">IEAData!C180*IEAData!B166</f>
        <v>5.9176721120851816E-2</v>
      </c>
      <c r="F10" s="64">
        <f ca="1">AuxData!C180*AuxData!B166</f>
        <v>9.3600000000000003E-2</v>
      </c>
      <c r="G10" s="88">
        <v>0.93</v>
      </c>
      <c r="H10" s="343" t="str">
        <f t="shared" si="0"/>
        <v>HET</v>
      </c>
      <c r="I10" s="81">
        <v>1</v>
      </c>
      <c r="J10" s="6">
        <f t="shared" si="1"/>
        <v>0.93</v>
      </c>
      <c r="K10" s="38">
        <f t="shared" ca="1" si="2"/>
        <v>8.7048E-2</v>
      </c>
      <c r="L10" s="57">
        <v>1</v>
      </c>
      <c r="M10" s="81">
        <v>0.13</v>
      </c>
      <c r="N10" s="66">
        <v>20</v>
      </c>
      <c r="O10" s="161">
        <f t="shared" ca="1" si="3"/>
        <v>0.42334115878763223</v>
      </c>
      <c r="P10" s="104">
        <f t="shared" ca="1" si="4"/>
        <v>0.66959999999999997</v>
      </c>
      <c r="Q10" s="104"/>
      <c r="R10" s="185">
        <f ca="1">O10*0.5</f>
        <v>0.21167057939381612</v>
      </c>
      <c r="S10" s="40"/>
      <c r="T10" s="40"/>
      <c r="U10" s="116"/>
      <c r="V10" s="258">
        <f t="shared" ca="1" si="5"/>
        <v>3.2092553702701039E-2</v>
      </c>
      <c r="X10" s="430">
        <f ca="1">IF(B9="*",MATCH(LEFT(B10,3),OFFSET(CalibData!$C$78,1,0,100),0),X9)</f>
        <v>41</v>
      </c>
      <c r="Y10" s="430"/>
      <c r="Z10" s="430"/>
    </row>
    <row r="11" spans="1:26" ht="14.25" customHeight="1">
      <c r="B11" s="265" t="s">
        <v>116</v>
      </c>
      <c r="C11" s="402" t="s">
        <v>492</v>
      </c>
      <c r="D11" s="82" t="s">
        <v>831</v>
      </c>
      <c r="E11" s="64">
        <f ca="1">Y11*IEAData!$B$165*IEAData!$C$179</f>
        <v>0.97108932105141921</v>
      </c>
      <c r="F11" s="64">
        <f ca="1">Z11*AuxData!$B$165*AuxData!$C$179</f>
        <v>0.98892364531767785</v>
      </c>
      <c r="G11" s="88">
        <v>3</v>
      </c>
      <c r="H11" s="343" t="str">
        <f t="shared" si="0"/>
        <v>ELC</v>
      </c>
      <c r="I11" s="81">
        <v>1</v>
      </c>
      <c r="J11" s="6">
        <f t="shared" si="1"/>
        <v>3</v>
      </c>
      <c r="K11" s="38">
        <f t="shared" ca="1" si="2"/>
        <v>2.9667709359530336</v>
      </c>
      <c r="L11" s="19">
        <v>1</v>
      </c>
      <c r="M11" s="81">
        <v>0.13</v>
      </c>
      <c r="N11" s="32">
        <v>20</v>
      </c>
      <c r="O11" s="161">
        <f t="shared" ca="1" si="3"/>
        <v>22.409753562725058</v>
      </c>
      <c r="P11" s="104">
        <f t="shared" ca="1" si="4"/>
        <v>22.821314891946411</v>
      </c>
      <c r="Q11" s="104"/>
      <c r="R11" s="185">
        <f ca="1">O11*0.2</f>
        <v>4.4819507125450118</v>
      </c>
      <c r="S11" s="40"/>
      <c r="T11" s="40"/>
      <c r="U11" s="40"/>
      <c r="V11" s="258">
        <f t="shared" ca="1" si="5"/>
        <v>0.52663844153036043</v>
      </c>
      <c r="X11" s="430">
        <f ca="1">IF(B10="*",MATCH(LEFT(B11,3),OFFSET(CalibData!$C$78,1,0,100),0),X10)</f>
        <v>41</v>
      </c>
      <c r="Y11" s="363">
        <f t="array" aca="1" ref="Y11:Y12" ca="1">OFFSET(TechShar,$X11,Y$3,2)</f>
        <v>0.54410000000000003</v>
      </c>
      <c r="Z11" s="363">
        <f t="array" aca="1" ref="Z11:Z12" ca="1">OFFSET(TechShar,$X11,Z$3,2)</f>
        <v>0.54410000000000003</v>
      </c>
    </row>
    <row r="12" spans="1:26" ht="14.25" customHeight="1">
      <c r="B12" s="265" t="s">
        <v>85</v>
      </c>
      <c r="C12" s="402" t="s">
        <v>493</v>
      </c>
      <c r="D12" s="82" t="s">
        <v>831</v>
      </c>
      <c r="E12" s="64">
        <f ca="1">Y12*IEAData!$B$165*IEAData!$C$179</f>
        <v>5.8897165217233656E-3</v>
      </c>
      <c r="F12" s="64">
        <f ca="1">Z12*AuxData!$B$165*AuxData!$C$179</f>
        <v>5.9978827964498006E-3</v>
      </c>
      <c r="G12" s="88">
        <v>3</v>
      </c>
      <c r="H12" s="343" t="str">
        <f t="shared" si="0"/>
        <v>ELC</v>
      </c>
      <c r="I12" s="81">
        <v>1</v>
      </c>
      <c r="J12" s="6">
        <f t="shared" si="1"/>
        <v>3</v>
      </c>
      <c r="K12" s="38">
        <f t="shared" ca="1" si="2"/>
        <v>1.7993648389349401E-2</v>
      </c>
      <c r="L12" s="19">
        <v>1</v>
      </c>
      <c r="M12" s="81">
        <v>0.13</v>
      </c>
      <c r="N12" s="32">
        <v>15</v>
      </c>
      <c r="O12" s="161">
        <f t="shared" ca="1" si="3"/>
        <v>0.13591653511669305</v>
      </c>
      <c r="P12" s="104">
        <f t="shared" ca="1" si="4"/>
        <v>0.13841267991807232</v>
      </c>
      <c r="Q12" s="104"/>
      <c r="R12" s="185">
        <f ca="1">O12*0.2</f>
        <v>2.7183307023338613E-2</v>
      </c>
      <c r="S12" s="40"/>
      <c r="T12" s="40"/>
      <c r="U12" s="18"/>
      <c r="V12" s="258">
        <f t="shared" ca="1" si="5"/>
        <v>3.1940945727810866E-3</v>
      </c>
      <c r="X12" s="430">
        <f ca="1">IF(B11="*",MATCH(LEFT(B12,3),OFFSET(CalibData!$C$78,1,0,100),0),X11)</f>
        <v>41</v>
      </c>
      <c r="Y12" s="363">
        <f ca="1"/>
        <v>3.3E-3</v>
      </c>
      <c r="Z12" s="363">
        <f ca="1"/>
        <v>3.3E-3</v>
      </c>
    </row>
    <row r="13" spans="1:26" ht="14.25" customHeight="1" thickBot="1">
      <c r="B13" s="266" t="s">
        <v>117</v>
      </c>
      <c r="C13" s="403" t="s">
        <v>494</v>
      </c>
      <c r="D13" s="96" t="s">
        <v>831</v>
      </c>
      <c r="E13" s="34">
        <f ca="1">Y13*IEAData!$B$165*IEAData!$C$179</f>
        <v>0.80778354476727132</v>
      </c>
      <c r="F13" s="34">
        <f ca="1">Z13*AuxData!$B$165*AuxData!$C$179</f>
        <v>0.82261871323429692</v>
      </c>
      <c r="G13" s="54">
        <v>3</v>
      </c>
      <c r="H13" s="343" t="str">
        <f t="shared" si="0"/>
        <v>ELC</v>
      </c>
      <c r="I13" s="81">
        <v>1</v>
      </c>
      <c r="J13" s="6">
        <f t="shared" si="1"/>
        <v>3</v>
      </c>
      <c r="K13" s="38">
        <f t="shared" ca="1" si="2"/>
        <v>2.4678561397028909</v>
      </c>
      <c r="L13" s="73">
        <v>1</v>
      </c>
      <c r="M13" s="20">
        <v>0.13</v>
      </c>
      <c r="N13" s="72">
        <v>20</v>
      </c>
      <c r="O13" s="162">
        <f t="shared" ca="1" si="3"/>
        <v>18.641158725398569</v>
      </c>
      <c r="P13" s="104">
        <f t="shared" ca="1" si="4"/>
        <v>18.983508766945313</v>
      </c>
      <c r="Q13" s="117"/>
      <c r="R13" s="352">
        <f ca="1">O13*0.2</f>
        <v>3.728231745079714</v>
      </c>
      <c r="S13" s="54"/>
      <c r="T13" s="54"/>
      <c r="U13" s="20"/>
      <c r="V13" s="258">
        <f t="shared" ca="1" si="5"/>
        <v>0.43807491019415751</v>
      </c>
      <c r="X13" s="430">
        <f ca="1">IF(B12="*",MATCH(LEFT(B13,3),OFFSET(CalibData!$C$78,1,0,100),0),X12)</f>
        <v>41</v>
      </c>
      <c r="Y13" s="363">
        <f ca="1">1-SUM(Y11:Y12)</f>
        <v>0.4526</v>
      </c>
      <c r="Z13" s="363">
        <f ca="1">1-SUM(Z11:Z12)</f>
        <v>0.4526</v>
      </c>
    </row>
    <row r="14" spans="1:26" ht="14.25" customHeight="1">
      <c r="B14" s="434" t="s">
        <v>999</v>
      </c>
      <c r="C14" s="435" t="s">
        <v>1001</v>
      </c>
      <c r="D14" s="190"/>
      <c r="E14" s="191">
        <f ca="1">SUM(E7:E13)</f>
        <v>1.8439393034612657</v>
      </c>
      <c r="F14" s="191">
        <f ca="1">SUM(F7:F13)</f>
        <v>1.9111402413484244</v>
      </c>
      <c r="G14" s="191"/>
      <c r="H14" s="191">
        <f ca="1">SUMPRODUCT(E$7:E13,J$7:J13)</f>
        <v>5.4093220976636331</v>
      </c>
      <c r="I14" s="190"/>
      <c r="J14" s="193"/>
      <c r="K14" s="191">
        <f ca="1">SUM(K7:K13)</f>
        <v>5.5396687240452742</v>
      </c>
      <c r="L14" s="190"/>
      <c r="M14" s="190"/>
      <c r="N14" s="191"/>
      <c r="O14" s="192">
        <f ca="1">SUM(O7:O13)</f>
        <v>41.610169982027955</v>
      </c>
      <c r="P14" s="190"/>
      <c r="Q14" s="190"/>
      <c r="R14" s="192"/>
      <c r="S14" s="190"/>
      <c r="T14" s="190"/>
      <c r="U14" s="190"/>
      <c r="V14" s="258">
        <f ca="1">SUM(V7:V13)</f>
        <v>1</v>
      </c>
      <c r="X14" s="190"/>
      <c r="Y14" s="190"/>
      <c r="Z14" s="190"/>
    </row>
    <row r="15" spans="1:26" ht="14.25" customHeight="1">
      <c r="B15" s="265" t="s">
        <v>334</v>
      </c>
      <c r="C15" s="408" t="s">
        <v>495</v>
      </c>
      <c r="D15" s="82" t="str">
        <f ca="1">IEAData!H99</f>
        <v>COMNGA</v>
      </c>
      <c r="E15" s="64">
        <f ca="1">IEAData!C172*IEAData!C158</f>
        <v>0</v>
      </c>
      <c r="F15" s="64">
        <f ca="1">AuxData!C172*AuxData!C158</f>
        <v>0</v>
      </c>
      <c r="G15" s="88">
        <v>1</v>
      </c>
      <c r="H15" s="343" t="str">
        <f t="shared" ref="H15:H21" si="6">RIGHT(D15,3)</f>
        <v>NGA</v>
      </c>
      <c r="I15" s="81">
        <v>1</v>
      </c>
      <c r="J15" s="6">
        <f t="shared" ref="J15:J21" si="7">G15*I15</f>
        <v>1</v>
      </c>
      <c r="K15" s="38">
        <f t="shared" ref="K15:K21" ca="1" si="8">F15*J15</f>
        <v>0</v>
      </c>
      <c r="L15" s="19">
        <v>1</v>
      </c>
      <c r="M15" s="81">
        <v>0.13</v>
      </c>
      <c r="N15" s="32">
        <v>20</v>
      </c>
      <c r="O15" s="161">
        <f t="shared" ref="O15:O21" ca="1" si="9">E15*J15/$M15</f>
        <v>0</v>
      </c>
      <c r="P15" s="104">
        <f t="shared" ref="P15:P21" ca="1" si="10">F15*J15/$M15</f>
        <v>0</v>
      </c>
      <c r="Q15" s="104"/>
      <c r="R15" s="185">
        <f ca="1">O15*0.2</f>
        <v>0</v>
      </c>
      <c r="S15" s="40"/>
      <c r="T15" s="40"/>
      <c r="U15" s="116"/>
      <c r="V15" s="258">
        <f t="shared" ref="V15:V21" ca="1" si="11">IF($E$22=0,0,E15/$E$22)</f>
        <v>0</v>
      </c>
      <c r="X15" s="430">
        <f ca="1">IF(B14="*",MATCH(LEFT(B15,3),OFFSET(CalibData!$C$78,1,0,100),0),X14)</f>
        <v>43</v>
      </c>
      <c r="Y15" s="430"/>
      <c r="Z15" s="430"/>
    </row>
    <row r="16" spans="1:26" ht="14.25" customHeight="1">
      <c r="B16" s="265" t="s">
        <v>335</v>
      </c>
      <c r="C16" s="408" t="s">
        <v>496</v>
      </c>
      <c r="D16" s="82" t="str">
        <f ca="1">IEAData!H100</f>
        <v>COMDST</v>
      </c>
      <c r="E16" s="64">
        <f ca="1">IEAData!C173*IEAData!C159</f>
        <v>0</v>
      </c>
      <c r="F16" s="64">
        <f ca="1">AuxData!C173*AuxData!C159</f>
        <v>0</v>
      </c>
      <c r="G16" s="88">
        <v>0.7</v>
      </c>
      <c r="H16" s="343" t="str">
        <f t="shared" si="6"/>
        <v>DST</v>
      </c>
      <c r="I16" s="81">
        <v>1</v>
      </c>
      <c r="J16" s="6">
        <f t="shared" si="7"/>
        <v>0.7</v>
      </c>
      <c r="K16" s="38">
        <f t="shared" ca="1" si="8"/>
        <v>0</v>
      </c>
      <c r="L16" s="19">
        <v>1</v>
      </c>
      <c r="M16" s="81">
        <v>0.13</v>
      </c>
      <c r="N16" s="32">
        <v>20</v>
      </c>
      <c r="O16" s="161">
        <f t="shared" ca="1" si="9"/>
        <v>0</v>
      </c>
      <c r="P16" s="104">
        <f t="shared" ca="1" si="10"/>
        <v>0</v>
      </c>
      <c r="Q16" s="104"/>
      <c r="R16" s="185">
        <f ca="1">O16*0.2</f>
        <v>0</v>
      </c>
      <c r="S16" s="40"/>
      <c r="T16" s="40"/>
      <c r="U16" s="116"/>
      <c r="V16" s="258">
        <f t="shared" ca="1" si="11"/>
        <v>0</v>
      </c>
      <c r="X16" s="430">
        <f ca="1">IF(B15="*",MATCH(LEFT(B16,3),OFFSET(CalibData!$C$78,1,0,100),0),X15)</f>
        <v>43</v>
      </c>
      <c r="Y16" s="430"/>
      <c r="Z16" s="430"/>
    </row>
    <row r="17" spans="2:26" ht="14.25" customHeight="1">
      <c r="B17" s="265" t="s">
        <v>336</v>
      </c>
      <c r="C17" s="408" t="s">
        <v>497</v>
      </c>
      <c r="D17" s="82" t="str">
        <f ca="1">IEAData!H108</f>
        <v>COMGEO</v>
      </c>
      <c r="E17" s="64">
        <f ca="1">IEAData!C181*IEAData!C167</f>
        <v>0</v>
      </c>
      <c r="F17" s="64">
        <f ca="1">AuxData!C181*AuxData!C167</f>
        <v>0</v>
      </c>
      <c r="G17" s="88">
        <v>1</v>
      </c>
      <c r="H17" s="343" t="str">
        <f t="shared" si="6"/>
        <v>GEO</v>
      </c>
      <c r="I17" s="81">
        <v>1</v>
      </c>
      <c r="J17" s="6">
        <f t="shared" si="7"/>
        <v>1</v>
      </c>
      <c r="K17" s="38">
        <f t="shared" ca="1" si="8"/>
        <v>0</v>
      </c>
      <c r="L17" s="57">
        <v>1</v>
      </c>
      <c r="M17" s="81">
        <v>0.13</v>
      </c>
      <c r="N17" s="66">
        <v>20</v>
      </c>
      <c r="O17" s="161">
        <f t="shared" ca="1" si="9"/>
        <v>0</v>
      </c>
      <c r="P17" s="104">
        <f t="shared" ca="1" si="10"/>
        <v>0</v>
      </c>
      <c r="Q17" s="104"/>
      <c r="R17" s="185">
        <f ca="1">O17*0.2</f>
        <v>0</v>
      </c>
      <c r="S17" s="40"/>
      <c r="T17" s="40"/>
      <c r="U17" s="116"/>
      <c r="V17" s="258">
        <f t="shared" ca="1" si="11"/>
        <v>0</v>
      </c>
      <c r="X17" s="430">
        <f ca="1">IF(B16="*",MATCH(LEFT(B17,3),OFFSET(CalibData!$C$78,1,0,100),0),X16)</f>
        <v>43</v>
      </c>
      <c r="Y17" s="430"/>
      <c r="Z17" s="430"/>
    </row>
    <row r="18" spans="2:26" ht="14.25" customHeight="1">
      <c r="B18" s="265" t="s">
        <v>868</v>
      </c>
      <c r="C18" s="408" t="s">
        <v>869</v>
      </c>
      <c r="D18" s="82" t="s">
        <v>867</v>
      </c>
      <c r="E18" s="64">
        <f ca="1">IEAData!C180*IEAData!C166</f>
        <v>0</v>
      </c>
      <c r="F18" s="64">
        <f ca="1">AuxData!C180*AuxData!C166</f>
        <v>0</v>
      </c>
      <c r="G18" s="88">
        <v>0.92</v>
      </c>
      <c r="H18" s="343" t="str">
        <f t="shared" si="6"/>
        <v>HET</v>
      </c>
      <c r="I18" s="81">
        <v>1</v>
      </c>
      <c r="J18" s="6">
        <f t="shared" si="7"/>
        <v>0.92</v>
      </c>
      <c r="K18" s="38">
        <f t="shared" ca="1" si="8"/>
        <v>0</v>
      </c>
      <c r="L18" s="57">
        <v>1</v>
      </c>
      <c r="M18" s="81">
        <v>0.13</v>
      </c>
      <c r="N18" s="66">
        <v>20</v>
      </c>
      <c r="O18" s="161">
        <f t="shared" ca="1" si="9"/>
        <v>0</v>
      </c>
      <c r="P18" s="104">
        <f t="shared" ca="1" si="10"/>
        <v>0</v>
      </c>
      <c r="Q18" s="104"/>
      <c r="R18" s="185">
        <f ca="1">O18*0.5</f>
        <v>0</v>
      </c>
      <c r="S18" s="40"/>
      <c r="T18" s="40"/>
      <c r="U18" s="116"/>
      <c r="V18" s="258">
        <f t="shared" ca="1" si="11"/>
        <v>0</v>
      </c>
      <c r="X18" s="430">
        <f ca="1">IF(B17="*",MATCH(LEFT(B18,3),OFFSET(CalibData!$C$78,1,0,100),0),X17)</f>
        <v>43</v>
      </c>
      <c r="Y18" s="430"/>
      <c r="Z18" s="430"/>
    </row>
    <row r="19" spans="2:26" ht="14.25" customHeight="1">
      <c r="B19" s="265" t="s">
        <v>118</v>
      </c>
      <c r="C19" s="402" t="s">
        <v>498</v>
      </c>
      <c r="D19" s="82" t="str">
        <f ca="1">IF(UPPER(IEAData!$J$1)="Y", IEAData!$H$112,IEAData!$H$106)</f>
        <v>COMELC</v>
      </c>
      <c r="E19" s="64">
        <f ca="1">Y19*IEAData!$C$165*IEAData!$C$179</f>
        <v>0</v>
      </c>
      <c r="F19" s="64">
        <f ca="1">Z19*AuxData!$C$165*AuxData!$C$179</f>
        <v>0</v>
      </c>
      <c r="G19" s="88">
        <v>3</v>
      </c>
      <c r="H19" s="343" t="str">
        <f t="shared" si="6"/>
        <v>ELC</v>
      </c>
      <c r="I19" s="81">
        <v>1</v>
      </c>
      <c r="J19" s="6">
        <f t="shared" si="7"/>
        <v>3</v>
      </c>
      <c r="K19" s="38">
        <f t="shared" ca="1" si="8"/>
        <v>0</v>
      </c>
      <c r="L19" s="19">
        <v>1</v>
      </c>
      <c r="M19" s="81">
        <v>0.13</v>
      </c>
      <c r="N19" s="32">
        <v>20</v>
      </c>
      <c r="O19" s="161">
        <f t="shared" ca="1" si="9"/>
        <v>0</v>
      </c>
      <c r="P19" s="104">
        <f t="shared" ca="1" si="10"/>
        <v>0</v>
      </c>
      <c r="Q19" s="104"/>
      <c r="R19" s="185">
        <f ca="1">O19*0.2</f>
        <v>0</v>
      </c>
      <c r="S19" s="40"/>
      <c r="T19" s="40"/>
      <c r="U19" s="40"/>
      <c r="V19" s="258">
        <f t="shared" ca="1" si="11"/>
        <v>0</v>
      </c>
      <c r="X19" s="430">
        <f ca="1">IF(B18="*",MATCH(LEFT(B19,3),OFFSET(CalibData!$C$78,1,0,100),0),X18)</f>
        <v>43</v>
      </c>
      <c r="Y19" s="363">
        <f t="array" aca="1" ref="Y19:Y20" ca="1">OFFSET(TechShar,$X19,Y$3,2)</f>
        <v>0.54410000000000003</v>
      </c>
      <c r="Z19" s="363">
        <f t="array" aca="1" ref="Z19:Z20" ca="1">OFFSET(TechShar,$X19,Z$3,2)</f>
        <v>0.54410000000000003</v>
      </c>
    </row>
    <row r="20" spans="2:26" ht="14.25" customHeight="1">
      <c r="B20" s="265" t="s">
        <v>258</v>
      </c>
      <c r="C20" s="402" t="s">
        <v>499</v>
      </c>
      <c r="D20" s="82" t="str">
        <f ca="1">IF(UPPER(IEAData!$J$1)="Y", IEAData!$H$112,IEAData!$H$106)</f>
        <v>COMELC</v>
      </c>
      <c r="E20" s="64">
        <f ca="1">Y20*IEAData!$C$165*IEAData!$C$179</f>
        <v>0</v>
      </c>
      <c r="F20" s="64">
        <f ca="1">Z20*AuxData!$C$165*AuxData!$C$179</f>
        <v>0</v>
      </c>
      <c r="G20" s="88">
        <v>3</v>
      </c>
      <c r="H20" s="343" t="str">
        <f t="shared" si="6"/>
        <v>ELC</v>
      </c>
      <c r="I20" s="81">
        <v>1</v>
      </c>
      <c r="J20" s="6">
        <f t="shared" si="7"/>
        <v>3</v>
      </c>
      <c r="K20" s="38">
        <f t="shared" ca="1" si="8"/>
        <v>0</v>
      </c>
      <c r="L20" s="19">
        <v>1</v>
      </c>
      <c r="M20" s="81">
        <v>0.13</v>
      </c>
      <c r="N20" s="32">
        <v>15</v>
      </c>
      <c r="O20" s="161">
        <f t="shared" ca="1" si="9"/>
        <v>0</v>
      </c>
      <c r="P20" s="104">
        <f t="shared" ca="1" si="10"/>
        <v>0</v>
      </c>
      <c r="Q20" s="104"/>
      <c r="R20" s="185">
        <f ca="1">O20*0.2</f>
        <v>0</v>
      </c>
      <c r="S20" s="40"/>
      <c r="T20" s="40"/>
      <c r="U20" s="18"/>
      <c r="V20" s="258">
        <f t="shared" ca="1" si="11"/>
        <v>0</v>
      </c>
      <c r="X20" s="430">
        <f ca="1">IF(B19="*",MATCH(LEFT(B20,3),OFFSET(CalibData!$C$78,1,0,100),0),X19)</f>
        <v>43</v>
      </c>
      <c r="Y20" s="363">
        <f ca="1"/>
        <v>3.3E-3</v>
      </c>
      <c r="Z20" s="363">
        <f ca="1"/>
        <v>3.3E-3</v>
      </c>
    </row>
    <row r="21" spans="2:26" ht="14.25" customHeight="1" thickBot="1">
      <c r="B21" s="266" t="s">
        <v>119</v>
      </c>
      <c r="C21" s="403" t="s">
        <v>500</v>
      </c>
      <c r="D21" s="96" t="str">
        <f ca="1">IF(UPPER(IEAData!$J$1)="Y", IEAData!$H$112,IEAData!$H$106)</f>
        <v>COMELC</v>
      </c>
      <c r="E21" s="34">
        <f ca="1">Y21*IEAData!$C$165*IEAData!$C$179</f>
        <v>0</v>
      </c>
      <c r="F21" s="34">
        <f ca="1">Z21*AuxData!$C$165*AuxData!$C$179</f>
        <v>0</v>
      </c>
      <c r="G21" s="54">
        <v>3</v>
      </c>
      <c r="H21" s="343" t="str">
        <f t="shared" si="6"/>
        <v>ELC</v>
      </c>
      <c r="I21" s="81">
        <v>1</v>
      </c>
      <c r="J21" s="6">
        <f t="shared" si="7"/>
        <v>3</v>
      </c>
      <c r="K21" s="38">
        <f t="shared" ca="1" si="8"/>
        <v>0</v>
      </c>
      <c r="L21" s="73">
        <v>1</v>
      </c>
      <c r="M21" s="20">
        <v>0.13</v>
      </c>
      <c r="N21" s="72">
        <v>20</v>
      </c>
      <c r="O21" s="162">
        <f t="shared" ca="1" si="9"/>
        <v>0</v>
      </c>
      <c r="P21" s="104">
        <f t="shared" ca="1" si="10"/>
        <v>0</v>
      </c>
      <c r="Q21" s="117"/>
      <c r="R21" s="352">
        <f ca="1">O21*0.2</f>
        <v>0</v>
      </c>
      <c r="S21" s="54"/>
      <c r="T21" s="54"/>
      <c r="U21" s="20"/>
      <c r="V21" s="258">
        <f t="shared" ca="1" si="11"/>
        <v>0</v>
      </c>
      <c r="X21" s="430">
        <f ca="1">IF(B20="*",MATCH(LEFT(B21,3),OFFSET(CalibData!$C$78,1,0,100),0),X20)</f>
        <v>43</v>
      </c>
      <c r="Y21" s="79">
        <f ca="1">1-SUM(Y19:Y20)</f>
        <v>0.4526</v>
      </c>
      <c r="Z21" s="363">
        <f ca="1">1-SUM(Z19:Z20)</f>
        <v>0.4526</v>
      </c>
    </row>
    <row r="22" spans="2:26" ht="14.25">
      <c r="B22" s="434" t="s">
        <v>999</v>
      </c>
      <c r="C22" s="435" t="s">
        <v>1001</v>
      </c>
      <c r="D22" s="190"/>
      <c r="E22" s="191">
        <f ca="1">SUM(E15:E21)</f>
        <v>0</v>
      </c>
      <c r="F22" s="191">
        <f ca="1">SUM(F15:F21)</f>
        <v>0</v>
      </c>
      <c r="G22" s="191"/>
      <c r="H22" s="191">
        <f ca="1">SUMPRODUCT(E$15:E21,J$15:J21)</f>
        <v>0</v>
      </c>
      <c r="I22" s="190"/>
      <c r="J22" s="193"/>
      <c r="K22" s="191">
        <f ca="1">SUM(K15:K21)</f>
        <v>0</v>
      </c>
      <c r="L22" s="190"/>
      <c r="M22" s="190"/>
      <c r="N22" s="191"/>
      <c r="O22" s="192">
        <f ca="1">SUM(O15:O21)</f>
        <v>0</v>
      </c>
      <c r="P22" s="190"/>
      <c r="Q22" s="190"/>
      <c r="R22" s="192"/>
      <c r="S22" s="190"/>
      <c r="T22" s="190"/>
      <c r="U22" s="190"/>
      <c r="V22" s="258">
        <f ca="1">SUM(V15:V21)</f>
        <v>0</v>
      </c>
      <c r="X22" s="190"/>
      <c r="Y22" s="190"/>
      <c r="Z22" s="190"/>
    </row>
    <row r="23" spans="2:26">
      <c r="B23" s="123"/>
      <c r="C23" s="55"/>
      <c r="D23" s="55"/>
      <c r="E23" s="57"/>
      <c r="G23" s="57"/>
      <c r="H23" s="57"/>
      <c r="I23" s="55"/>
      <c r="J23" s="254"/>
      <c r="K23" s="57"/>
      <c r="L23" s="55"/>
      <c r="M23" s="55"/>
      <c r="N23" s="57"/>
      <c r="O23" s="161"/>
      <c r="P23" s="55"/>
      <c r="Q23" s="55"/>
      <c r="R23" s="161"/>
      <c r="S23" s="55"/>
      <c r="T23" s="55"/>
      <c r="U23" s="55"/>
    </row>
    <row r="24" spans="2:26">
      <c r="B24" s="123"/>
      <c r="C24" s="55"/>
      <c r="D24" s="256"/>
      <c r="E24" s="57"/>
      <c r="F24" s="57"/>
      <c r="G24" s="57"/>
      <c r="H24" s="55"/>
      <c r="I24" s="254"/>
      <c r="J24" s="57"/>
      <c r="K24" s="255"/>
      <c r="L24" s="55"/>
      <c r="M24" s="55"/>
      <c r="N24" s="57"/>
      <c r="O24" s="161"/>
      <c r="P24" s="55"/>
      <c r="Q24" s="55"/>
      <c r="R24" s="161"/>
      <c r="S24" s="55"/>
      <c r="T24" s="55"/>
      <c r="U24" s="55"/>
    </row>
    <row r="26" spans="2:26">
      <c r="B26" s="55"/>
    </row>
    <row r="27" spans="2:26">
      <c r="B27" s="55"/>
    </row>
    <row r="28" spans="2:26" ht="18">
      <c r="B28" s="155" t="s">
        <v>592</v>
      </c>
      <c r="C28" s="156"/>
      <c r="D28" s="252"/>
    </row>
    <row r="29" spans="2:26" ht="13.5" thickBot="1">
      <c r="B29" s="27" t="s">
        <v>384</v>
      </c>
      <c r="C29" s="27" t="s">
        <v>385</v>
      </c>
      <c r="D29" s="27" t="s">
        <v>243</v>
      </c>
      <c r="E29" s="344" t="s">
        <v>942</v>
      </c>
      <c r="F29" s="344" t="s">
        <v>942</v>
      </c>
      <c r="G29" s="27"/>
    </row>
    <row r="30" spans="2:26">
      <c r="B30" s="58" t="s">
        <v>240</v>
      </c>
      <c r="C30" s="28" t="str">
        <f ca="1">CONCATENATE("Commercial Cooling - ",IEAData!B49)</f>
        <v>Commercial Cooling - Region1</v>
      </c>
      <c r="D30" s="80" t="s">
        <v>249</v>
      </c>
      <c r="E30" s="63">
        <f ca="1">H14</f>
        <v>5.4093220976636331</v>
      </c>
      <c r="F30" s="63">
        <f ca="1">SUMPRODUCT(F7:F13,J7:J13)</f>
        <v>5.5396687240452742</v>
      </c>
      <c r="G30" s="18"/>
    </row>
    <row r="31" spans="2:26">
      <c r="B31" s="58" t="s">
        <v>241</v>
      </c>
      <c r="C31" s="28" t="str">
        <f ca="1">CONCATENATE("Commercial Cooling - ",IEAData!C49)</f>
        <v>Commercial Cooling - Region2</v>
      </c>
      <c r="D31" s="80" t="s">
        <v>249</v>
      </c>
      <c r="E31" s="63">
        <f ca="1">H22</f>
        <v>0</v>
      </c>
      <c r="F31" s="63">
        <f ca="1">SUMPRODUCT(F15:F21,J15:J21)</f>
        <v>0</v>
      </c>
      <c r="G31" s="18"/>
    </row>
    <row r="32" spans="2:26">
      <c r="B32" s="55"/>
    </row>
    <row r="33" spans="2:32">
      <c r="B33" s="55"/>
    </row>
    <row r="34" spans="2:32">
      <c r="B34" s="55"/>
    </row>
    <row r="35" spans="2:32">
      <c r="B35" s="55"/>
    </row>
    <row r="36" spans="2:32">
      <c r="B36" s="55"/>
    </row>
    <row r="37" spans="2:32">
      <c r="B37" s="55"/>
    </row>
    <row r="38" spans="2:32">
      <c r="B38" s="55"/>
      <c r="C38" s="120"/>
      <c r="D38" s="123"/>
      <c r="E38" s="123"/>
      <c r="F38" s="123"/>
      <c r="G38" s="123"/>
      <c r="H38" s="128"/>
      <c r="I38" s="123"/>
      <c r="J38" s="123"/>
      <c r="K38" s="123"/>
      <c r="L38" s="123"/>
      <c r="M38" s="123"/>
      <c r="N38" s="123"/>
      <c r="O38" s="123"/>
      <c r="P38" s="128"/>
      <c r="Q38" s="128"/>
      <c r="R38" s="179"/>
      <c r="S38" s="179"/>
      <c r="T38" s="123"/>
      <c r="U38" s="123"/>
      <c r="V38" s="123"/>
      <c r="W38" s="123"/>
      <c r="X38" s="123"/>
      <c r="Y38" s="123"/>
      <c r="Z38" s="123"/>
      <c r="AA38" s="55"/>
      <c r="AB38" s="55"/>
      <c r="AC38" s="55"/>
      <c r="AD38" s="55"/>
      <c r="AE38" s="55"/>
      <c r="AF38" s="55"/>
    </row>
    <row r="39" spans="2:32">
      <c r="B39" s="55"/>
      <c r="C39" s="120"/>
      <c r="D39" s="120"/>
      <c r="E39" s="123"/>
      <c r="F39" s="123"/>
      <c r="G39" s="123"/>
      <c r="H39" s="128"/>
      <c r="I39" s="123"/>
      <c r="J39" s="123"/>
      <c r="K39" s="123"/>
      <c r="L39" s="123"/>
      <c r="M39" s="123"/>
      <c r="N39" s="123"/>
      <c r="O39" s="123"/>
      <c r="P39" s="128"/>
      <c r="Q39" s="128"/>
      <c r="R39" s="123"/>
      <c r="S39" s="123"/>
      <c r="T39" s="123"/>
      <c r="U39" s="123"/>
      <c r="V39" s="123"/>
      <c r="W39" s="123"/>
      <c r="X39" s="123"/>
      <c r="Y39" s="123"/>
      <c r="Z39" s="123"/>
      <c r="AA39" s="55"/>
      <c r="AB39" s="55"/>
      <c r="AC39" s="55"/>
      <c r="AD39" s="55"/>
      <c r="AE39" s="55"/>
      <c r="AF39" s="55"/>
    </row>
    <row r="40" spans="2:32">
      <c r="B40" s="55"/>
      <c r="C40" s="120"/>
      <c r="D40" s="120"/>
      <c r="E40" s="123"/>
      <c r="F40" s="123"/>
      <c r="G40" s="123"/>
      <c r="H40" s="128"/>
      <c r="I40" s="123"/>
      <c r="J40" s="123"/>
      <c r="K40" s="123"/>
      <c r="L40" s="123"/>
      <c r="M40" s="123"/>
      <c r="N40" s="123"/>
      <c r="O40" s="123"/>
      <c r="P40" s="128"/>
      <c r="Q40" s="128"/>
      <c r="R40" s="123"/>
      <c r="S40" s="123"/>
      <c r="T40" s="123"/>
      <c r="U40" s="123"/>
      <c r="V40" s="123"/>
      <c r="W40" s="123"/>
      <c r="X40" s="123"/>
      <c r="Y40" s="123"/>
      <c r="Z40" s="123"/>
      <c r="AA40" s="55"/>
      <c r="AB40" s="55"/>
      <c r="AC40" s="55"/>
      <c r="AD40" s="55"/>
      <c r="AE40" s="55"/>
      <c r="AF40" s="55"/>
    </row>
    <row r="41" spans="2:32">
      <c r="B41" s="55"/>
      <c r="C41" s="120"/>
      <c r="D41" s="120"/>
      <c r="E41" s="123"/>
      <c r="F41" s="123"/>
      <c r="G41" s="123"/>
      <c r="H41" s="128"/>
      <c r="I41" s="123"/>
      <c r="J41" s="123"/>
      <c r="K41" s="123"/>
      <c r="L41" s="123"/>
      <c r="M41" s="123"/>
      <c r="N41" s="123"/>
      <c r="O41" s="123"/>
      <c r="P41" s="128"/>
      <c r="Q41" s="128"/>
      <c r="R41" s="123"/>
      <c r="S41" s="123"/>
      <c r="T41" s="123"/>
      <c r="U41" s="123"/>
      <c r="V41" s="123"/>
      <c r="W41" s="123"/>
      <c r="X41" s="123"/>
      <c r="Y41" s="123"/>
      <c r="Z41" s="123"/>
      <c r="AA41" s="55"/>
      <c r="AB41" s="55"/>
      <c r="AC41" s="55"/>
      <c r="AD41" s="55"/>
      <c r="AE41" s="55"/>
      <c r="AF41" s="55"/>
    </row>
    <row r="42" spans="2:32">
      <c r="B42" s="55"/>
      <c r="C42" s="120"/>
      <c r="D42" s="120"/>
      <c r="E42" s="123"/>
      <c r="F42" s="123"/>
      <c r="G42" s="123"/>
      <c r="H42" s="128"/>
      <c r="I42" s="123"/>
      <c r="J42" s="123"/>
      <c r="K42" s="123"/>
      <c r="L42" s="123"/>
      <c r="M42" s="123"/>
      <c r="N42" s="123"/>
      <c r="O42" s="123"/>
      <c r="P42" s="128"/>
      <c r="Q42" s="128"/>
      <c r="R42" s="123"/>
      <c r="S42" s="123"/>
      <c r="T42" s="123"/>
      <c r="U42" s="123"/>
      <c r="V42" s="123"/>
      <c r="W42" s="123"/>
      <c r="X42" s="123"/>
      <c r="Y42" s="123"/>
      <c r="Z42" s="123"/>
      <c r="AA42" s="55"/>
      <c r="AB42" s="55"/>
      <c r="AC42" s="55"/>
      <c r="AD42" s="55"/>
      <c r="AE42" s="55"/>
      <c r="AF42" s="55"/>
    </row>
    <row r="43" spans="2:32">
      <c r="B43" s="55"/>
      <c r="C43" s="120"/>
      <c r="D43" s="120"/>
      <c r="E43" s="123"/>
      <c r="F43" s="123"/>
      <c r="G43" s="123"/>
      <c r="H43" s="128"/>
      <c r="I43" s="123"/>
      <c r="J43" s="123"/>
      <c r="K43" s="123"/>
      <c r="L43" s="123"/>
      <c r="M43" s="123"/>
      <c r="N43" s="123"/>
      <c r="O43" s="123"/>
      <c r="P43" s="128"/>
      <c r="Q43" s="128"/>
      <c r="R43" s="123"/>
      <c r="S43" s="123"/>
      <c r="T43" s="123"/>
      <c r="U43" s="123"/>
      <c r="V43" s="123"/>
      <c r="W43" s="123"/>
      <c r="X43" s="123"/>
      <c r="Y43" s="123"/>
      <c r="Z43" s="123"/>
      <c r="AA43" s="55"/>
      <c r="AB43" s="55"/>
      <c r="AC43" s="55"/>
      <c r="AD43" s="55"/>
      <c r="AE43" s="55"/>
      <c r="AF43" s="55"/>
    </row>
    <row r="44" spans="2:32">
      <c r="B44" s="55"/>
      <c r="C44" s="120"/>
      <c r="D44" s="120"/>
      <c r="E44" s="123"/>
      <c r="F44" s="123"/>
      <c r="G44" s="123"/>
      <c r="H44" s="128"/>
      <c r="I44" s="123"/>
      <c r="J44" s="123"/>
      <c r="K44" s="123"/>
      <c r="L44" s="123"/>
      <c r="M44" s="123"/>
      <c r="N44" s="123"/>
      <c r="O44" s="123"/>
      <c r="P44" s="128"/>
      <c r="Q44" s="128"/>
      <c r="R44" s="179"/>
      <c r="S44" s="178"/>
      <c r="T44" s="123"/>
      <c r="U44" s="123"/>
      <c r="V44" s="123"/>
      <c r="W44" s="123"/>
      <c r="X44" s="123"/>
      <c r="Y44" s="123"/>
      <c r="Z44" s="123"/>
      <c r="AA44" s="55"/>
      <c r="AB44" s="55"/>
      <c r="AC44" s="55"/>
      <c r="AD44" s="55"/>
      <c r="AE44" s="55"/>
      <c r="AF44" s="55"/>
    </row>
    <row r="45" spans="2:32">
      <c r="B45" s="55"/>
      <c r="C45" s="120"/>
      <c r="D45" s="120"/>
      <c r="E45" s="123"/>
      <c r="F45" s="123"/>
      <c r="G45" s="123"/>
      <c r="H45" s="128"/>
      <c r="I45" s="123"/>
      <c r="J45" s="123"/>
      <c r="K45" s="123"/>
      <c r="L45" s="123"/>
      <c r="M45" s="123"/>
      <c r="N45" s="123"/>
      <c r="O45" s="123"/>
      <c r="P45" s="128"/>
      <c r="Q45" s="128"/>
      <c r="R45" s="179"/>
      <c r="S45" s="178"/>
      <c r="T45" s="123"/>
      <c r="U45" s="123"/>
      <c r="V45" s="123"/>
      <c r="W45" s="123"/>
      <c r="X45" s="123"/>
      <c r="Y45" s="123"/>
      <c r="Z45" s="123"/>
      <c r="AA45" s="55"/>
      <c r="AB45" s="55"/>
      <c r="AC45" s="55"/>
      <c r="AD45" s="55"/>
      <c r="AE45" s="55"/>
      <c r="AF45" s="55"/>
    </row>
    <row r="46" spans="2:32">
      <c r="B46" s="55"/>
      <c r="C46" s="120"/>
      <c r="D46" s="120"/>
      <c r="E46" s="123"/>
      <c r="F46" s="123"/>
      <c r="G46" s="123"/>
      <c r="H46" s="128"/>
      <c r="I46" s="123"/>
      <c r="J46" s="123"/>
      <c r="K46" s="123"/>
      <c r="L46" s="123"/>
      <c r="M46" s="123"/>
      <c r="N46" s="123"/>
      <c r="O46" s="123"/>
      <c r="P46" s="128"/>
      <c r="Q46" s="128"/>
      <c r="R46" s="179"/>
      <c r="S46" s="179"/>
      <c r="T46" s="123"/>
      <c r="U46" s="123"/>
      <c r="V46" s="123"/>
      <c r="W46" s="123"/>
      <c r="X46" s="123"/>
      <c r="Y46" s="123"/>
      <c r="Z46" s="123"/>
      <c r="AA46" s="55"/>
      <c r="AB46" s="55"/>
      <c r="AC46" s="55"/>
      <c r="AD46" s="55"/>
      <c r="AE46" s="55"/>
      <c r="AF46" s="55"/>
    </row>
    <row r="47" spans="2:32">
      <c r="B47" s="55"/>
      <c r="C47" s="120"/>
      <c r="D47" s="120"/>
      <c r="E47" s="123"/>
      <c r="F47" s="123"/>
      <c r="G47" s="123"/>
      <c r="H47" s="128"/>
      <c r="I47" s="123"/>
      <c r="J47" s="123"/>
      <c r="K47" s="123"/>
      <c r="L47" s="123"/>
      <c r="M47" s="123"/>
      <c r="N47" s="123"/>
      <c r="O47" s="123"/>
      <c r="P47" s="128"/>
      <c r="Q47" s="128"/>
      <c r="R47" s="179"/>
      <c r="S47" s="179"/>
      <c r="T47" s="123"/>
      <c r="U47" s="123"/>
      <c r="V47" s="123"/>
      <c r="W47" s="123"/>
      <c r="X47" s="123"/>
      <c r="Y47" s="123"/>
      <c r="Z47" s="123"/>
      <c r="AA47" s="55"/>
      <c r="AB47" s="55"/>
      <c r="AC47" s="55"/>
      <c r="AD47" s="55"/>
      <c r="AE47" s="55"/>
      <c r="AF47" s="55"/>
    </row>
    <row r="48" spans="2:32">
      <c r="B48" s="55"/>
      <c r="C48" s="120"/>
      <c r="D48" s="120"/>
      <c r="E48" s="123"/>
      <c r="F48" s="123"/>
      <c r="G48" s="123"/>
      <c r="H48" s="128"/>
      <c r="I48" s="123"/>
      <c r="J48" s="123"/>
      <c r="K48" s="123"/>
      <c r="L48" s="123"/>
      <c r="M48" s="123"/>
      <c r="N48" s="123"/>
      <c r="O48" s="123"/>
      <c r="P48" s="128"/>
      <c r="Q48" s="128"/>
      <c r="R48" s="179"/>
      <c r="S48" s="179"/>
      <c r="T48" s="123"/>
      <c r="U48" s="123"/>
      <c r="V48" s="123"/>
      <c r="W48" s="123"/>
      <c r="X48" s="123"/>
      <c r="Y48" s="123"/>
      <c r="Z48" s="123"/>
      <c r="AA48" s="55"/>
      <c r="AB48" s="55"/>
      <c r="AC48" s="55"/>
      <c r="AD48" s="55"/>
      <c r="AE48" s="55"/>
      <c r="AF48" s="55"/>
    </row>
    <row r="49" spans="2:32">
      <c r="B49" s="55"/>
      <c r="C49" s="120"/>
      <c r="D49" s="120"/>
      <c r="E49" s="123"/>
      <c r="F49" s="123"/>
      <c r="G49" s="123"/>
      <c r="H49" s="128"/>
      <c r="I49" s="123"/>
      <c r="J49" s="123"/>
      <c r="K49" s="123"/>
      <c r="L49" s="123"/>
      <c r="M49" s="123"/>
      <c r="N49" s="123"/>
      <c r="O49" s="123"/>
      <c r="P49" s="128"/>
      <c r="Q49" s="128"/>
      <c r="R49" s="179"/>
      <c r="S49" s="179"/>
      <c r="T49" s="123"/>
      <c r="U49" s="123"/>
      <c r="V49" s="123"/>
      <c r="W49" s="123"/>
      <c r="X49" s="123"/>
      <c r="Y49" s="123"/>
      <c r="Z49" s="123"/>
      <c r="AA49" s="55"/>
      <c r="AB49" s="55"/>
      <c r="AC49" s="55"/>
      <c r="AD49" s="55"/>
      <c r="AE49" s="55"/>
      <c r="AF49" s="55"/>
    </row>
    <row r="50" spans="2:32">
      <c r="B50" s="55"/>
      <c r="C50" s="120"/>
      <c r="D50" s="120"/>
      <c r="E50" s="123"/>
      <c r="F50" s="123"/>
      <c r="G50" s="123"/>
      <c r="H50" s="128"/>
      <c r="I50" s="123"/>
      <c r="J50" s="123"/>
      <c r="K50" s="123"/>
      <c r="L50" s="123"/>
      <c r="M50" s="123"/>
      <c r="N50" s="123"/>
      <c r="O50" s="123"/>
      <c r="P50" s="128"/>
      <c r="Q50" s="128"/>
      <c r="R50" s="179"/>
      <c r="S50" s="179"/>
      <c r="T50" s="123"/>
      <c r="U50" s="123"/>
      <c r="V50" s="123"/>
      <c r="W50" s="123"/>
      <c r="X50" s="123"/>
      <c r="Y50" s="123"/>
      <c r="Z50" s="123"/>
      <c r="AA50" s="55"/>
      <c r="AB50" s="55"/>
      <c r="AC50" s="55"/>
      <c r="AD50" s="55"/>
      <c r="AE50" s="55"/>
      <c r="AF50" s="55"/>
    </row>
    <row r="51" spans="2:32">
      <c r="B51" s="55"/>
      <c r="C51" s="120"/>
      <c r="D51" s="120"/>
      <c r="E51" s="123"/>
      <c r="F51" s="123"/>
      <c r="G51" s="123"/>
      <c r="H51" s="128"/>
      <c r="I51" s="123"/>
      <c r="J51" s="123"/>
      <c r="K51" s="123"/>
      <c r="L51" s="123"/>
      <c r="M51" s="123"/>
      <c r="N51" s="123"/>
      <c r="O51" s="123"/>
      <c r="P51" s="128"/>
      <c r="Q51" s="128"/>
      <c r="R51" s="179"/>
      <c r="S51" s="179"/>
      <c r="T51" s="123"/>
      <c r="U51" s="123"/>
      <c r="V51" s="123"/>
      <c r="W51" s="123"/>
      <c r="X51" s="123"/>
      <c r="Y51" s="123"/>
      <c r="Z51" s="123"/>
      <c r="AA51" s="55"/>
      <c r="AB51" s="55"/>
      <c r="AC51" s="55"/>
      <c r="AD51" s="55"/>
      <c r="AE51" s="55"/>
      <c r="AF51" s="55"/>
    </row>
    <row r="52" spans="2:32">
      <c r="B52" s="55"/>
      <c r="C52" s="120"/>
      <c r="D52" s="120"/>
      <c r="E52" s="123"/>
      <c r="F52" s="123"/>
      <c r="G52" s="123"/>
      <c r="H52" s="128"/>
      <c r="I52" s="123"/>
      <c r="J52" s="123"/>
      <c r="K52" s="123"/>
      <c r="L52" s="123"/>
      <c r="M52" s="123"/>
      <c r="N52" s="123"/>
      <c r="O52" s="123"/>
      <c r="P52" s="128"/>
      <c r="Q52" s="128"/>
      <c r="R52" s="179"/>
      <c r="S52" s="179"/>
      <c r="T52" s="123"/>
      <c r="U52" s="123"/>
      <c r="V52" s="123"/>
      <c r="W52" s="123"/>
      <c r="X52" s="123"/>
      <c r="Y52" s="123"/>
      <c r="Z52" s="123"/>
      <c r="AA52" s="55"/>
      <c r="AB52" s="55"/>
      <c r="AC52" s="55"/>
      <c r="AD52" s="55"/>
      <c r="AE52" s="55"/>
      <c r="AF52" s="55"/>
    </row>
    <row r="53" spans="2:32">
      <c r="B53" s="55"/>
      <c r="C53" s="120"/>
      <c r="D53" s="120"/>
      <c r="E53" s="123"/>
      <c r="F53" s="123"/>
      <c r="G53" s="123"/>
      <c r="H53" s="128"/>
      <c r="I53" s="123"/>
      <c r="J53" s="123"/>
      <c r="K53" s="123"/>
      <c r="L53" s="123"/>
      <c r="M53" s="123"/>
      <c r="N53" s="123"/>
      <c r="O53" s="123"/>
      <c r="P53" s="128"/>
      <c r="Q53" s="128"/>
      <c r="R53" s="179"/>
      <c r="S53" s="179"/>
      <c r="T53" s="123"/>
      <c r="U53" s="123"/>
      <c r="V53" s="123"/>
      <c r="W53" s="123"/>
      <c r="X53" s="123"/>
      <c r="Y53" s="123"/>
      <c r="Z53" s="123"/>
      <c r="AA53" s="55"/>
      <c r="AB53" s="55"/>
      <c r="AC53" s="55"/>
      <c r="AD53" s="55"/>
      <c r="AE53" s="55"/>
      <c r="AF53" s="55"/>
    </row>
    <row r="54" spans="2:32">
      <c r="B54" s="55"/>
      <c r="C54" s="120"/>
      <c r="D54" s="120"/>
      <c r="E54" s="123"/>
      <c r="F54" s="123"/>
      <c r="G54" s="123"/>
      <c r="H54" s="128"/>
      <c r="I54" s="123"/>
      <c r="J54" s="123"/>
      <c r="K54" s="123"/>
      <c r="L54" s="123"/>
      <c r="M54" s="123"/>
      <c r="N54" s="123"/>
      <c r="O54" s="123"/>
      <c r="P54" s="128"/>
      <c r="Q54" s="128"/>
      <c r="R54" s="179"/>
      <c r="S54" s="179"/>
      <c r="T54" s="123"/>
      <c r="U54" s="123"/>
      <c r="V54" s="123"/>
      <c r="W54" s="123"/>
      <c r="X54" s="123"/>
      <c r="Y54" s="123"/>
      <c r="Z54" s="123"/>
      <c r="AA54" s="55"/>
      <c r="AB54" s="55"/>
      <c r="AC54" s="55"/>
      <c r="AD54" s="55"/>
      <c r="AE54" s="55"/>
      <c r="AF54" s="55"/>
    </row>
    <row r="55" spans="2:32">
      <c r="B55" s="55"/>
      <c r="C55" s="120"/>
      <c r="D55" s="120"/>
      <c r="E55" s="123"/>
      <c r="F55" s="123"/>
      <c r="G55" s="123"/>
      <c r="H55" s="128"/>
      <c r="I55" s="123"/>
      <c r="J55" s="123"/>
      <c r="K55" s="123"/>
      <c r="L55" s="123"/>
      <c r="M55" s="123"/>
      <c r="N55" s="123"/>
      <c r="O55" s="123"/>
      <c r="P55" s="128"/>
      <c r="Q55" s="128"/>
      <c r="R55" s="179"/>
      <c r="S55" s="179"/>
      <c r="T55" s="123"/>
      <c r="U55" s="123"/>
      <c r="V55" s="123"/>
      <c r="W55" s="123"/>
      <c r="X55" s="123"/>
      <c r="Y55" s="123"/>
      <c r="Z55" s="123"/>
      <c r="AA55" s="55"/>
      <c r="AB55" s="55"/>
      <c r="AC55" s="55"/>
      <c r="AD55" s="55"/>
      <c r="AE55" s="55"/>
      <c r="AF55" s="55"/>
    </row>
    <row r="56" spans="2:32">
      <c r="B56" s="55"/>
      <c r="C56" s="120"/>
      <c r="D56" s="120"/>
      <c r="E56" s="123"/>
      <c r="F56" s="123"/>
      <c r="G56" s="123"/>
      <c r="H56" s="128"/>
      <c r="I56" s="123"/>
      <c r="J56" s="123"/>
      <c r="K56" s="123"/>
      <c r="L56" s="123"/>
      <c r="M56" s="123"/>
      <c r="N56" s="123"/>
      <c r="O56" s="123"/>
      <c r="P56" s="128"/>
      <c r="Q56" s="128"/>
      <c r="R56" s="179"/>
      <c r="S56" s="179"/>
      <c r="T56" s="123"/>
      <c r="U56" s="123"/>
      <c r="V56" s="123"/>
      <c r="W56" s="123"/>
      <c r="X56" s="123"/>
      <c r="Y56" s="123"/>
      <c r="Z56" s="123"/>
      <c r="AA56" s="55"/>
      <c r="AB56" s="55"/>
      <c r="AC56" s="55"/>
      <c r="AD56" s="55"/>
      <c r="AE56" s="55"/>
      <c r="AF56" s="55"/>
    </row>
    <row r="57" spans="2:32">
      <c r="B57" s="55"/>
      <c r="C57" s="120"/>
      <c r="D57" s="120"/>
      <c r="E57" s="123"/>
      <c r="F57" s="123"/>
      <c r="G57" s="123"/>
      <c r="H57" s="128"/>
      <c r="I57" s="123"/>
      <c r="J57" s="123"/>
      <c r="K57" s="123"/>
      <c r="L57" s="123"/>
      <c r="M57" s="123"/>
      <c r="N57" s="123"/>
      <c r="O57" s="123"/>
      <c r="P57" s="128"/>
      <c r="Q57" s="128"/>
      <c r="R57" s="179"/>
      <c r="S57" s="179"/>
      <c r="T57" s="123"/>
      <c r="U57" s="123"/>
      <c r="V57" s="123"/>
      <c r="W57" s="123"/>
      <c r="X57" s="123"/>
      <c r="Y57" s="123"/>
      <c r="Z57" s="123"/>
      <c r="AA57" s="55"/>
      <c r="AB57" s="55"/>
      <c r="AC57" s="55"/>
      <c r="AD57" s="55"/>
      <c r="AE57" s="55"/>
      <c r="AF57" s="55"/>
    </row>
    <row r="58" spans="2:32">
      <c r="B58" s="55"/>
      <c r="C58" s="120"/>
      <c r="D58" s="120"/>
      <c r="E58" s="123"/>
      <c r="F58" s="123"/>
      <c r="G58" s="123"/>
      <c r="H58" s="128"/>
      <c r="I58" s="123"/>
      <c r="J58" s="123"/>
      <c r="K58" s="123"/>
      <c r="L58" s="123"/>
      <c r="M58" s="123"/>
      <c r="N58" s="123"/>
      <c r="O58" s="123"/>
      <c r="P58" s="128"/>
      <c r="Q58" s="128"/>
      <c r="R58" s="179"/>
      <c r="S58" s="179"/>
      <c r="T58" s="123"/>
      <c r="U58" s="123"/>
      <c r="V58" s="123"/>
      <c r="W58" s="123"/>
      <c r="X58" s="123"/>
      <c r="Y58" s="123"/>
      <c r="Z58" s="123"/>
      <c r="AA58" s="55"/>
      <c r="AB58" s="55"/>
      <c r="AC58" s="55"/>
      <c r="AD58" s="55"/>
      <c r="AE58" s="55"/>
      <c r="AF58" s="55"/>
    </row>
    <row r="59" spans="2:32">
      <c r="B59" s="55"/>
      <c r="C59" s="120"/>
      <c r="D59" s="120"/>
      <c r="E59" s="123"/>
      <c r="F59" s="123"/>
      <c r="G59" s="123"/>
      <c r="H59" s="128"/>
      <c r="I59" s="123"/>
      <c r="J59" s="120"/>
      <c r="K59" s="120"/>
      <c r="L59" s="120"/>
      <c r="M59" s="120"/>
      <c r="N59" s="120"/>
      <c r="O59" s="123"/>
      <c r="P59" s="128"/>
      <c r="Q59" s="128"/>
      <c r="R59" s="179"/>
      <c r="S59" s="179"/>
      <c r="T59" s="123"/>
      <c r="U59" s="123"/>
      <c r="V59" s="123"/>
      <c r="W59" s="123"/>
      <c r="X59" s="123"/>
      <c r="Y59" s="123"/>
      <c r="Z59" s="123"/>
      <c r="AA59" s="55"/>
      <c r="AB59" s="55"/>
      <c r="AC59" s="55"/>
      <c r="AD59" s="55"/>
      <c r="AE59" s="55"/>
      <c r="AF59" s="55"/>
    </row>
    <row r="60" spans="2:32">
      <c r="B60" s="55"/>
      <c r="C60" s="120"/>
      <c r="D60" s="120"/>
      <c r="E60" s="123"/>
      <c r="F60" s="123"/>
      <c r="G60" s="123"/>
      <c r="H60" s="128"/>
      <c r="I60" s="123"/>
      <c r="J60" s="120"/>
      <c r="K60" s="120"/>
      <c r="L60" s="120"/>
      <c r="M60" s="120"/>
      <c r="N60" s="120"/>
      <c r="O60" s="123"/>
      <c r="P60" s="128"/>
      <c r="Q60" s="128"/>
      <c r="R60" s="179"/>
      <c r="S60" s="179"/>
      <c r="T60" s="123"/>
      <c r="U60" s="123"/>
      <c r="V60" s="123"/>
      <c r="W60" s="123"/>
      <c r="X60" s="123"/>
      <c r="Y60" s="123"/>
      <c r="Z60" s="123"/>
      <c r="AA60" s="55"/>
      <c r="AB60" s="55"/>
      <c r="AC60" s="55"/>
      <c r="AD60" s="55"/>
      <c r="AE60" s="55"/>
      <c r="AF60" s="55"/>
    </row>
    <row r="61" spans="2:32">
      <c r="B61" s="55"/>
      <c r="C61" s="120"/>
      <c r="D61" s="120"/>
      <c r="E61" s="123"/>
      <c r="F61" s="123"/>
      <c r="G61" s="123"/>
      <c r="H61" s="123"/>
      <c r="I61" s="123"/>
      <c r="J61" s="120"/>
      <c r="K61" s="120"/>
      <c r="L61" s="120"/>
      <c r="M61" s="120"/>
      <c r="N61" s="120"/>
      <c r="O61" s="123"/>
      <c r="P61" s="123"/>
      <c r="Q61" s="123"/>
      <c r="R61" s="123"/>
      <c r="S61" s="123"/>
      <c r="T61" s="123"/>
      <c r="U61" s="123"/>
      <c r="V61" s="123"/>
      <c r="W61" s="123"/>
      <c r="X61" s="123"/>
      <c r="Y61" s="123"/>
      <c r="Z61" s="123"/>
      <c r="AA61" s="55"/>
      <c r="AB61" s="55"/>
      <c r="AC61" s="55"/>
      <c r="AD61" s="55"/>
      <c r="AE61" s="55"/>
      <c r="AF61" s="55"/>
    </row>
    <row r="62" spans="2:32">
      <c r="B62" s="55"/>
      <c r="C62" s="120"/>
      <c r="D62" s="120"/>
      <c r="E62" s="123"/>
      <c r="F62" s="123"/>
      <c r="G62" s="123"/>
      <c r="H62" s="128"/>
      <c r="I62" s="123"/>
      <c r="J62" s="123"/>
      <c r="K62" s="123"/>
      <c r="L62" s="123"/>
      <c r="M62" s="123"/>
      <c r="N62" s="123"/>
      <c r="O62" s="123"/>
      <c r="P62" s="128"/>
      <c r="Q62" s="128"/>
      <c r="R62" s="178"/>
      <c r="S62" s="123"/>
      <c r="T62" s="123"/>
      <c r="U62" s="123"/>
      <c r="V62" s="123"/>
      <c r="W62" s="123"/>
      <c r="X62" s="123"/>
      <c r="Y62" s="123"/>
      <c r="Z62" s="123"/>
      <c r="AA62" s="55"/>
      <c r="AB62" s="55"/>
      <c r="AC62" s="55"/>
      <c r="AD62" s="55"/>
      <c r="AE62" s="55"/>
      <c r="AF62" s="55"/>
    </row>
    <row r="63" spans="2:32">
      <c r="B63" s="55"/>
      <c r="C63" s="120"/>
      <c r="D63" s="120"/>
      <c r="E63" s="123"/>
      <c r="F63" s="123"/>
      <c r="G63" s="123"/>
      <c r="H63" s="128"/>
      <c r="I63" s="123"/>
      <c r="J63" s="123"/>
      <c r="K63" s="123"/>
      <c r="L63" s="123"/>
      <c r="M63" s="123"/>
      <c r="N63" s="123"/>
      <c r="O63" s="123"/>
      <c r="P63" s="128"/>
      <c r="Q63" s="128"/>
      <c r="R63" s="178"/>
      <c r="S63" s="123"/>
      <c r="T63" s="123"/>
      <c r="U63" s="123"/>
      <c r="V63" s="123"/>
      <c r="W63" s="123"/>
      <c r="X63" s="123"/>
      <c r="Y63" s="123"/>
      <c r="Z63" s="123"/>
      <c r="AA63" s="55"/>
      <c r="AB63" s="55"/>
      <c r="AC63" s="55"/>
      <c r="AD63" s="55"/>
      <c r="AE63" s="55"/>
      <c r="AF63" s="55"/>
    </row>
    <row r="64" spans="2:32">
      <c r="B64" s="55"/>
      <c r="C64" s="120"/>
      <c r="D64" s="120"/>
      <c r="E64" s="123"/>
      <c r="F64" s="123"/>
      <c r="G64" s="123"/>
      <c r="H64" s="128"/>
      <c r="I64" s="123"/>
      <c r="J64" s="123"/>
      <c r="K64" s="123"/>
      <c r="L64" s="123"/>
      <c r="M64" s="123"/>
      <c r="N64" s="123"/>
      <c r="O64" s="123"/>
      <c r="P64" s="128"/>
      <c r="Q64" s="128"/>
      <c r="R64" s="123"/>
      <c r="S64" s="123"/>
      <c r="T64" s="123"/>
      <c r="U64" s="123"/>
      <c r="V64" s="123"/>
      <c r="W64" s="123"/>
      <c r="X64" s="123"/>
      <c r="Y64" s="123"/>
      <c r="Z64" s="123"/>
      <c r="AA64" s="55"/>
      <c r="AB64" s="55"/>
      <c r="AC64" s="55"/>
      <c r="AD64" s="55"/>
      <c r="AE64" s="55"/>
      <c r="AF64" s="55"/>
    </row>
    <row r="65" spans="2:32">
      <c r="B65" s="55"/>
      <c r="C65" s="120"/>
      <c r="D65" s="120"/>
      <c r="E65" s="123"/>
      <c r="F65" s="123"/>
      <c r="G65" s="123"/>
      <c r="H65" s="128"/>
      <c r="I65" s="123"/>
      <c r="J65" s="123"/>
      <c r="K65" s="123"/>
      <c r="L65" s="123"/>
      <c r="M65" s="123"/>
      <c r="N65" s="123"/>
      <c r="O65" s="123"/>
      <c r="P65" s="128"/>
      <c r="Q65" s="128"/>
      <c r="R65" s="123"/>
      <c r="S65" s="123"/>
      <c r="T65" s="123"/>
      <c r="U65" s="123"/>
      <c r="V65" s="123"/>
      <c r="W65" s="123"/>
      <c r="X65" s="123"/>
      <c r="Y65" s="123"/>
      <c r="Z65" s="123"/>
      <c r="AA65" s="55"/>
      <c r="AB65" s="55"/>
      <c r="AC65" s="55"/>
      <c r="AD65" s="55"/>
      <c r="AE65" s="55"/>
      <c r="AF65" s="55"/>
    </row>
    <row r="66" spans="2:32">
      <c r="B66" s="55"/>
      <c r="C66" s="120"/>
      <c r="D66" s="120"/>
      <c r="E66" s="123"/>
      <c r="F66" s="123"/>
      <c r="G66" s="123"/>
      <c r="H66" s="128"/>
      <c r="I66" s="123"/>
      <c r="J66" s="123"/>
      <c r="K66" s="123"/>
      <c r="L66" s="123"/>
      <c r="M66" s="123"/>
      <c r="N66" s="123"/>
      <c r="O66" s="123"/>
      <c r="P66" s="128"/>
      <c r="Q66" s="128"/>
      <c r="R66" s="123"/>
      <c r="S66" s="123"/>
      <c r="T66" s="123"/>
      <c r="U66" s="123"/>
      <c r="V66" s="123"/>
      <c r="W66" s="123"/>
      <c r="X66" s="123"/>
      <c r="Y66" s="123"/>
      <c r="Z66" s="123"/>
      <c r="AA66" s="55"/>
      <c r="AB66" s="55"/>
      <c r="AC66" s="55"/>
      <c r="AD66" s="55"/>
      <c r="AE66" s="55"/>
      <c r="AF66" s="55"/>
    </row>
    <row r="67" spans="2:32">
      <c r="B67" s="55"/>
      <c r="C67" s="120"/>
      <c r="D67" s="120"/>
      <c r="E67" s="123"/>
      <c r="F67" s="123"/>
      <c r="G67" s="123"/>
      <c r="H67" s="128"/>
      <c r="I67" s="123"/>
      <c r="J67" s="123"/>
      <c r="K67" s="123"/>
      <c r="L67" s="123"/>
      <c r="M67" s="123"/>
      <c r="N67" s="123"/>
      <c r="O67" s="123"/>
      <c r="P67" s="128"/>
      <c r="Q67" s="128"/>
      <c r="R67" s="178"/>
      <c r="S67" s="123"/>
      <c r="T67" s="123"/>
      <c r="U67" s="123"/>
      <c r="V67" s="123"/>
      <c r="W67" s="123"/>
      <c r="X67" s="123"/>
      <c r="Y67" s="123"/>
      <c r="Z67" s="123"/>
      <c r="AA67" s="55"/>
      <c r="AB67" s="55"/>
      <c r="AC67" s="55"/>
      <c r="AD67" s="55"/>
      <c r="AE67" s="55"/>
      <c r="AF67" s="55"/>
    </row>
    <row r="68" spans="2:32">
      <c r="B68" s="55"/>
      <c r="C68" s="120"/>
      <c r="D68" s="120"/>
      <c r="E68" s="123"/>
      <c r="F68" s="123"/>
      <c r="G68" s="123"/>
      <c r="H68" s="128"/>
      <c r="I68" s="123"/>
      <c r="J68" s="123"/>
      <c r="K68" s="123"/>
      <c r="L68" s="123"/>
      <c r="M68" s="123"/>
      <c r="N68" s="123"/>
      <c r="O68" s="123"/>
      <c r="P68" s="128"/>
      <c r="Q68" s="128"/>
      <c r="R68" s="123"/>
      <c r="S68" s="123"/>
      <c r="T68" s="123"/>
      <c r="U68" s="123"/>
      <c r="V68" s="123"/>
      <c r="W68" s="123"/>
      <c r="X68" s="123"/>
      <c r="Y68" s="123"/>
      <c r="Z68" s="123"/>
      <c r="AA68" s="55"/>
      <c r="AB68" s="55"/>
      <c r="AC68" s="55"/>
      <c r="AD68" s="55"/>
      <c r="AE68" s="55"/>
      <c r="AF68" s="55"/>
    </row>
    <row r="69" spans="2:32">
      <c r="B69" s="55"/>
      <c r="C69" s="120"/>
      <c r="D69" s="120"/>
      <c r="E69" s="123"/>
      <c r="F69" s="123"/>
      <c r="G69" s="123"/>
      <c r="H69" s="128"/>
      <c r="I69" s="123"/>
      <c r="J69" s="123"/>
      <c r="K69" s="123"/>
      <c r="L69" s="123"/>
      <c r="M69" s="123"/>
      <c r="N69" s="123"/>
      <c r="O69" s="123"/>
      <c r="P69" s="128"/>
      <c r="Q69" s="128"/>
      <c r="R69" s="123"/>
      <c r="S69" s="123"/>
      <c r="T69" s="123"/>
      <c r="U69" s="123"/>
      <c r="V69" s="123"/>
      <c r="W69" s="123"/>
      <c r="X69" s="123"/>
      <c r="Y69" s="123"/>
      <c r="Z69" s="123"/>
      <c r="AA69" s="55"/>
      <c r="AB69" s="55"/>
      <c r="AC69" s="55"/>
      <c r="AD69" s="55"/>
      <c r="AE69" s="55"/>
      <c r="AF69" s="55"/>
    </row>
    <row r="70" spans="2:32">
      <c r="B70" s="55"/>
      <c r="C70" s="120"/>
      <c r="D70" s="120"/>
      <c r="E70" s="123"/>
      <c r="F70" s="123"/>
      <c r="G70" s="123"/>
      <c r="H70" s="128"/>
      <c r="I70" s="123"/>
      <c r="J70" s="123"/>
      <c r="K70" s="123"/>
      <c r="L70" s="123"/>
      <c r="M70" s="123"/>
      <c r="N70" s="123"/>
      <c r="O70" s="123"/>
      <c r="P70" s="128"/>
      <c r="Q70" s="128"/>
      <c r="R70" s="123"/>
      <c r="S70" s="123"/>
      <c r="T70" s="123"/>
      <c r="U70" s="123"/>
      <c r="V70" s="123"/>
      <c r="W70" s="123"/>
      <c r="X70" s="123"/>
      <c r="Y70" s="123"/>
      <c r="Z70" s="123"/>
      <c r="AA70" s="55"/>
      <c r="AB70" s="55"/>
      <c r="AC70" s="55"/>
      <c r="AD70" s="55"/>
      <c r="AE70" s="55"/>
      <c r="AF70" s="55"/>
    </row>
    <row r="71" spans="2:32">
      <c r="B71" s="55"/>
      <c r="C71" s="120"/>
      <c r="D71" s="120"/>
      <c r="E71" s="123"/>
      <c r="F71" s="123"/>
      <c r="G71" s="123"/>
      <c r="H71" s="128"/>
      <c r="I71" s="123"/>
      <c r="J71" s="123"/>
      <c r="K71" s="123"/>
      <c r="L71" s="123"/>
      <c r="M71" s="123"/>
      <c r="N71" s="123"/>
      <c r="O71" s="123"/>
      <c r="P71" s="128"/>
      <c r="Q71" s="128"/>
      <c r="R71" s="123"/>
      <c r="S71" s="123"/>
      <c r="T71" s="123"/>
      <c r="U71" s="123"/>
      <c r="V71" s="123"/>
      <c r="W71" s="123"/>
      <c r="X71" s="123"/>
      <c r="Y71" s="123"/>
      <c r="Z71" s="123"/>
      <c r="AA71" s="55"/>
      <c r="AB71" s="55"/>
      <c r="AC71" s="55"/>
      <c r="AD71" s="55"/>
      <c r="AE71" s="55"/>
      <c r="AF71" s="55"/>
    </row>
    <row r="72" spans="2:32">
      <c r="B72" s="55"/>
      <c r="C72" s="120"/>
      <c r="D72" s="120"/>
      <c r="E72" s="123"/>
      <c r="F72" s="123"/>
      <c r="G72" s="123"/>
      <c r="H72" s="128"/>
      <c r="I72" s="123"/>
      <c r="J72" s="123"/>
      <c r="K72" s="123"/>
      <c r="L72" s="123"/>
      <c r="M72" s="123"/>
      <c r="N72" s="123"/>
      <c r="O72" s="123"/>
      <c r="P72" s="128"/>
      <c r="Q72" s="128"/>
      <c r="R72" s="123"/>
      <c r="S72" s="123"/>
      <c r="T72" s="123"/>
      <c r="U72" s="123"/>
      <c r="V72" s="123"/>
      <c r="W72" s="123"/>
      <c r="X72" s="123"/>
      <c r="Y72" s="123"/>
      <c r="Z72" s="123"/>
      <c r="AA72" s="55"/>
      <c r="AB72" s="55"/>
      <c r="AC72" s="55"/>
      <c r="AD72" s="55"/>
      <c r="AE72" s="55"/>
      <c r="AF72" s="55"/>
    </row>
    <row r="73" spans="2:32">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row>
    <row r="74" spans="2:32">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22.xml><?xml version="1.0" encoding="utf-8"?>
<worksheet xmlns="http://schemas.openxmlformats.org/spreadsheetml/2006/main" xmlns:r="http://schemas.openxmlformats.org/officeDocument/2006/relationships">
  <dimension ref="A1:AF54"/>
  <sheetViews>
    <sheetView zoomScale="75" workbookViewId="0">
      <selection activeCell="B73" sqref="B73"/>
    </sheetView>
  </sheetViews>
  <sheetFormatPr defaultColWidth="11.42578125" defaultRowHeight="12.75"/>
  <cols>
    <col min="1" max="1" width="15.85546875" customWidth="1"/>
    <col min="2" max="2" width="13.5703125" customWidth="1"/>
    <col min="3" max="3" width="25.85546875" customWidth="1"/>
    <col min="4" max="4" width="10.85546875" customWidth="1"/>
    <col min="5" max="6" width="9.7109375" bestFit="1" customWidth="1"/>
  </cols>
  <sheetData>
    <row r="1" spans="1:22" ht="18">
      <c r="A1" s="10" t="s">
        <v>485</v>
      </c>
    </row>
    <row r="2" spans="1:22" ht="18">
      <c r="A2" s="10"/>
      <c r="D2" s="245"/>
    </row>
    <row r="3" spans="1:22" ht="18">
      <c r="A3" s="10"/>
      <c r="B3" s="16"/>
      <c r="C3" s="17"/>
      <c r="D3" s="245"/>
      <c r="O3" s="18">
        <v>1</v>
      </c>
      <c r="P3" t="s">
        <v>666</v>
      </c>
    </row>
    <row r="4" spans="1:22" ht="18">
      <c r="B4" s="131" t="s">
        <v>594</v>
      </c>
      <c r="C4" s="98"/>
      <c r="D4" s="252" t="str">
        <f>"~FI_T: "&amp;Region</f>
        <v>~FI_T: FIN</v>
      </c>
      <c r="E4" s="4" t="s">
        <v>250</v>
      </c>
      <c r="R4" s="4"/>
      <c r="S4" s="4"/>
    </row>
    <row r="5" spans="1:22" ht="39"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row>
    <row r="6" spans="1:22" ht="21" customHeight="1">
      <c r="A6" s="14"/>
      <c r="B6" s="267" t="s">
        <v>486</v>
      </c>
      <c r="C6" s="99" t="s">
        <v>27</v>
      </c>
      <c r="D6" s="99" t="str">
        <f ca="1">IEAData!$H$99</f>
        <v>COMNGA</v>
      </c>
      <c r="E6" s="33">
        <f ca="1">IEAData!$F$172</f>
        <v>8.7535072800000016E-2</v>
      </c>
      <c r="F6" s="33">
        <f ca="1">AuxData!$F$172</f>
        <v>0.17125014</v>
      </c>
      <c r="G6" s="40">
        <v>0.96</v>
      </c>
      <c r="H6" s="343" t="str">
        <f>RIGHT(D6,3)</f>
        <v>NGA</v>
      </c>
      <c r="I6" s="81">
        <v>1</v>
      </c>
      <c r="J6" s="6">
        <f>G6*I6</f>
        <v>0.96</v>
      </c>
      <c r="K6" s="38">
        <f ca="1">F6*J6</f>
        <v>0.16440013439999998</v>
      </c>
      <c r="L6" s="19">
        <v>1</v>
      </c>
      <c r="M6" s="18">
        <v>1</v>
      </c>
      <c r="N6" s="18">
        <v>15</v>
      </c>
      <c r="O6" s="160">
        <f ca="1">E6*J6/$M6</f>
        <v>8.4033669888000012E-2</v>
      </c>
      <c r="P6" s="104">
        <f ca="1">F6*J6/$M6</f>
        <v>0.16440013439999998</v>
      </c>
      <c r="Q6" s="104"/>
      <c r="R6" s="40">
        <v>0</v>
      </c>
      <c r="S6" s="40"/>
      <c r="T6" s="40"/>
      <c r="U6" s="40"/>
      <c r="V6" s="258">
        <f ca="1">IF($E$11=0,0,E6/$E$11)</f>
        <v>4.4171291648439533E-2</v>
      </c>
    </row>
    <row r="7" spans="1:22" ht="21" customHeight="1">
      <c r="A7" s="14"/>
      <c r="B7" s="267" t="s">
        <v>488</v>
      </c>
      <c r="C7" s="99" t="s">
        <v>28</v>
      </c>
      <c r="D7" s="99" t="str">
        <f ca="1">IEAData!$H$102</f>
        <v>COMKER</v>
      </c>
      <c r="E7" s="33">
        <f ca="1">IEAData!$F$175</f>
        <v>0</v>
      </c>
      <c r="F7" s="33">
        <f ca="1">AuxData!$F$175</f>
        <v>0</v>
      </c>
      <c r="G7" s="40">
        <v>0.85</v>
      </c>
      <c r="H7" s="343" t="str">
        <f>RIGHT(D7,3)</f>
        <v>KER</v>
      </c>
      <c r="I7" s="81">
        <v>1</v>
      </c>
      <c r="J7" s="6">
        <f>G7*I7</f>
        <v>0.85</v>
      </c>
      <c r="K7" s="38">
        <f ca="1">F7*J7</f>
        <v>0</v>
      </c>
      <c r="L7" s="19">
        <v>1</v>
      </c>
      <c r="M7" s="18">
        <v>1</v>
      </c>
      <c r="N7" s="18">
        <v>15</v>
      </c>
      <c r="O7" s="161">
        <f ca="1">E7*J7/$M7</f>
        <v>0</v>
      </c>
      <c r="P7" s="104">
        <f ca="1">F7*J7/$M7</f>
        <v>0</v>
      </c>
      <c r="Q7" s="104"/>
      <c r="R7" s="40">
        <v>0</v>
      </c>
      <c r="S7" s="40"/>
      <c r="T7" s="40"/>
      <c r="U7" s="18"/>
      <c r="V7" s="258">
        <f ca="1">IF($E$11=0,0,E7/$E$11)</f>
        <v>0</v>
      </c>
    </row>
    <row r="8" spans="1:22" ht="21" customHeight="1">
      <c r="A8" s="14"/>
      <c r="B8" s="267" t="s">
        <v>487</v>
      </c>
      <c r="C8" s="99" t="s">
        <v>29</v>
      </c>
      <c r="D8" s="99" t="str">
        <f ca="1">IEAData!$H$104</f>
        <v>COMLPG</v>
      </c>
      <c r="E8" s="33">
        <f ca="1">IEAData!$F$177</f>
        <v>0</v>
      </c>
      <c r="F8" s="33">
        <f ca="1">AuxData!$F$177</f>
        <v>0</v>
      </c>
      <c r="G8" s="40">
        <v>0.96</v>
      </c>
      <c r="H8" s="343" t="str">
        <f>RIGHT(D8,3)</f>
        <v>LPG</v>
      </c>
      <c r="I8" s="81">
        <v>1</v>
      </c>
      <c r="J8" s="6">
        <f>G8*I8</f>
        <v>0.96</v>
      </c>
      <c r="K8" s="38">
        <f ca="1">F8*J8</f>
        <v>0</v>
      </c>
      <c r="L8" s="19">
        <v>1</v>
      </c>
      <c r="M8" s="18">
        <v>1</v>
      </c>
      <c r="N8" s="18">
        <v>15</v>
      </c>
      <c r="O8" s="161">
        <f ca="1">E8*J8/$M8</f>
        <v>0</v>
      </c>
      <c r="P8" s="104">
        <f ca="1">F8*J8/$M8</f>
        <v>0</v>
      </c>
      <c r="Q8" s="104"/>
      <c r="R8" s="40">
        <v>0</v>
      </c>
      <c r="S8" s="40"/>
      <c r="T8" s="40"/>
      <c r="U8" s="81"/>
      <c r="V8" s="258">
        <f ca="1">IF($E$11=0,0,E8/$E$11)</f>
        <v>0</v>
      </c>
    </row>
    <row r="9" spans="1:22" ht="21" customHeight="1">
      <c r="A9" s="74"/>
      <c r="B9" s="265" t="s">
        <v>24</v>
      </c>
      <c r="C9" s="37" t="s">
        <v>30</v>
      </c>
      <c r="D9" s="36" t="s">
        <v>834</v>
      </c>
      <c r="E9" s="64">
        <f ca="1">IEAData!$F$179</f>
        <v>1.8941835850263085</v>
      </c>
      <c r="F9" s="64">
        <f ca="1">AuxData!$F$179</f>
        <v>1.8668230506109365</v>
      </c>
      <c r="G9" s="53">
        <v>1</v>
      </c>
      <c r="H9" s="343" t="str">
        <f>RIGHT(D9,3)</f>
        <v>ELC</v>
      </c>
      <c r="I9" s="81">
        <v>1</v>
      </c>
      <c r="J9" s="6">
        <f>G9*I9</f>
        <v>1</v>
      </c>
      <c r="K9" s="38">
        <f ca="1">F9*J9</f>
        <v>1.8668230506109365</v>
      </c>
      <c r="L9" s="57">
        <v>1</v>
      </c>
      <c r="M9" s="81">
        <v>1</v>
      </c>
      <c r="N9" s="81">
        <v>15</v>
      </c>
      <c r="O9" s="161">
        <f ca="1">E9*J9/$M9</f>
        <v>1.8941835850263085</v>
      </c>
      <c r="P9" s="104">
        <f ca="1">F9*J9/$M9</f>
        <v>1.8668230506109365</v>
      </c>
      <c r="Q9" s="118"/>
      <c r="R9" s="53">
        <v>0</v>
      </c>
      <c r="S9" s="53"/>
      <c r="T9" s="53"/>
      <c r="U9" s="81"/>
      <c r="V9" s="258">
        <f ca="1">IF($E$11=0,0,E9/$E$11)</f>
        <v>0.95582870835156053</v>
      </c>
    </row>
    <row r="10" spans="1:22" ht="21" customHeight="1" thickBot="1">
      <c r="A10" s="74"/>
      <c r="B10" s="274" t="s">
        <v>567</v>
      </c>
      <c r="C10" s="188" t="s">
        <v>568</v>
      </c>
      <c r="D10" s="24" t="str">
        <f ca="1">IEAData!H109</f>
        <v>COMSOL</v>
      </c>
      <c r="E10" s="34">
        <f ca="1">IEAData!$F$182</f>
        <v>0</v>
      </c>
      <c r="F10" s="34">
        <f ca="1">AuxData!$F$182</f>
        <v>0</v>
      </c>
      <c r="G10" s="54">
        <v>1</v>
      </c>
      <c r="H10" s="343" t="str">
        <f>RIGHT(D10,3)</f>
        <v>SOL</v>
      </c>
      <c r="I10" s="81">
        <v>1</v>
      </c>
      <c r="J10" s="6">
        <f>G10*I10</f>
        <v>1</v>
      </c>
      <c r="K10" s="38">
        <f ca="1">F10*J10</f>
        <v>0</v>
      </c>
      <c r="L10" s="73">
        <v>1</v>
      </c>
      <c r="M10" s="20">
        <v>1</v>
      </c>
      <c r="N10" s="20">
        <v>15</v>
      </c>
      <c r="O10" s="162">
        <f ca="1">E10*J10/$M10</f>
        <v>0</v>
      </c>
      <c r="P10" s="104">
        <f ca="1">F10*J10/$M10</f>
        <v>0</v>
      </c>
      <c r="Q10" s="117"/>
      <c r="R10" s="54">
        <v>0</v>
      </c>
      <c r="S10" s="54"/>
      <c r="T10" s="54"/>
      <c r="U10" s="20"/>
      <c r="V10" s="258">
        <f ca="1">IF($E$11=0,0,E10/$E$11)</f>
        <v>0</v>
      </c>
    </row>
    <row r="11" spans="1:22" ht="14.25">
      <c r="B11" s="434" t="s">
        <v>999</v>
      </c>
      <c r="C11" s="190" t="s">
        <v>71</v>
      </c>
      <c r="D11" s="190"/>
      <c r="E11" s="191">
        <f ca="1">SUM(E6:E9)</f>
        <v>1.9817186578263084</v>
      </c>
      <c r="F11" s="191">
        <f ca="1">SUM(F6:F9)</f>
        <v>2.0380731906109366</v>
      </c>
      <c r="G11" s="191"/>
      <c r="H11" s="191">
        <f ca="1">SUMPRODUCT(E$6:E10,J$6:J10)</f>
        <v>1.9782172549143084</v>
      </c>
      <c r="I11" s="190"/>
      <c r="J11" s="193"/>
      <c r="K11" s="191">
        <f ca="1">SUM(K6:K9)</f>
        <v>2.0312231850109366</v>
      </c>
      <c r="L11" s="190"/>
      <c r="M11" s="190"/>
      <c r="N11" s="191"/>
      <c r="O11" s="192">
        <f ca="1">SUM(O6:O9)</f>
        <v>1.9782172549143084</v>
      </c>
      <c r="P11" s="190"/>
      <c r="Q11" s="190"/>
      <c r="R11" s="192"/>
      <c r="S11" s="190"/>
      <c r="T11" s="190"/>
      <c r="U11" s="190"/>
      <c r="V11" s="259">
        <f ca="1">SUM(V6:V10)</f>
        <v>1</v>
      </c>
    </row>
    <row r="12" spans="1:22">
      <c r="B12" s="123"/>
      <c r="C12" s="55"/>
      <c r="D12" s="55"/>
      <c r="E12" s="57"/>
      <c r="F12" s="57"/>
      <c r="G12" s="57"/>
      <c r="H12" s="57"/>
      <c r="I12" s="55"/>
      <c r="J12" s="254"/>
      <c r="K12" s="57"/>
      <c r="L12" s="55"/>
      <c r="M12" s="55"/>
      <c r="N12" s="57"/>
      <c r="O12" s="161"/>
      <c r="P12" s="55"/>
      <c r="Q12" s="55"/>
      <c r="R12" s="161"/>
      <c r="S12" s="55"/>
      <c r="T12" s="55"/>
      <c r="U12" s="55"/>
    </row>
    <row r="13" spans="1:22">
      <c r="B13" s="123"/>
      <c r="C13" s="55"/>
      <c r="D13" s="55"/>
      <c r="E13" s="57"/>
      <c r="F13" s="57"/>
      <c r="G13" s="57"/>
      <c r="H13" s="57"/>
      <c r="I13" s="55"/>
      <c r="J13" s="254"/>
      <c r="K13" s="57"/>
      <c r="L13" s="55"/>
      <c r="M13" s="55"/>
      <c r="N13" s="57"/>
      <c r="O13" s="161"/>
      <c r="P13" s="55"/>
      <c r="Q13" s="55"/>
      <c r="R13" s="161"/>
      <c r="S13" s="55"/>
      <c r="T13" s="55"/>
      <c r="U13" s="55"/>
    </row>
    <row r="14" spans="1:22">
      <c r="B14" s="123"/>
      <c r="C14" s="55"/>
      <c r="D14" s="55"/>
      <c r="E14" s="57"/>
      <c r="F14" s="57"/>
      <c r="G14" s="57"/>
      <c r="H14" s="57"/>
      <c r="I14" s="55"/>
      <c r="J14" s="254"/>
      <c r="K14" s="57"/>
      <c r="L14" s="55"/>
      <c r="M14" s="55"/>
      <c r="N14" s="57"/>
      <c r="O14" s="161"/>
      <c r="P14" s="55"/>
      <c r="Q14" s="55"/>
      <c r="R14" s="161"/>
      <c r="S14" s="55"/>
      <c r="T14" s="55"/>
      <c r="U14" s="55"/>
    </row>
    <row r="15" spans="1:22">
      <c r="B15" s="123"/>
      <c r="C15" s="55"/>
      <c r="D15" s="55"/>
      <c r="E15" s="57"/>
      <c r="F15" s="57"/>
      <c r="G15" s="57"/>
      <c r="H15" s="57"/>
      <c r="I15" s="55"/>
      <c r="J15" s="254"/>
      <c r="K15" s="57"/>
      <c r="L15" s="55"/>
      <c r="M15" s="55"/>
      <c r="N15" s="57"/>
      <c r="O15" s="161"/>
      <c r="P15" s="55"/>
      <c r="Q15" s="55"/>
      <c r="R15" s="161"/>
      <c r="S15" s="55"/>
      <c r="T15" s="55"/>
      <c r="U15" s="55"/>
    </row>
    <row r="16" spans="1:22">
      <c r="B16" s="123"/>
      <c r="C16" s="55"/>
      <c r="D16" s="256"/>
      <c r="E16" s="57"/>
      <c r="F16" s="57"/>
      <c r="G16" s="55"/>
      <c r="H16" s="55"/>
      <c r="I16" s="57"/>
      <c r="K16" s="161"/>
      <c r="L16" s="55"/>
      <c r="M16" s="55"/>
      <c r="R16" s="161"/>
      <c r="S16" s="55"/>
      <c r="T16" s="55"/>
      <c r="U16" s="55"/>
    </row>
    <row r="17" spans="1:32" ht="18">
      <c r="B17" s="155" t="s">
        <v>592</v>
      </c>
      <c r="C17" s="156"/>
      <c r="D17" s="252"/>
    </row>
    <row r="18" spans="1:32" ht="13.5" thickBot="1">
      <c r="B18" s="27" t="s">
        <v>384</v>
      </c>
      <c r="C18" s="27" t="s">
        <v>385</v>
      </c>
      <c r="D18" s="27" t="s">
        <v>243</v>
      </c>
      <c r="E18" s="344" t="s">
        <v>942</v>
      </c>
      <c r="F18" s="344" t="s">
        <v>942</v>
      </c>
      <c r="G18" s="27"/>
    </row>
    <row r="19" spans="1:32" ht="22.5" customHeight="1">
      <c r="A19" s="7"/>
      <c r="B19" s="80" t="s">
        <v>71</v>
      </c>
      <c r="C19" s="28" t="s">
        <v>485</v>
      </c>
      <c r="D19" s="95" t="s">
        <v>249</v>
      </c>
      <c r="E19" s="63">
        <f ca="1">H11</f>
        <v>1.9782172549143084</v>
      </c>
      <c r="F19" s="63">
        <f ca="1">SUMPRODUCT(F6:F10,J6:J10)</f>
        <v>2.0312231850109366</v>
      </c>
      <c r="G19" s="18"/>
    </row>
    <row r="20" spans="1:32">
      <c r="A20" s="55"/>
      <c r="B20" s="55"/>
    </row>
    <row r="21" spans="1:32">
      <c r="A21" s="55"/>
      <c r="B21" s="55"/>
    </row>
    <row r="22" spans="1:32">
      <c r="A22" s="55"/>
      <c r="B22" s="55"/>
    </row>
    <row r="23" spans="1:32" ht="30.6" customHeight="1">
      <c r="A23" s="55"/>
      <c r="B23" s="55"/>
    </row>
    <row r="24" spans="1:32">
      <c r="A24" s="55"/>
      <c r="B24" s="55"/>
    </row>
    <row r="25" spans="1:32">
      <c r="A25" s="55"/>
      <c r="B25" s="55"/>
    </row>
    <row r="26" spans="1:32">
      <c r="A26" s="55"/>
      <c r="B26" s="55"/>
    </row>
    <row r="27" spans="1:32">
      <c r="A27" s="55"/>
      <c r="B27" s="55"/>
      <c r="C27" s="120"/>
      <c r="D27" s="123"/>
      <c r="F27" s="127"/>
      <c r="G27" s="123"/>
      <c r="H27" s="120"/>
      <c r="I27" s="120"/>
      <c r="J27" s="120"/>
      <c r="K27" s="120"/>
      <c r="L27" s="120"/>
      <c r="U27" s="120"/>
      <c r="V27" s="120"/>
      <c r="W27" s="120"/>
      <c r="X27" s="120"/>
      <c r="Y27" s="120"/>
      <c r="Z27" s="120"/>
      <c r="AA27" s="55"/>
      <c r="AB27" s="55"/>
      <c r="AC27" s="55"/>
      <c r="AD27" s="55"/>
      <c r="AE27" s="55"/>
      <c r="AF27" s="55"/>
    </row>
    <row r="28" spans="1:32">
      <c r="A28" s="55"/>
      <c r="B28" s="55"/>
      <c r="C28" s="120"/>
      <c r="D28" s="123"/>
      <c r="F28" s="123"/>
      <c r="G28" s="123"/>
      <c r="H28" s="123"/>
      <c r="I28" s="120"/>
      <c r="J28" s="120"/>
      <c r="K28" s="120"/>
      <c r="L28" s="120"/>
      <c r="M28" s="120"/>
      <c r="N28" s="120"/>
      <c r="O28" s="123"/>
      <c r="P28" s="123"/>
      <c r="Q28" s="123"/>
      <c r="R28" s="123"/>
      <c r="S28" s="123"/>
      <c r="T28" s="120"/>
      <c r="U28" s="123"/>
      <c r="V28" s="123"/>
      <c r="W28" s="123"/>
      <c r="X28" s="123"/>
      <c r="Y28" s="123"/>
      <c r="Z28" s="123"/>
      <c r="AA28" s="55"/>
      <c r="AB28" s="55"/>
      <c r="AC28" s="55"/>
      <c r="AD28" s="55"/>
      <c r="AE28" s="55"/>
      <c r="AF28" s="55"/>
    </row>
    <row r="29" spans="1:32">
      <c r="A29" s="55"/>
      <c r="B29" s="55"/>
      <c r="C29" s="120"/>
      <c r="D29" s="123"/>
      <c r="F29" s="123"/>
      <c r="G29" s="123"/>
      <c r="H29" s="123"/>
      <c r="I29" s="120"/>
      <c r="J29" s="120"/>
      <c r="K29" s="120"/>
      <c r="L29" s="120"/>
      <c r="M29" s="120"/>
      <c r="N29" s="120"/>
      <c r="O29" s="123"/>
      <c r="P29" s="123"/>
      <c r="Q29" s="123"/>
      <c r="R29" s="123"/>
      <c r="S29" s="123"/>
      <c r="T29" s="120"/>
      <c r="U29" s="123"/>
      <c r="V29" s="123"/>
      <c r="W29" s="123"/>
      <c r="X29" s="123"/>
      <c r="Y29" s="123"/>
      <c r="Z29" s="123"/>
      <c r="AA29" s="55"/>
      <c r="AB29" s="55"/>
      <c r="AC29" s="55"/>
      <c r="AD29" s="55"/>
      <c r="AE29" s="55"/>
      <c r="AF29" s="55"/>
    </row>
    <row r="30" spans="1:32">
      <c r="A30" s="55"/>
      <c r="B30" s="55"/>
      <c r="C30" s="120"/>
      <c r="D30" s="123"/>
      <c r="F30" s="123"/>
      <c r="G30" s="123"/>
      <c r="H30" s="123"/>
      <c r="I30" s="120"/>
      <c r="J30" s="120"/>
      <c r="K30" s="120"/>
      <c r="L30" s="120"/>
      <c r="M30" s="120"/>
      <c r="N30" s="120"/>
      <c r="O30" s="123"/>
      <c r="P30" s="123"/>
      <c r="Q30" s="123"/>
      <c r="R30" s="123"/>
      <c r="S30" s="123"/>
      <c r="T30" s="120"/>
      <c r="U30" s="123"/>
      <c r="V30" s="123"/>
      <c r="W30" s="123"/>
      <c r="X30" s="123"/>
      <c r="Y30" s="123"/>
      <c r="Z30" s="123"/>
      <c r="AA30" s="55"/>
      <c r="AB30" s="55"/>
      <c r="AC30" s="55"/>
      <c r="AD30" s="55"/>
      <c r="AE30" s="55"/>
      <c r="AF30" s="55"/>
    </row>
    <row r="31" spans="1:32">
      <c r="A31" s="55"/>
      <c r="B31" s="55"/>
      <c r="C31" s="120"/>
      <c r="D31" s="123"/>
      <c r="F31" s="123"/>
      <c r="G31" s="123"/>
      <c r="H31" s="123"/>
      <c r="I31" s="120"/>
      <c r="J31" s="120"/>
      <c r="K31" s="120"/>
      <c r="L31" s="120"/>
      <c r="M31" s="120"/>
      <c r="N31" s="120"/>
      <c r="O31" s="123"/>
      <c r="P31" s="123"/>
      <c r="Q31" s="123"/>
      <c r="R31" s="123"/>
      <c r="S31" s="123"/>
      <c r="T31" s="120"/>
      <c r="U31" s="123"/>
      <c r="V31" s="123"/>
      <c r="W31" s="123"/>
      <c r="X31" s="123"/>
      <c r="Y31" s="123"/>
      <c r="Z31" s="123"/>
      <c r="AA31" s="55"/>
      <c r="AB31" s="55"/>
      <c r="AC31" s="55"/>
      <c r="AD31" s="55"/>
      <c r="AE31" s="55"/>
      <c r="AF31" s="55"/>
    </row>
    <row r="32" spans="1:32">
      <c r="A32" s="55"/>
      <c r="B32" s="55"/>
      <c r="C32" s="120"/>
      <c r="D32" s="123"/>
      <c r="F32" s="123"/>
      <c r="G32" s="123"/>
      <c r="H32" s="123"/>
      <c r="I32" s="120"/>
      <c r="J32" s="120"/>
      <c r="K32" s="120"/>
      <c r="L32" s="120"/>
      <c r="M32" s="120"/>
      <c r="N32" s="120"/>
      <c r="O32" s="123"/>
      <c r="P32" s="123"/>
      <c r="Q32" s="123"/>
      <c r="R32" s="123"/>
      <c r="S32" s="123"/>
      <c r="T32" s="120"/>
      <c r="U32" s="123"/>
      <c r="V32" s="123"/>
      <c r="W32" s="123"/>
      <c r="X32" s="123"/>
      <c r="Y32" s="123"/>
      <c r="Z32" s="123"/>
      <c r="AA32" s="55"/>
      <c r="AB32" s="55"/>
      <c r="AC32" s="55"/>
      <c r="AD32" s="55"/>
      <c r="AE32" s="55"/>
      <c r="AF32" s="55"/>
    </row>
    <row r="33" spans="1:32">
      <c r="A33" s="55"/>
      <c r="B33" s="55"/>
      <c r="C33" s="120"/>
      <c r="D33" s="123"/>
      <c r="E33" s="123"/>
      <c r="F33" s="120"/>
      <c r="G33" s="123"/>
      <c r="H33" s="123"/>
      <c r="I33" s="120"/>
      <c r="J33" s="120"/>
      <c r="K33" s="120"/>
      <c r="L33" s="120"/>
      <c r="M33" s="120"/>
      <c r="N33" s="120"/>
      <c r="O33" s="123"/>
      <c r="P33" s="123"/>
      <c r="Q33" s="123"/>
      <c r="R33" s="123"/>
      <c r="S33" s="123"/>
      <c r="T33" s="120"/>
      <c r="U33" s="123"/>
      <c r="V33" s="123"/>
      <c r="W33" s="123"/>
      <c r="X33" s="123"/>
      <c r="Y33" s="123"/>
      <c r="Z33" s="123"/>
      <c r="AA33" s="55"/>
      <c r="AB33" s="55"/>
      <c r="AC33" s="55"/>
      <c r="AD33" s="55"/>
      <c r="AE33" s="55"/>
      <c r="AF33" s="55"/>
    </row>
    <row r="34" spans="1:32">
      <c r="A34" s="55"/>
      <c r="B34" s="55"/>
      <c r="C34" s="120"/>
      <c r="D34" s="123"/>
      <c r="E34" s="123"/>
      <c r="F34" s="120"/>
      <c r="G34" s="123"/>
      <c r="H34" s="123"/>
      <c r="I34" s="120"/>
      <c r="J34" s="120"/>
      <c r="K34" s="120"/>
      <c r="L34" s="120"/>
      <c r="M34" s="120"/>
      <c r="N34" s="120"/>
      <c r="O34" s="123"/>
      <c r="P34" s="123"/>
      <c r="Q34" s="123"/>
      <c r="R34" s="123"/>
      <c r="S34" s="123"/>
      <c r="T34" s="120"/>
      <c r="U34" s="123"/>
      <c r="V34" s="123"/>
      <c r="W34" s="123"/>
      <c r="X34" s="123"/>
      <c r="Y34" s="123"/>
      <c r="Z34" s="123"/>
      <c r="AA34" s="55"/>
      <c r="AB34" s="55"/>
      <c r="AC34" s="55"/>
      <c r="AD34" s="55"/>
      <c r="AE34" s="55"/>
      <c r="AF34" s="55"/>
    </row>
    <row r="35" spans="1:32">
      <c r="A35" s="55"/>
      <c r="B35" s="55"/>
      <c r="C35" s="120"/>
      <c r="D35" s="120"/>
      <c r="E35" s="120"/>
      <c r="F35" s="120"/>
      <c r="G35" s="123"/>
      <c r="H35" s="120"/>
      <c r="I35" s="120"/>
      <c r="J35" s="120"/>
      <c r="K35" s="120"/>
      <c r="L35" s="120"/>
      <c r="M35" s="120"/>
      <c r="N35" s="120"/>
      <c r="O35" s="120"/>
      <c r="P35" s="120"/>
      <c r="Q35" s="120"/>
      <c r="R35" s="120"/>
      <c r="S35" s="120"/>
      <c r="T35" s="120"/>
      <c r="U35" s="123"/>
      <c r="V35" s="123"/>
      <c r="W35" s="123"/>
      <c r="X35" s="123"/>
      <c r="Y35" s="123"/>
      <c r="Z35" s="123"/>
      <c r="AA35" s="55"/>
      <c r="AB35" s="55"/>
      <c r="AC35" s="55"/>
      <c r="AD35" s="55"/>
      <c r="AE35" s="55"/>
      <c r="AF35" s="55"/>
    </row>
    <row r="36" spans="1:32">
      <c r="A36" s="55"/>
      <c r="B36" s="55"/>
      <c r="C36" s="120"/>
      <c r="D36" s="120"/>
      <c r="E36" s="120"/>
      <c r="F36" s="120"/>
      <c r="G36" s="120"/>
      <c r="H36" s="120"/>
      <c r="I36" s="120"/>
      <c r="J36" s="120"/>
      <c r="K36" s="120"/>
      <c r="L36" s="120"/>
      <c r="M36" s="120"/>
      <c r="N36" s="120"/>
      <c r="O36" s="120"/>
      <c r="P36" s="120"/>
      <c r="Q36" s="120"/>
      <c r="R36" s="120"/>
      <c r="S36" s="120"/>
      <c r="T36" s="120"/>
      <c r="U36" s="123"/>
      <c r="V36" s="123"/>
      <c r="W36" s="123"/>
      <c r="X36" s="123"/>
      <c r="Y36" s="123"/>
      <c r="Z36" s="123"/>
      <c r="AA36" s="55"/>
      <c r="AB36" s="55"/>
      <c r="AC36" s="55"/>
      <c r="AD36" s="55"/>
      <c r="AE36" s="55"/>
      <c r="AF36" s="55"/>
    </row>
    <row r="37" spans="1:32">
      <c r="A37" s="55"/>
      <c r="B37" s="55"/>
      <c r="C37" s="120"/>
      <c r="D37" s="123"/>
      <c r="E37" s="123"/>
      <c r="F37" s="120"/>
      <c r="G37" s="123"/>
      <c r="H37" s="123"/>
      <c r="I37" s="120"/>
      <c r="J37" s="120"/>
      <c r="K37" s="120"/>
      <c r="L37" s="120"/>
      <c r="M37" s="120"/>
      <c r="N37" s="120"/>
      <c r="O37" s="123"/>
      <c r="P37" s="123"/>
      <c r="Q37" s="123"/>
      <c r="R37" s="123"/>
      <c r="S37" s="123"/>
      <c r="T37" s="120"/>
      <c r="U37" s="123"/>
      <c r="V37" s="123"/>
      <c r="W37" s="123"/>
      <c r="X37" s="123"/>
      <c r="Y37" s="123"/>
      <c r="Z37" s="123"/>
      <c r="AA37" s="55"/>
      <c r="AB37" s="55"/>
      <c r="AC37" s="55"/>
      <c r="AD37" s="55"/>
      <c r="AE37" s="55"/>
      <c r="AF37" s="55"/>
    </row>
    <row r="38" spans="1:32">
      <c r="A38" s="55"/>
      <c r="B38" s="55"/>
      <c r="C38" s="120"/>
      <c r="D38" s="123"/>
      <c r="E38" s="123"/>
      <c r="F38" s="120"/>
      <c r="G38" s="123"/>
      <c r="H38" s="123"/>
      <c r="I38" s="120"/>
      <c r="J38" s="120"/>
      <c r="K38" s="120"/>
      <c r="L38" s="120"/>
      <c r="M38" s="120"/>
      <c r="N38" s="120"/>
      <c r="O38" s="123"/>
      <c r="P38" s="123"/>
      <c r="Q38" s="123"/>
      <c r="R38" s="123"/>
      <c r="S38" s="123"/>
      <c r="T38" s="120"/>
      <c r="U38" s="123"/>
      <c r="V38" s="123"/>
      <c r="W38" s="123"/>
      <c r="X38" s="123"/>
      <c r="Y38" s="123"/>
      <c r="Z38" s="123"/>
      <c r="AA38" s="55"/>
      <c r="AB38" s="55"/>
      <c r="AC38" s="55"/>
      <c r="AD38" s="55"/>
      <c r="AE38" s="55"/>
      <c r="AF38" s="55"/>
    </row>
    <row r="39" spans="1:32">
      <c r="A39" s="55"/>
      <c r="B39" s="55"/>
      <c r="C39" s="120"/>
      <c r="D39" s="123"/>
      <c r="E39" s="123"/>
      <c r="F39" s="120"/>
      <c r="G39" s="123"/>
      <c r="H39" s="123"/>
      <c r="I39" s="120"/>
      <c r="J39" s="120"/>
      <c r="K39" s="120"/>
      <c r="L39" s="120"/>
      <c r="M39" s="120"/>
      <c r="N39" s="120"/>
      <c r="O39" s="123"/>
      <c r="P39" s="123"/>
      <c r="Q39" s="123"/>
      <c r="R39" s="123"/>
      <c r="S39" s="123"/>
      <c r="T39" s="120"/>
      <c r="U39" s="123"/>
      <c r="V39" s="123"/>
      <c r="W39" s="123"/>
      <c r="X39" s="123"/>
      <c r="Y39" s="123"/>
      <c r="Z39" s="123"/>
      <c r="AA39" s="55"/>
      <c r="AB39" s="55"/>
      <c r="AC39" s="55"/>
      <c r="AD39" s="55"/>
      <c r="AE39" s="55"/>
      <c r="AF39" s="55"/>
    </row>
    <row r="40" spans="1:32">
      <c r="A40" s="55"/>
      <c r="B40" s="55"/>
      <c r="C40" s="120"/>
      <c r="D40" s="123"/>
      <c r="E40" s="123"/>
      <c r="F40" s="120"/>
      <c r="G40" s="123"/>
      <c r="H40" s="123"/>
      <c r="I40" s="120"/>
      <c r="J40" s="120"/>
      <c r="K40" s="120"/>
      <c r="L40" s="120"/>
      <c r="M40" s="120"/>
      <c r="N40" s="120"/>
      <c r="O40" s="123"/>
      <c r="P40" s="123"/>
      <c r="Q40" s="123"/>
      <c r="R40" s="123"/>
      <c r="S40" s="123"/>
      <c r="T40" s="120"/>
      <c r="U40" s="123"/>
      <c r="V40" s="123"/>
      <c r="W40" s="123"/>
      <c r="X40" s="123"/>
      <c r="Y40" s="123"/>
      <c r="Z40" s="123"/>
      <c r="AA40" s="55"/>
      <c r="AB40" s="55"/>
      <c r="AC40" s="55"/>
      <c r="AD40" s="55"/>
      <c r="AE40" s="55"/>
      <c r="AF40" s="55"/>
    </row>
    <row r="41" spans="1:32">
      <c r="A41" s="55"/>
      <c r="B41" s="55"/>
      <c r="C41" s="120"/>
      <c r="D41" s="120"/>
      <c r="E41" s="120"/>
      <c r="F41" s="120"/>
      <c r="G41" s="123"/>
      <c r="H41" s="120"/>
      <c r="I41" s="120"/>
      <c r="J41" s="120"/>
      <c r="K41" s="120"/>
      <c r="L41" s="120"/>
      <c r="M41" s="120"/>
      <c r="N41" s="120"/>
      <c r="O41" s="120"/>
      <c r="P41" s="120"/>
      <c r="Q41" s="120"/>
      <c r="R41" s="120"/>
      <c r="S41" s="120"/>
      <c r="T41" s="120"/>
      <c r="U41" s="123"/>
      <c r="V41" s="123"/>
      <c r="W41" s="123"/>
      <c r="X41" s="123"/>
      <c r="Y41" s="123"/>
      <c r="Z41" s="123"/>
      <c r="AA41" s="55"/>
      <c r="AB41" s="55"/>
      <c r="AC41" s="55"/>
      <c r="AD41" s="55"/>
      <c r="AE41" s="55"/>
      <c r="AF41" s="55"/>
    </row>
    <row r="42" spans="1:32">
      <c r="C42" s="120"/>
      <c r="D42" s="120"/>
      <c r="E42" s="120"/>
      <c r="F42" s="120"/>
      <c r="G42" s="120"/>
      <c r="H42" s="120"/>
      <c r="I42" s="120"/>
      <c r="J42" s="120"/>
      <c r="K42" s="120"/>
      <c r="L42" s="120"/>
      <c r="M42" s="120"/>
      <c r="N42" s="120"/>
      <c r="O42" s="120"/>
      <c r="P42" s="120"/>
      <c r="Q42" s="120"/>
      <c r="R42" s="120"/>
      <c r="S42" s="120"/>
      <c r="T42" s="120"/>
      <c r="U42" s="123"/>
      <c r="V42" s="123"/>
      <c r="W42" s="123"/>
      <c r="X42" s="123"/>
      <c r="Y42" s="123"/>
      <c r="Z42" s="123"/>
    </row>
    <row r="43" spans="1:32">
      <c r="C43" s="120"/>
      <c r="D43" s="120"/>
      <c r="E43" s="120"/>
      <c r="F43" s="120"/>
      <c r="G43" s="120"/>
      <c r="H43" s="120"/>
      <c r="I43" s="120"/>
      <c r="J43" s="120"/>
      <c r="K43" s="120"/>
      <c r="L43" s="120"/>
      <c r="M43" s="120"/>
      <c r="N43" s="120"/>
      <c r="O43" s="120"/>
      <c r="P43" s="120"/>
      <c r="Q43" s="120"/>
      <c r="R43" s="120"/>
      <c r="S43" s="120"/>
      <c r="T43" s="120"/>
      <c r="U43" s="123"/>
      <c r="V43" s="123"/>
      <c r="W43" s="123"/>
      <c r="X43" s="123"/>
      <c r="Y43" s="123"/>
      <c r="Z43" s="123"/>
    </row>
    <row r="44" spans="1:32">
      <c r="C44" s="120"/>
      <c r="D44" s="123"/>
      <c r="E44" s="123"/>
      <c r="F44" s="120"/>
      <c r="G44" s="123"/>
      <c r="H44" s="123"/>
      <c r="I44" s="120"/>
      <c r="J44" s="120"/>
      <c r="K44" s="120"/>
      <c r="L44" s="120"/>
      <c r="M44" s="120"/>
      <c r="N44" s="120"/>
      <c r="O44" s="123"/>
      <c r="P44" s="123"/>
      <c r="Q44" s="123"/>
      <c r="R44" s="123"/>
      <c r="S44" s="123"/>
      <c r="T44" s="120"/>
      <c r="U44" s="123"/>
      <c r="V44" s="123"/>
      <c r="W44" s="123"/>
      <c r="X44" s="123"/>
      <c r="Y44" s="123"/>
      <c r="Z44" s="123"/>
    </row>
    <row r="45" spans="1:32">
      <c r="C45" s="120"/>
      <c r="D45" s="123"/>
      <c r="E45" s="123"/>
      <c r="F45" s="120"/>
      <c r="G45" s="123"/>
      <c r="H45" s="123"/>
      <c r="I45" s="120"/>
      <c r="J45" s="120"/>
      <c r="K45" s="120"/>
      <c r="L45" s="120"/>
      <c r="M45" s="120"/>
      <c r="N45" s="120"/>
      <c r="O45" s="123"/>
      <c r="P45" s="123"/>
      <c r="Q45" s="123"/>
      <c r="R45" s="123"/>
      <c r="S45" s="123"/>
      <c r="T45" s="120"/>
      <c r="U45" s="123"/>
      <c r="V45" s="123"/>
      <c r="W45" s="123"/>
      <c r="X45" s="123"/>
      <c r="Y45" s="123"/>
      <c r="Z45" s="123"/>
    </row>
    <row r="46" spans="1:32">
      <c r="C46" s="120"/>
      <c r="D46" s="123"/>
      <c r="E46" s="123"/>
      <c r="F46" s="120"/>
      <c r="G46" s="123"/>
      <c r="H46" s="123"/>
      <c r="I46" s="120"/>
      <c r="J46" s="120"/>
      <c r="K46" s="120"/>
      <c r="L46" s="120"/>
      <c r="M46" s="120"/>
      <c r="N46" s="120"/>
      <c r="O46" s="123"/>
      <c r="P46" s="123"/>
      <c r="Q46" s="123"/>
      <c r="R46" s="123"/>
      <c r="S46" s="123"/>
      <c r="T46" s="120"/>
      <c r="U46" s="123"/>
      <c r="V46" s="123"/>
      <c r="W46" s="123"/>
      <c r="X46" s="123"/>
      <c r="Y46" s="123"/>
      <c r="Z46" s="123"/>
    </row>
    <row r="47" spans="1:32">
      <c r="C47" s="120"/>
      <c r="D47" s="123"/>
      <c r="E47" s="123"/>
      <c r="F47" s="120"/>
      <c r="G47" s="123"/>
      <c r="H47" s="123"/>
      <c r="I47" s="120"/>
      <c r="J47" s="120"/>
      <c r="K47" s="120"/>
      <c r="L47" s="120"/>
      <c r="M47" s="120"/>
      <c r="N47" s="120"/>
      <c r="O47" s="123"/>
      <c r="P47" s="123"/>
      <c r="Q47" s="123"/>
      <c r="R47" s="123"/>
      <c r="S47" s="123"/>
      <c r="T47" s="120"/>
      <c r="U47" s="123"/>
      <c r="V47" s="123"/>
      <c r="W47" s="123"/>
      <c r="X47" s="123"/>
      <c r="Y47" s="123"/>
      <c r="Z47" s="123"/>
    </row>
    <row r="48" spans="1:32">
      <c r="C48" s="120"/>
      <c r="D48" s="123"/>
      <c r="E48" s="123"/>
      <c r="F48" s="120"/>
      <c r="G48" s="123"/>
      <c r="H48" s="123"/>
      <c r="I48" s="120"/>
      <c r="J48" s="120"/>
      <c r="K48" s="120"/>
      <c r="L48" s="120"/>
      <c r="M48" s="120"/>
      <c r="N48" s="120"/>
      <c r="O48" s="123"/>
      <c r="P48" s="123"/>
      <c r="Q48" s="123"/>
      <c r="R48" s="123"/>
      <c r="S48" s="123"/>
      <c r="T48" s="120"/>
      <c r="U48" s="123"/>
      <c r="V48" s="123"/>
      <c r="W48" s="123"/>
      <c r="X48" s="123"/>
      <c r="Y48" s="123"/>
      <c r="Z48" s="123"/>
    </row>
    <row r="49" spans="3:26">
      <c r="C49" s="120"/>
      <c r="D49" s="123"/>
      <c r="E49" s="123"/>
      <c r="F49" s="120"/>
      <c r="G49" s="123"/>
      <c r="H49" s="123"/>
      <c r="I49" s="120"/>
      <c r="J49" s="120"/>
      <c r="K49" s="120"/>
      <c r="L49" s="120"/>
      <c r="M49" s="120"/>
      <c r="N49" s="120"/>
      <c r="O49" s="123"/>
      <c r="P49" s="123"/>
      <c r="Q49" s="123"/>
      <c r="R49" s="123"/>
      <c r="S49" s="123"/>
      <c r="T49" s="120"/>
      <c r="U49" s="123"/>
      <c r="V49" s="123"/>
      <c r="W49" s="123"/>
      <c r="X49" s="123"/>
      <c r="Y49" s="123"/>
      <c r="Z49" s="123"/>
    </row>
    <row r="50" spans="3:26">
      <c r="C50" s="120"/>
      <c r="D50" s="123"/>
      <c r="E50" s="123"/>
      <c r="F50" s="120"/>
      <c r="G50" s="123"/>
      <c r="H50" s="123"/>
      <c r="I50" s="120"/>
      <c r="J50" s="120"/>
      <c r="K50" s="120"/>
      <c r="L50" s="120"/>
      <c r="M50" s="120"/>
      <c r="N50" s="120"/>
      <c r="O50" s="123"/>
      <c r="P50" s="123"/>
      <c r="Q50" s="123"/>
      <c r="R50" s="123"/>
      <c r="S50" s="123"/>
      <c r="T50" s="120"/>
      <c r="U50" s="123"/>
      <c r="V50" s="123"/>
      <c r="W50" s="123"/>
      <c r="X50" s="123"/>
      <c r="Y50" s="123"/>
      <c r="Z50" s="123"/>
    </row>
    <row r="51" spans="3:26">
      <c r="C51" s="120"/>
      <c r="D51" s="123"/>
      <c r="E51" s="123"/>
      <c r="F51" s="120"/>
      <c r="G51" s="123"/>
      <c r="H51" s="123"/>
      <c r="I51" s="120"/>
      <c r="J51" s="120"/>
      <c r="K51" s="120"/>
      <c r="L51" s="120"/>
      <c r="M51" s="120"/>
      <c r="N51" s="120"/>
      <c r="O51" s="123"/>
      <c r="P51" s="123"/>
      <c r="Q51" s="123"/>
      <c r="R51" s="123"/>
      <c r="S51" s="123"/>
      <c r="T51" s="120"/>
      <c r="U51" s="123"/>
      <c r="V51" s="123"/>
      <c r="W51" s="123"/>
      <c r="X51" s="123"/>
      <c r="Y51" s="123"/>
      <c r="Z51" s="123"/>
    </row>
    <row r="52" spans="3:26">
      <c r="C52" s="120"/>
      <c r="D52" s="120"/>
      <c r="E52" s="120"/>
      <c r="F52" s="120"/>
      <c r="G52" s="123"/>
      <c r="H52" s="120"/>
      <c r="I52" s="120"/>
      <c r="J52" s="120"/>
      <c r="K52" s="120"/>
      <c r="L52" s="120"/>
      <c r="M52" s="120"/>
      <c r="N52" s="120"/>
      <c r="O52" s="120"/>
      <c r="P52" s="120"/>
      <c r="Q52" s="120"/>
      <c r="R52" s="120"/>
      <c r="S52" s="120"/>
      <c r="T52" s="120"/>
      <c r="U52" s="123"/>
      <c r="V52" s="123"/>
      <c r="W52" s="123"/>
      <c r="X52" s="123"/>
      <c r="Y52" s="123"/>
      <c r="Z52" s="123"/>
    </row>
    <row r="53" spans="3:26">
      <c r="C53" s="120"/>
      <c r="D53" s="120"/>
      <c r="E53" s="120"/>
      <c r="F53" s="120"/>
      <c r="G53" s="120"/>
      <c r="H53" s="120"/>
      <c r="I53" s="120"/>
      <c r="J53" s="120"/>
      <c r="K53" s="120"/>
      <c r="L53" s="120"/>
      <c r="M53" s="120"/>
      <c r="N53" s="120"/>
      <c r="O53" s="120"/>
      <c r="P53" s="120"/>
      <c r="Q53" s="120"/>
      <c r="R53" s="120"/>
      <c r="S53" s="120"/>
      <c r="T53" s="120"/>
      <c r="U53" s="123"/>
      <c r="V53" s="123"/>
      <c r="W53" s="123"/>
      <c r="X53" s="123"/>
      <c r="Y53" s="123"/>
      <c r="Z53" s="123"/>
    </row>
    <row r="54" spans="3:26">
      <c r="C54" s="120"/>
      <c r="D54" s="120"/>
      <c r="E54" s="120"/>
      <c r="F54" s="120"/>
      <c r="G54" s="120"/>
      <c r="H54" s="120"/>
      <c r="I54" s="120"/>
      <c r="J54" s="120"/>
      <c r="K54" s="120"/>
      <c r="L54" s="120"/>
      <c r="M54" s="120"/>
      <c r="N54" s="120"/>
      <c r="O54" s="120"/>
      <c r="P54" s="120"/>
      <c r="Q54" s="120"/>
      <c r="R54" s="120"/>
      <c r="S54" s="120"/>
      <c r="T54" s="120"/>
      <c r="U54" s="123"/>
      <c r="V54" s="123"/>
      <c r="W54" s="123"/>
      <c r="X54" s="123"/>
      <c r="Y54" s="123"/>
      <c r="Z54"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23.xml><?xml version="1.0" encoding="utf-8"?>
<worksheet xmlns="http://schemas.openxmlformats.org/spreadsheetml/2006/main" xmlns:r="http://schemas.openxmlformats.org/officeDocument/2006/relationships">
  <dimension ref="A1:HH75"/>
  <sheetViews>
    <sheetView zoomScale="75" workbookViewId="0">
      <selection activeCell="B73" sqref="B73"/>
    </sheetView>
  </sheetViews>
  <sheetFormatPr defaultColWidth="11.42578125" defaultRowHeight="12.75"/>
  <cols>
    <col min="1" max="1" width="15.85546875" customWidth="1"/>
    <col min="2" max="2" width="13.5703125" customWidth="1"/>
    <col min="3" max="3" width="40" customWidth="1"/>
    <col min="4" max="4" width="12.140625" customWidth="1"/>
    <col min="5" max="5" width="11.5703125" bestFit="1" customWidth="1"/>
    <col min="6" max="6" width="9.7109375" bestFit="1" customWidth="1"/>
    <col min="7" max="22" width="11.42578125" customWidth="1"/>
    <col min="23" max="23" width="12.7109375" customWidth="1"/>
  </cols>
  <sheetData>
    <row r="1" spans="1:29" ht="18">
      <c r="A1" s="10" t="s">
        <v>102</v>
      </c>
      <c r="D1" t="s">
        <v>250</v>
      </c>
    </row>
    <row r="2" spans="1:29" s="22" customFormat="1" ht="18">
      <c r="A2" s="83"/>
      <c r="D2" s="245"/>
      <c r="E2" s="74"/>
      <c r="F2" s="74"/>
      <c r="G2" s="74"/>
      <c r="H2" s="74"/>
      <c r="J2" s="56"/>
      <c r="Z2">
        <f ca="1">MATCH(LEFT(B6,3),OFFSET(CalibData!$C$78,1,0,100),0)</f>
        <v>49</v>
      </c>
    </row>
    <row r="3" spans="1:29" ht="18">
      <c r="A3" s="10"/>
      <c r="B3" s="16"/>
      <c r="C3" s="17"/>
      <c r="D3" s="245"/>
      <c r="O3" s="18">
        <v>1</v>
      </c>
      <c r="P3" t="s">
        <v>666</v>
      </c>
      <c r="Z3">
        <v>0</v>
      </c>
      <c r="AA3" s="358">
        <v>1</v>
      </c>
    </row>
    <row r="4" spans="1:29" ht="18">
      <c r="B4" s="131" t="s">
        <v>594</v>
      </c>
      <c r="C4" s="98"/>
      <c r="D4" s="252" t="str">
        <f>"~FI_T: "&amp;Region</f>
        <v>~FI_T: FIN</v>
      </c>
      <c r="E4" s="4" t="s">
        <v>250</v>
      </c>
      <c r="R4" s="4"/>
      <c r="S4" s="4"/>
      <c r="Y4" s="294"/>
    </row>
    <row r="5" spans="1:29" ht="53.25" customHeight="1" thickBot="1">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"RESID~"&amp;CEILING(AuxYear+12,5)</f>
        <v>RESID~2030</v>
      </c>
      <c r="S5" s="52" t="str">
        <f ca="1">"RESID~"&amp;CEILING(AuxYear+29,5)</f>
        <v>RESID~2050</v>
      </c>
      <c r="T5" s="52" t="s">
        <v>537</v>
      </c>
      <c r="U5" s="52" t="s">
        <v>778</v>
      </c>
      <c r="V5" s="257" t="s">
        <v>381</v>
      </c>
      <c r="X5" s="427" t="s">
        <v>995</v>
      </c>
      <c r="Y5" s="427" t="s">
        <v>996</v>
      </c>
      <c r="Z5" s="427" t="s">
        <v>997</v>
      </c>
      <c r="AA5" s="427" t="s">
        <v>998</v>
      </c>
      <c r="AC5" s="120"/>
    </row>
    <row r="6" spans="1:29" ht="15.75" customHeight="1">
      <c r="B6" s="273" t="s">
        <v>302</v>
      </c>
      <c r="C6" s="424" t="s">
        <v>677</v>
      </c>
      <c r="D6" s="82" t="str">
        <f ca="1">IEAData!H102</f>
        <v>COMKER</v>
      </c>
      <c r="E6" s="103">
        <f ca="1">IEAData!E175</f>
        <v>0</v>
      </c>
      <c r="F6" s="103">
        <f ca="1">AuxData!E175</f>
        <v>0</v>
      </c>
      <c r="G6" s="167">
        <v>0.7</v>
      </c>
      <c r="H6" s="343" t="str">
        <f t="shared" ref="H6:H11" si="0">RIGHT(D6,3)</f>
        <v>KER</v>
      </c>
      <c r="I6" s="81">
        <v>1</v>
      </c>
      <c r="J6" s="6">
        <f t="shared" ref="J6:J11" si="1">G6*I6</f>
        <v>0.7</v>
      </c>
      <c r="K6" s="38">
        <f t="shared" ref="K6:K11" ca="1" si="2">F6*J6</f>
        <v>0</v>
      </c>
      <c r="L6" s="19">
        <v>1</v>
      </c>
      <c r="M6" s="116">
        <v>1</v>
      </c>
      <c r="N6" s="116">
        <v>15</v>
      </c>
      <c r="O6" s="161">
        <f t="shared" ref="O6:O11" ca="1" si="3">E6*J6/$M6</f>
        <v>0</v>
      </c>
      <c r="P6" s="104">
        <f t="shared" ref="P6:P11" ca="1" si="4">F6*J6/$M6</f>
        <v>0</v>
      </c>
      <c r="Q6" s="486">
        <f t="shared" ref="Q6:R11" ca="1" si="5">$P6*X6</f>
        <v>0</v>
      </c>
      <c r="R6" s="486">
        <f t="shared" ca="1" si="5"/>
        <v>0</v>
      </c>
      <c r="S6" s="168"/>
      <c r="T6" s="116"/>
      <c r="U6" s="116"/>
      <c r="V6" s="258">
        <f t="shared" ref="V6:V11" ca="1" si="6">IF($E$12=0,0,E6/$E$12)</f>
        <v>0</v>
      </c>
      <c r="X6" s="468">
        <v>0.3</v>
      </c>
      <c r="Y6" s="468">
        <v>0</v>
      </c>
      <c r="Z6" s="436"/>
      <c r="AA6" s="436"/>
    </row>
    <row r="7" spans="1:29" ht="15.75" customHeight="1">
      <c r="B7" s="265" t="s">
        <v>145</v>
      </c>
      <c r="C7" s="402" t="s">
        <v>138</v>
      </c>
      <c r="D7" s="36" t="s">
        <v>832</v>
      </c>
      <c r="E7" s="64">
        <f ca="1">Z7*IEAData!$E$179</f>
        <v>0.75147898203806895</v>
      </c>
      <c r="F7" s="64">
        <f ca="1">AA7*AuxData!$E$179</f>
        <v>0.51018673441359308</v>
      </c>
      <c r="G7" s="53">
        <v>1</v>
      </c>
      <c r="H7" s="343" t="str">
        <f t="shared" si="0"/>
        <v>ELC</v>
      </c>
      <c r="I7" s="81">
        <v>1</v>
      </c>
      <c r="J7" s="6">
        <f t="shared" si="1"/>
        <v>1</v>
      </c>
      <c r="K7" s="38">
        <f t="shared" ca="1" si="2"/>
        <v>0.51018673441359308</v>
      </c>
      <c r="L7" s="19">
        <v>1</v>
      </c>
      <c r="M7" s="411">
        <v>1</v>
      </c>
      <c r="N7" s="489">
        <v>15</v>
      </c>
      <c r="O7" s="161">
        <f t="shared" ca="1" si="3"/>
        <v>0.75147898203806895</v>
      </c>
      <c r="P7" s="104">
        <f t="shared" ca="1" si="4"/>
        <v>0.51018673441359308</v>
      </c>
      <c r="Q7" s="487">
        <f t="shared" ca="1" si="5"/>
        <v>0</v>
      </c>
      <c r="R7" s="487">
        <f t="shared" ca="1" si="5"/>
        <v>0</v>
      </c>
      <c r="S7" s="169"/>
      <c r="T7" s="40"/>
      <c r="U7" s="40"/>
      <c r="V7" s="258">
        <f t="shared" ca="1" si="6"/>
        <v>5.9999999999999984E-2</v>
      </c>
      <c r="X7" s="444">
        <v>0</v>
      </c>
      <c r="Y7" s="444">
        <v>0</v>
      </c>
      <c r="Z7" s="439">
        <f t="array" aca="1" ref="Z7:Z10" ca="1">OFFSET(TechShar,$Z$2,Z$3,4)</f>
        <v>0.06</v>
      </c>
      <c r="AA7" s="364">
        <f t="array" aca="1" ref="AA7:AA10" ca="1">OFFSET(TechShar,$Z$2,AA$3,4)</f>
        <v>0.04</v>
      </c>
    </row>
    <row r="8" spans="1:29" ht="15.75" customHeight="1">
      <c r="B8" s="265" t="s">
        <v>146</v>
      </c>
      <c r="C8" s="402" t="s">
        <v>139</v>
      </c>
      <c r="D8" s="36" t="s">
        <v>832</v>
      </c>
      <c r="E8" s="64">
        <f ca="1">Z8*IEAData!$E$179</f>
        <v>0.12524649700634485</v>
      </c>
      <c r="F8" s="64">
        <f ca="1">AA8*AuxData!$E$179</f>
        <v>0.25509336720679654</v>
      </c>
      <c r="G8" s="53">
        <v>2</v>
      </c>
      <c r="H8" s="343" t="str">
        <f t="shared" si="0"/>
        <v>ELC</v>
      </c>
      <c r="I8" s="81">
        <v>1</v>
      </c>
      <c r="J8" s="6">
        <f t="shared" si="1"/>
        <v>2</v>
      </c>
      <c r="K8" s="38">
        <f t="shared" ca="1" si="2"/>
        <v>0.51018673441359308</v>
      </c>
      <c r="L8" s="19">
        <v>1</v>
      </c>
      <c r="M8" s="411">
        <v>1</v>
      </c>
      <c r="N8" s="489">
        <v>15</v>
      </c>
      <c r="O8" s="161">
        <f t="shared" ca="1" si="3"/>
        <v>0.25049299401268971</v>
      </c>
      <c r="P8" s="104">
        <f t="shared" ca="1" si="4"/>
        <v>0.51018673441359308</v>
      </c>
      <c r="Q8" s="487">
        <f t="shared" ca="1" si="5"/>
        <v>0</v>
      </c>
      <c r="R8" s="487">
        <f t="shared" ca="1" si="5"/>
        <v>0</v>
      </c>
      <c r="S8" s="169"/>
      <c r="T8" s="40"/>
      <c r="U8" s="18"/>
      <c r="V8" s="258">
        <f t="shared" ca="1" si="6"/>
        <v>0.01</v>
      </c>
      <c r="X8" s="444">
        <v>0</v>
      </c>
      <c r="Y8" s="444">
        <v>0</v>
      </c>
      <c r="Z8" s="439">
        <f ca="1"/>
        <v>0.01</v>
      </c>
      <c r="AA8" s="364">
        <f ca="1"/>
        <v>0.02</v>
      </c>
    </row>
    <row r="9" spans="1:29" ht="15.75" customHeight="1">
      <c r="B9" s="265" t="s">
        <v>261</v>
      </c>
      <c r="C9" s="402" t="s">
        <v>140</v>
      </c>
      <c r="D9" s="36" t="s">
        <v>832</v>
      </c>
      <c r="E9" s="64">
        <f ca="1">Z9*IEAData!$E$179</f>
        <v>0.62623248503172424</v>
      </c>
      <c r="F9" s="64">
        <f ca="1">AA9*AuxData!$E$179</f>
        <v>0.63773341801699135</v>
      </c>
      <c r="G9" s="53">
        <v>7</v>
      </c>
      <c r="H9" s="343" t="str">
        <f t="shared" si="0"/>
        <v>ELC</v>
      </c>
      <c r="I9" s="81">
        <v>1</v>
      </c>
      <c r="J9" s="6">
        <f t="shared" si="1"/>
        <v>7</v>
      </c>
      <c r="K9" s="38">
        <f t="shared" ca="1" si="2"/>
        <v>4.4641339261189392</v>
      </c>
      <c r="L9" s="19">
        <v>1</v>
      </c>
      <c r="M9" s="411">
        <v>1</v>
      </c>
      <c r="N9" s="489">
        <v>15</v>
      </c>
      <c r="O9" s="161">
        <f t="shared" ca="1" si="3"/>
        <v>4.3836273952220699</v>
      </c>
      <c r="P9" s="104">
        <f t="shared" ca="1" si="4"/>
        <v>4.4641339261189392</v>
      </c>
      <c r="Q9" s="487">
        <f t="shared" ca="1" si="5"/>
        <v>1.3392401778356817</v>
      </c>
      <c r="R9" s="487">
        <f t="shared" ca="1" si="5"/>
        <v>0</v>
      </c>
      <c r="S9" s="169"/>
      <c r="T9" s="40"/>
      <c r="U9" s="81"/>
      <c r="V9" s="258">
        <f t="shared" ca="1" si="6"/>
        <v>4.9999999999999996E-2</v>
      </c>
      <c r="X9" s="444">
        <v>0.3</v>
      </c>
      <c r="Y9" s="444">
        <v>0</v>
      </c>
      <c r="Z9" s="439">
        <f ca="1"/>
        <v>0.05</v>
      </c>
      <c r="AA9" s="364">
        <f ca="1"/>
        <v>0.05</v>
      </c>
    </row>
    <row r="10" spans="1:29" ht="15.75" customHeight="1">
      <c r="B10" s="265" t="s">
        <v>147</v>
      </c>
      <c r="C10" s="402" t="s">
        <v>141</v>
      </c>
      <c r="D10" s="36" t="s">
        <v>832</v>
      </c>
      <c r="E10" s="64">
        <f ca="1">Z10*IEAData!$E$179</f>
        <v>9.8944732635012436</v>
      </c>
      <c r="F10" s="64">
        <f ca="1">AA10*AuxData!$E$179</f>
        <v>9.5660012702548691</v>
      </c>
      <c r="G10" s="53">
        <v>4.5</v>
      </c>
      <c r="H10" s="343" t="str">
        <f t="shared" si="0"/>
        <v>ELC</v>
      </c>
      <c r="I10" s="81">
        <v>1</v>
      </c>
      <c r="J10" s="6">
        <f t="shared" si="1"/>
        <v>4.5</v>
      </c>
      <c r="K10" s="38">
        <f t="shared" ca="1" si="2"/>
        <v>43.047005716146913</v>
      </c>
      <c r="L10" s="19">
        <v>1</v>
      </c>
      <c r="M10" s="411">
        <v>1</v>
      </c>
      <c r="N10" s="489">
        <v>15</v>
      </c>
      <c r="O10" s="161">
        <f t="shared" ca="1" si="3"/>
        <v>44.525129685755594</v>
      </c>
      <c r="P10" s="104">
        <f t="shared" ca="1" si="4"/>
        <v>43.047005716146913</v>
      </c>
      <c r="Q10" s="487">
        <f t="shared" ca="1" si="5"/>
        <v>12.914101714844074</v>
      </c>
      <c r="R10" s="487">
        <f t="shared" ca="1" si="5"/>
        <v>0</v>
      </c>
      <c r="S10" s="169"/>
      <c r="T10" s="40"/>
      <c r="U10" s="81"/>
      <c r="V10" s="258">
        <f t="shared" ca="1" si="6"/>
        <v>0.79</v>
      </c>
      <c r="X10" s="444">
        <v>0.3</v>
      </c>
      <c r="Y10" s="444">
        <v>0</v>
      </c>
      <c r="Z10" s="439">
        <f ca="1"/>
        <v>0.79</v>
      </c>
      <c r="AA10" s="364">
        <f ca="1"/>
        <v>0.75</v>
      </c>
    </row>
    <row r="11" spans="1:29" ht="15.75" customHeight="1" thickBot="1">
      <c r="B11" s="266" t="s">
        <v>988</v>
      </c>
      <c r="C11" s="403" t="s">
        <v>989</v>
      </c>
      <c r="D11" s="24" t="s">
        <v>832</v>
      </c>
      <c r="E11" s="34">
        <f ca="1">Z11*IEAData!$E$179</f>
        <v>1.1272184730571031</v>
      </c>
      <c r="F11" s="34">
        <f ca="1">AA11*AuxData!$E$179</f>
        <v>1.7856535704475758</v>
      </c>
      <c r="G11" s="54">
        <v>9</v>
      </c>
      <c r="H11" s="343" t="str">
        <f t="shared" si="0"/>
        <v>ELC</v>
      </c>
      <c r="I11" s="81">
        <v>1</v>
      </c>
      <c r="J11" s="6">
        <f t="shared" si="1"/>
        <v>9</v>
      </c>
      <c r="K11" s="38">
        <f t="shared" ca="1" si="2"/>
        <v>16.070882134028182</v>
      </c>
      <c r="L11" s="73">
        <v>1</v>
      </c>
      <c r="M11" s="416">
        <v>1</v>
      </c>
      <c r="N11" s="490">
        <v>15</v>
      </c>
      <c r="O11" s="162">
        <f t="shared" ca="1" si="3"/>
        <v>10.144966257513929</v>
      </c>
      <c r="P11" s="104">
        <f t="shared" ca="1" si="4"/>
        <v>16.070882134028182</v>
      </c>
      <c r="Q11" s="488">
        <f t="shared" ca="1" si="5"/>
        <v>8.0354410670140908</v>
      </c>
      <c r="R11" s="488">
        <f t="shared" ca="1" si="5"/>
        <v>0</v>
      </c>
      <c r="S11" s="170"/>
      <c r="T11" s="54"/>
      <c r="U11" s="20"/>
      <c r="V11" s="258">
        <f t="shared" ca="1" si="6"/>
        <v>8.9999999999999955E-2</v>
      </c>
      <c r="X11" s="444">
        <v>0.5</v>
      </c>
      <c r="Y11" s="444">
        <v>0</v>
      </c>
      <c r="Z11" s="440">
        <f ca="1">1-SUM(Z7:Z10)</f>
        <v>8.9999999999999969E-2</v>
      </c>
      <c r="AA11" s="440">
        <f ca="1">1-SUM(AA7:AA10)</f>
        <v>0.14000000000000001</v>
      </c>
    </row>
    <row r="12" spans="1:29" ht="14.25">
      <c r="A12" t="s">
        <v>250</v>
      </c>
      <c r="B12" s="434" t="s">
        <v>999</v>
      </c>
      <c r="C12" s="190" t="s">
        <v>103</v>
      </c>
      <c r="D12" s="190"/>
      <c r="E12" s="191">
        <f ca="1">SUM(E6:E11)</f>
        <v>12.524649700634486</v>
      </c>
      <c r="F12" s="191">
        <f ca="1">SUM(F6:F11)</f>
        <v>12.754668360339826</v>
      </c>
      <c r="G12" s="191"/>
      <c r="H12" s="421">
        <f ca="1">SUMPRODUCT(E$6:E11,J$6:J11)</f>
        <v>60.055695314542348</v>
      </c>
      <c r="I12" s="190"/>
      <c r="J12" s="193"/>
      <c r="K12" s="191">
        <f ca="1">SUM(K7:K11)</f>
        <v>64.602395245121215</v>
      </c>
      <c r="L12" s="190"/>
      <c r="M12" s="190"/>
      <c r="N12" s="191"/>
      <c r="O12" s="192">
        <f ca="1">SUM(O7:O11)</f>
        <v>60.055695314542348</v>
      </c>
      <c r="P12" s="190"/>
      <c r="Q12" s="190"/>
      <c r="R12" s="192"/>
      <c r="S12" s="190"/>
      <c r="T12" s="190"/>
      <c r="U12" s="190"/>
      <c r="V12" s="258">
        <f ca="1">SUM(V6:V11)</f>
        <v>1</v>
      </c>
      <c r="X12" s="190"/>
      <c r="Y12" s="190"/>
      <c r="Z12" s="190"/>
      <c r="AA12" s="190"/>
    </row>
    <row r="13" spans="1:29">
      <c r="B13" s="123"/>
      <c r="C13" s="55"/>
      <c r="D13" s="55"/>
      <c r="E13" s="57"/>
      <c r="F13" s="57"/>
      <c r="G13" s="57"/>
      <c r="H13" s="57"/>
      <c r="I13" s="55"/>
      <c r="J13" s="254"/>
      <c r="K13" s="57"/>
      <c r="L13" s="55"/>
      <c r="M13" s="55"/>
      <c r="N13" s="57"/>
      <c r="O13" s="161"/>
      <c r="P13" s="55"/>
      <c r="Q13" s="55"/>
      <c r="R13" s="161"/>
      <c r="S13" s="55"/>
      <c r="T13" s="55"/>
      <c r="U13" s="55"/>
    </row>
    <row r="14" spans="1:29">
      <c r="B14" s="123"/>
      <c r="C14" s="55"/>
      <c r="D14" s="55"/>
      <c r="E14" s="57"/>
      <c r="F14" s="57"/>
      <c r="G14" s="57"/>
      <c r="H14" s="57"/>
      <c r="I14" s="55"/>
      <c r="J14" s="254"/>
      <c r="K14" s="57"/>
      <c r="L14" s="55"/>
      <c r="M14" s="55"/>
      <c r="N14" s="57"/>
      <c r="O14" s="161"/>
      <c r="P14" s="55"/>
      <c r="Q14" s="55"/>
      <c r="R14" s="161"/>
      <c r="S14" s="55"/>
      <c r="T14" s="55"/>
      <c r="U14" s="55"/>
    </row>
    <row r="15" spans="1:29">
      <c r="B15" s="123"/>
      <c r="C15" s="55"/>
      <c r="D15" s="55"/>
      <c r="E15" s="57"/>
      <c r="F15" s="57"/>
      <c r="G15" s="57"/>
      <c r="H15" s="57"/>
      <c r="I15" s="55"/>
      <c r="J15" s="254"/>
      <c r="K15" s="57"/>
      <c r="L15" s="55"/>
      <c r="M15" s="55"/>
      <c r="N15" s="57"/>
      <c r="O15" s="161"/>
      <c r="P15" s="55"/>
      <c r="Q15" s="55"/>
      <c r="R15" s="161"/>
      <c r="S15" s="55"/>
      <c r="T15" s="55"/>
      <c r="U15" s="55"/>
    </row>
    <row r="16" spans="1:29">
      <c r="B16" s="123"/>
      <c r="C16" s="55"/>
      <c r="D16" s="55"/>
      <c r="E16" s="57"/>
      <c r="F16" s="57"/>
      <c r="G16" s="57"/>
      <c r="H16" s="57"/>
      <c r="I16" s="55"/>
      <c r="J16" s="254"/>
      <c r="K16" s="57"/>
      <c r="L16" s="55"/>
      <c r="M16" s="55"/>
      <c r="N16" s="57"/>
      <c r="O16" s="161"/>
      <c r="P16" s="55"/>
      <c r="Q16" s="55"/>
      <c r="R16" s="161"/>
      <c r="S16" s="55"/>
      <c r="T16" s="55"/>
      <c r="U16" s="55"/>
    </row>
    <row r="17" spans="1:21">
      <c r="B17" s="123"/>
      <c r="C17" s="55"/>
      <c r="D17" s="256"/>
      <c r="E17" s="57"/>
      <c r="F17" s="57"/>
      <c r="G17" s="55"/>
      <c r="H17" s="55"/>
      <c r="I17" s="57"/>
      <c r="J17" s="161"/>
      <c r="K17" s="55"/>
      <c r="L17" s="55"/>
      <c r="R17" s="161"/>
      <c r="S17" s="55"/>
      <c r="T17" s="55"/>
      <c r="U17" s="55"/>
    </row>
    <row r="18" spans="1:21" ht="18">
      <c r="B18" s="155" t="s">
        <v>592</v>
      </c>
      <c r="C18" s="156"/>
      <c r="D18" s="252"/>
    </row>
    <row r="19" spans="1:21" ht="13.5" thickBot="1">
      <c r="B19" s="27" t="s">
        <v>384</v>
      </c>
      <c r="C19" s="27" t="s">
        <v>385</v>
      </c>
      <c r="D19" s="27" t="s">
        <v>243</v>
      </c>
      <c r="E19" s="344" t="s">
        <v>942</v>
      </c>
      <c r="F19" s="344" t="s">
        <v>942</v>
      </c>
      <c r="G19" s="27"/>
    </row>
    <row r="20" spans="1:21" ht="22.5" customHeight="1">
      <c r="A20" s="7"/>
      <c r="B20" s="80" t="s">
        <v>103</v>
      </c>
      <c r="C20" s="28" t="s">
        <v>102</v>
      </c>
      <c r="D20" s="95" t="s">
        <v>249</v>
      </c>
      <c r="E20" s="63">
        <f ca="1">H12</f>
        <v>60.055695314542348</v>
      </c>
      <c r="F20" s="63">
        <f ca="1">SUMPRODUCT(F6:F11,J6:J11)</f>
        <v>64.602395245121215</v>
      </c>
      <c r="G20" s="18"/>
    </row>
    <row r="24" spans="1:21" ht="30.6" customHeight="1"/>
    <row r="38" spans="3:216">
      <c r="C38" s="120"/>
      <c r="D38" s="123"/>
      <c r="E38" s="123"/>
      <c r="F38" s="120"/>
      <c r="G38" s="123"/>
      <c r="H38" s="120"/>
      <c r="I38" s="123"/>
      <c r="J38" s="123"/>
      <c r="K38" s="123"/>
      <c r="L38" s="123"/>
      <c r="M38" s="123"/>
      <c r="N38" s="123"/>
      <c r="O38" s="123"/>
      <c r="P38" s="123"/>
      <c r="Q38" s="123"/>
      <c r="R38" s="124"/>
      <c r="S38" s="124"/>
      <c r="T38" s="123"/>
      <c r="U38" s="123"/>
      <c r="V38" s="123"/>
      <c r="W38" s="123"/>
      <c r="X38" s="123"/>
      <c r="Y38" s="123"/>
      <c r="Z38" s="123"/>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c r="FQ38" s="55"/>
      <c r="FR38" s="55"/>
      <c r="FS38" s="55"/>
      <c r="FT38" s="55"/>
      <c r="FU38" s="55"/>
      <c r="FV38" s="55"/>
      <c r="FW38" s="55"/>
      <c r="FX38" s="55"/>
      <c r="FY38" s="55"/>
      <c r="FZ38" s="55"/>
      <c r="GA38" s="55"/>
      <c r="GB38" s="55"/>
      <c r="GC38" s="55"/>
      <c r="GD38" s="55"/>
      <c r="GE38" s="55"/>
      <c r="GF38" s="55"/>
      <c r="GG38" s="55"/>
      <c r="GH38" s="55"/>
      <c r="GI38" s="55"/>
      <c r="GJ38" s="55"/>
      <c r="GK38" s="55"/>
      <c r="GL38" s="55"/>
      <c r="GM38" s="55"/>
      <c r="GN38" s="55"/>
      <c r="GO38" s="55"/>
      <c r="GP38" s="55"/>
      <c r="GQ38" s="55"/>
      <c r="GR38" s="55"/>
      <c r="GS38" s="55"/>
      <c r="GT38" s="55"/>
      <c r="GU38" s="55"/>
      <c r="GV38" s="55"/>
      <c r="GW38" s="55"/>
      <c r="GX38" s="55"/>
      <c r="GY38" s="55"/>
      <c r="GZ38" s="55"/>
      <c r="HA38" s="55"/>
      <c r="HB38" s="55"/>
      <c r="HC38" s="55"/>
      <c r="HD38" s="55"/>
      <c r="HE38" s="55"/>
      <c r="HF38" s="55"/>
      <c r="HG38" s="55"/>
      <c r="HH38" s="55"/>
    </row>
    <row r="39" spans="3:216">
      <c r="C39" s="176"/>
      <c r="D39" s="176"/>
      <c r="E39" s="176"/>
      <c r="F39" s="176"/>
      <c r="G39" s="176"/>
      <c r="H39" s="176"/>
      <c r="I39" s="176"/>
      <c r="J39" s="176"/>
      <c r="K39" s="176"/>
      <c r="L39" s="176"/>
      <c r="M39" s="176"/>
      <c r="N39" s="176"/>
      <c r="O39" s="176"/>
      <c r="P39" s="180"/>
      <c r="Q39" s="176"/>
      <c r="R39" s="176"/>
      <c r="S39" s="176"/>
      <c r="T39" s="176"/>
      <c r="U39" s="176"/>
      <c r="V39" s="176"/>
      <c r="W39" s="176"/>
      <c r="X39" s="176"/>
      <c r="Y39" s="177"/>
      <c r="Z39" s="176"/>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c r="FQ39" s="55"/>
      <c r="FR39" s="55"/>
      <c r="FS39" s="55"/>
      <c r="FT39" s="55"/>
      <c r="FU39" s="55"/>
      <c r="FV39" s="55"/>
      <c r="FW39" s="55"/>
      <c r="FX39" s="55"/>
      <c r="FY39" s="55"/>
      <c r="FZ39" s="55"/>
      <c r="GA39" s="55"/>
      <c r="GB39" s="55"/>
      <c r="GC39" s="55"/>
      <c r="GD39" s="55"/>
      <c r="GE39" s="55"/>
      <c r="GF39" s="55"/>
      <c r="GG39" s="55"/>
      <c r="GH39" s="55"/>
      <c r="GI39" s="55"/>
      <c r="GJ39" s="55"/>
      <c r="GK39" s="55"/>
      <c r="GL39" s="55"/>
      <c r="GM39" s="55"/>
      <c r="GN39" s="55"/>
      <c r="GO39" s="55"/>
      <c r="GP39" s="55"/>
      <c r="GQ39" s="55"/>
      <c r="GR39" s="55"/>
      <c r="GS39" s="55"/>
      <c r="GT39" s="55"/>
      <c r="GU39" s="55"/>
      <c r="GV39" s="55"/>
      <c r="GW39" s="55"/>
      <c r="GX39" s="55"/>
      <c r="GY39" s="55"/>
      <c r="GZ39" s="55"/>
      <c r="HA39" s="55"/>
      <c r="HB39" s="55"/>
      <c r="HC39" s="55"/>
      <c r="HD39" s="55"/>
      <c r="HE39" s="55"/>
      <c r="HF39" s="55"/>
      <c r="HG39" s="55"/>
      <c r="HH39" s="55"/>
    </row>
    <row r="40" spans="3:216">
      <c r="C40" s="123"/>
      <c r="D40" s="123"/>
      <c r="E40" s="123"/>
      <c r="F40" s="123"/>
      <c r="G40" s="123"/>
      <c r="H40" s="128"/>
      <c r="I40" s="123"/>
      <c r="J40" s="123"/>
      <c r="K40" s="123"/>
      <c r="L40" s="123"/>
      <c r="M40" s="123"/>
      <c r="N40" s="123"/>
      <c r="O40" s="123"/>
      <c r="P40" s="128"/>
      <c r="Q40" s="123"/>
      <c r="R40" s="123"/>
      <c r="S40" s="123"/>
      <c r="T40" s="123"/>
      <c r="U40" s="123"/>
      <c r="V40" s="123"/>
      <c r="W40" s="123"/>
      <c r="X40" s="123"/>
      <c r="Y40" s="123"/>
      <c r="Z40" s="123"/>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row>
    <row r="41" spans="3:216">
      <c r="C41" s="123"/>
      <c r="D41" s="129"/>
      <c r="E41" s="123"/>
      <c r="F41" s="123"/>
      <c r="G41" s="123"/>
      <c r="H41" s="128"/>
      <c r="I41" s="123"/>
      <c r="J41" s="123"/>
      <c r="K41" s="123"/>
      <c r="L41" s="123"/>
      <c r="M41" s="123"/>
      <c r="N41" s="123"/>
      <c r="O41" s="123"/>
      <c r="P41" s="128"/>
      <c r="Q41" s="123"/>
      <c r="R41" s="123"/>
      <c r="S41" s="123"/>
      <c r="T41" s="123"/>
      <c r="U41" s="123"/>
      <c r="V41" s="123"/>
      <c r="W41" s="123"/>
      <c r="X41" s="123"/>
      <c r="Y41" s="123"/>
      <c r="Z41" s="123"/>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c r="FQ41" s="55"/>
      <c r="FR41" s="55"/>
      <c r="FS41" s="55"/>
      <c r="FT41" s="55"/>
      <c r="FU41" s="55"/>
      <c r="FV41" s="55"/>
      <c r="FW41" s="55"/>
      <c r="FX41" s="55"/>
      <c r="FY41" s="55"/>
      <c r="FZ41" s="55"/>
      <c r="GA41" s="55"/>
      <c r="GB41" s="55"/>
      <c r="GC41" s="55"/>
      <c r="GD41" s="55"/>
      <c r="GE41" s="55"/>
      <c r="GF41" s="55"/>
      <c r="GG41" s="55"/>
      <c r="GH41" s="55"/>
      <c r="GI41" s="55"/>
      <c r="GJ41" s="55"/>
      <c r="GK41" s="55"/>
      <c r="GL41" s="55"/>
      <c r="GM41" s="55"/>
      <c r="GN41" s="55"/>
      <c r="GO41" s="55"/>
      <c r="GP41" s="55"/>
      <c r="GQ41" s="55"/>
      <c r="GR41" s="55"/>
      <c r="GS41" s="55"/>
      <c r="GT41" s="55"/>
      <c r="GU41" s="55"/>
      <c r="GV41" s="55"/>
      <c r="GW41" s="55"/>
      <c r="GX41" s="55"/>
      <c r="GY41" s="55"/>
      <c r="GZ41" s="55"/>
      <c r="HA41" s="55"/>
      <c r="HB41" s="55"/>
      <c r="HC41" s="55"/>
      <c r="HD41" s="55"/>
      <c r="HE41" s="55"/>
      <c r="HF41" s="55"/>
      <c r="HG41" s="55"/>
      <c r="HH41" s="55"/>
    </row>
    <row r="42" spans="3:216">
      <c r="C42" s="123"/>
      <c r="D42" s="123"/>
      <c r="E42" s="123"/>
      <c r="F42" s="123"/>
      <c r="G42" s="123"/>
      <c r="H42" s="128"/>
      <c r="I42" s="123"/>
      <c r="J42" s="123"/>
      <c r="K42" s="123"/>
      <c r="L42" s="123"/>
      <c r="M42" s="123"/>
      <c r="N42" s="123"/>
      <c r="O42" s="123"/>
      <c r="P42" s="128"/>
      <c r="Q42" s="123"/>
      <c r="R42" s="123"/>
      <c r="S42" s="123"/>
      <c r="T42" s="123"/>
      <c r="U42" s="123"/>
      <c r="V42" s="123"/>
      <c r="W42" s="123"/>
      <c r="X42" s="123"/>
      <c r="Y42" s="123"/>
      <c r="Z42" s="123"/>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c r="FQ42" s="55"/>
      <c r="FR42" s="55"/>
      <c r="FS42" s="55"/>
      <c r="FT42" s="55"/>
      <c r="FU42" s="55"/>
      <c r="FV42" s="55"/>
      <c r="FW42" s="55"/>
      <c r="FX42" s="55"/>
      <c r="FY42" s="55"/>
      <c r="FZ42" s="55"/>
      <c r="GA42" s="55"/>
      <c r="GB42" s="55"/>
      <c r="GC42" s="55"/>
      <c r="GD42" s="55"/>
      <c r="GE42" s="55"/>
      <c r="GF42" s="55"/>
      <c r="GG42" s="55"/>
      <c r="GH42" s="55"/>
      <c r="GI42" s="55"/>
      <c r="GJ42" s="55"/>
      <c r="GK42" s="55"/>
      <c r="GL42" s="55"/>
      <c r="GM42" s="55"/>
      <c r="GN42" s="55"/>
      <c r="GO42" s="55"/>
      <c r="GP42" s="55"/>
      <c r="GQ42" s="55"/>
      <c r="GR42" s="55"/>
      <c r="GS42" s="55"/>
      <c r="GT42" s="55"/>
      <c r="GU42" s="55"/>
      <c r="GV42" s="55"/>
      <c r="GW42" s="55"/>
      <c r="GX42" s="55"/>
      <c r="GY42" s="55"/>
      <c r="GZ42" s="55"/>
      <c r="HA42" s="55"/>
      <c r="HB42" s="55"/>
      <c r="HC42" s="55"/>
      <c r="HD42" s="55"/>
      <c r="HE42" s="55"/>
      <c r="HF42" s="55"/>
      <c r="HG42" s="55"/>
      <c r="HH42" s="55"/>
    </row>
    <row r="43" spans="3:216">
      <c r="C43" s="123"/>
      <c r="D43" s="129"/>
      <c r="E43" s="123"/>
      <c r="F43" s="123"/>
      <c r="G43" s="123"/>
      <c r="H43" s="128"/>
      <c r="I43" s="123"/>
      <c r="J43" s="123"/>
      <c r="K43" s="123"/>
      <c r="L43" s="123"/>
      <c r="M43" s="123"/>
      <c r="N43" s="123"/>
      <c r="O43" s="123"/>
      <c r="P43" s="128"/>
      <c r="Q43" s="123"/>
      <c r="R43" s="123"/>
      <c r="S43" s="123"/>
      <c r="T43" s="123"/>
      <c r="U43" s="123"/>
      <c r="V43" s="123"/>
      <c r="W43" s="123"/>
      <c r="X43" s="123"/>
      <c r="Y43" s="123"/>
      <c r="Z43" s="123"/>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row>
    <row r="44" spans="3:216">
      <c r="C44" s="123"/>
      <c r="D44" s="123"/>
      <c r="E44" s="123"/>
      <c r="F44" s="120"/>
      <c r="G44" s="123"/>
      <c r="H44" s="128"/>
      <c r="I44" s="123"/>
      <c r="J44" s="123"/>
      <c r="K44" s="123"/>
      <c r="L44" s="123"/>
      <c r="M44" s="123"/>
      <c r="N44" s="123"/>
      <c r="O44" s="123"/>
      <c r="P44" s="128"/>
      <c r="Q44" s="123"/>
      <c r="R44" s="123"/>
      <c r="S44" s="123"/>
      <c r="T44" s="123"/>
      <c r="U44" s="123"/>
      <c r="V44" s="123"/>
      <c r="W44" s="123"/>
      <c r="X44" s="123"/>
      <c r="Y44" s="123"/>
      <c r="Z44" s="123"/>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row>
    <row r="45" spans="3:216">
      <c r="C45" s="123"/>
      <c r="D45" s="129"/>
      <c r="E45" s="123"/>
      <c r="F45" s="123"/>
      <c r="G45" s="123"/>
      <c r="H45" s="128"/>
      <c r="I45" s="123"/>
      <c r="J45" s="123"/>
      <c r="K45" s="123"/>
      <c r="L45" s="123"/>
      <c r="M45" s="123"/>
      <c r="N45" s="123"/>
      <c r="O45" s="123"/>
      <c r="P45" s="128"/>
      <c r="Q45" s="123"/>
      <c r="R45" s="123"/>
      <c r="S45" s="123"/>
      <c r="T45" s="123"/>
      <c r="U45" s="123"/>
      <c r="V45" s="123"/>
      <c r="W45" s="123"/>
      <c r="X45" s="123"/>
      <c r="Y45" s="123"/>
      <c r="Z45" s="123"/>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row>
    <row r="46" spans="3:216">
      <c r="C46" s="123"/>
      <c r="D46" s="123"/>
      <c r="E46" s="123"/>
      <c r="F46" s="120"/>
      <c r="G46" s="123"/>
      <c r="H46" s="128"/>
      <c r="I46" s="123"/>
      <c r="J46" s="123"/>
      <c r="K46" s="123"/>
      <c r="L46" s="123"/>
      <c r="M46" s="123"/>
      <c r="N46" s="123"/>
      <c r="O46" s="123"/>
      <c r="P46" s="128"/>
      <c r="Q46" s="123"/>
      <c r="R46" s="123"/>
      <c r="S46" s="123"/>
      <c r="T46" s="123"/>
      <c r="U46" s="123"/>
      <c r="V46" s="123"/>
      <c r="W46" s="123"/>
      <c r="X46" s="123"/>
      <c r="Y46" s="123"/>
      <c r="Z46" s="123"/>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row>
    <row r="47" spans="3:216">
      <c r="C47" s="123"/>
      <c r="D47" s="129"/>
      <c r="E47" s="123"/>
      <c r="F47" s="123"/>
      <c r="G47" s="123"/>
      <c r="H47" s="128"/>
      <c r="I47" s="123"/>
      <c r="J47" s="123"/>
      <c r="K47" s="123"/>
      <c r="L47" s="123"/>
      <c r="M47" s="123"/>
      <c r="N47" s="123"/>
      <c r="O47" s="123"/>
      <c r="P47" s="128"/>
      <c r="Q47" s="123"/>
      <c r="R47" s="123"/>
      <c r="S47" s="123"/>
      <c r="T47" s="123"/>
      <c r="U47" s="123"/>
      <c r="V47" s="123"/>
      <c r="W47" s="123"/>
      <c r="X47" s="123"/>
      <c r="Y47" s="123"/>
      <c r="Z47" s="123"/>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row>
    <row r="48" spans="3:216">
      <c r="C48" s="123"/>
      <c r="D48" s="123"/>
      <c r="E48" s="123"/>
      <c r="F48" s="120"/>
      <c r="G48" s="123"/>
      <c r="H48" s="128"/>
      <c r="I48" s="123"/>
      <c r="J48" s="123"/>
      <c r="K48" s="123"/>
      <c r="L48" s="123"/>
      <c r="M48" s="123"/>
      <c r="N48" s="123"/>
      <c r="O48" s="123"/>
      <c r="P48" s="128"/>
      <c r="Q48" s="123"/>
      <c r="R48" s="123"/>
      <c r="S48" s="123"/>
      <c r="T48" s="123"/>
      <c r="U48" s="123"/>
      <c r="V48" s="123"/>
      <c r="W48" s="123"/>
      <c r="X48" s="123"/>
      <c r="Y48" s="123"/>
      <c r="Z48" s="123"/>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row>
    <row r="49" spans="3:216">
      <c r="C49" s="123"/>
      <c r="D49" s="129"/>
      <c r="E49" s="123"/>
      <c r="F49" s="123"/>
      <c r="G49" s="123"/>
      <c r="H49" s="128"/>
      <c r="I49" s="123"/>
      <c r="J49" s="123"/>
      <c r="K49" s="123"/>
      <c r="L49" s="123"/>
      <c r="M49" s="123"/>
      <c r="N49" s="123"/>
      <c r="O49" s="123"/>
      <c r="P49" s="128"/>
      <c r="Q49" s="123"/>
      <c r="R49" s="123"/>
      <c r="S49" s="123"/>
      <c r="T49" s="123"/>
      <c r="U49" s="123"/>
      <c r="V49" s="123"/>
      <c r="W49" s="123"/>
      <c r="X49" s="123"/>
      <c r="Y49" s="123"/>
      <c r="Z49" s="123"/>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row>
    <row r="50" spans="3:216">
      <c r="C50" s="123"/>
      <c r="D50" s="123"/>
      <c r="E50" s="123"/>
      <c r="F50" s="123"/>
      <c r="G50" s="123"/>
      <c r="H50" s="128"/>
      <c r="I50" s="123"/>
      <c r="J50" s="123"/>
      <c r="K50" s="123"/>
      <c r="L50" s="123"/>
      <c r="M50" s="123"/>
      <c r="N50" s="123"/>
      <c r="O50" s="123"/>
      <c r="P50" s="128"/>
      <c r="Q50" s="123"/>
      <c r="R50" s="123"/>
      <c r="S50" s="123"/>
      <c r="T50" s="123"/>
      <c r="U50" s="123"/>
      <c r="V50" s="123"/>
      <c r="W50" s="123"/>
      <c r="X50" s="123"/>
      <c r="Y50" s="123"/>
      <c r="Z50" s="123"/>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row>
    <row r="51" spans="3:216">
      <c r="C51" s="123"/>
      <c r="D51" s="129"/>
      <c r="E51" s="123"/>
      <c r="F51" s="123"/>
      <c r="G51" s="123"/>
      <c r="H51" s="128"/>
      <c r="I51" s="123"/>
      <c r="J51" s="123"/>
      <c r="K51" s="123"/>
      <c r="L51" s="123"/>
      <c r="M51" s="123"/>
      <c r="N51" s="123"/>
      <c r="O51" s="123"/>
      <c r="P51" s="128"/>
      <c r="Q51" s="123"/>
      <c r="R51" s="123"/>
      <c r="S51" s="123"/>
      <c r="T51" s="123"/>
      <c r="U51" s="123"/>
      <c r="V51" s="123"/>
      <c r="W51" s="123"/>
      <c r="X51" s="123"/>
      <c r="Y51" s="123"/>
      <c r="Z51" s="123"/>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row>
    <row r="52" spans="3:216">
      <c r="C52" s="123"/>
      <c r="D52" s="123"/>
      <c r="E52" s="123"/>
      <c r="F52" s="123"/>
      <c r="G52" s="123"/>
      <c r="H52" s="128"/>
      <c r="I52" s="123"/>
      <c r="J52" s="123"/>
      <c r="K52" s="123"/>
      <c r="L52" s="123"/>
      <c r="M52" s="123"/>
      <c r="N52" s="123"/>
      <c r="O52" s="123"/>
      <c r="P52" s="128"/>
      <c r="Q52" s="123"/>
      <c r="R52" s="123"/>
      <c r="S52" s="123"/>
      <c r="T52" s="123"/>
      <c r="U52" s="123"/>
      <c r="V52" s="123"/>
      <c r="W52" s="123"/>
      <c r="X52" s="123"/>
      <c r="Y52" s="123"/>
      <c r="Z52" s="123"/>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row>
    <row r="53" spans="3:216">
      <c r="C53" s="123"/>
      <c r="D53" s="129"/>
      <c r="E53" s="123"/>
      <c r="F53" s="123"/>
      <c r="G53" s="123"/>
      <c r="H53" s="128"/>
      <c r="I53" s="123"/>
      <c r="J53" s="123"/>
      <c r="K53" s="123"/>
      <c r="L53" s="123"/>
      <c r="M53" s="123"/>
      <c r="N53" s="123"/>
      <c r="O53" s="123"/>
      <c r="P53" s="128"/>
      <c r="Q53" s="123"/>
      <c r="R53" s="123"/>
      <c r="S53" s="123"/>
      <c r="T53" s="123"/>
      <c r="U53" s="123"/>
      <c r="V53" s="123"/>
      <c r="W53" s="123"/>
      <c r="X53" s="123"/>
      <c r="Y53" s="123"/>
      <c r="Z53" s="123"/>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row>
    <row r="54" spans="3:216">
      <c r="C54" s="123"/>
      <c r="D54" s="123"/>
      <c r="E54" s="123"/>
      <c r="F54" s="123"/>
      <c r="G54" s="123"/>
      <c r="H54" s="128"/>
      <c r="I54" s="123"/>
      <c r="J54" s="123"/>
      <c r="K54" s="123"/>
      <c r="L54" s="123"/>
      <c r="M54" s="123"/>
      <c r="N54" s="123"/>
      <c r="O54" s="123"/>
      <c r="P54" s="128"/>
      <c r="Q54" s="123"/>
      <c r="R54" s="123"/>
      <c r="S54" s="123"/>
      <c r="T54" s="123"/>
      <c r="U54" s="123"/>
      <c r="V54" s="123"/>
      <c r="W54" s="123"/>
      <c r="X54" s="123"/>
      <c r="Y54" s="123"/>
      <c r="Z54" s="123"/>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row>
    <row r="55" spans="3:216">
      <c r="C55" s="123"/>
      <c r="D55" s="129"/>
      <c r="E55" s="123"/>
      <c r="F55" s="123"/>
      <c r="G55" s="123"/>
      <c r="H55" s="128"/>
      <c r="I55" s="123"/>
      <c r="J55" s="123"/>
      <c r="K55" s="123"/>
      <c r="L55" s="123"/>
      <c r="M55" s="123"/>
      <c r="N55" s="123"/>
      <c r="O55" s="123"/>
      <c r="P55" s="128"/>
      <c r="Q55" s="123"/>
      <c r="R55" s="123"/>
      <c r="S55" s="123"/>
      <c r="T55" s="123"/>
      <c r="U55" s="123"/>
      <c r="V55" s="123"/>
      <c r="W55" s="123"/>
      <c r="X55" s="123"/>
      <c r="Y55" s="123"/>
      <c r="Z55" s="123"/>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row>
    <row r="56" spans="3:216">
      <c r="C56" s="125"/>
      <c r="D56" s="123"/>
      <c r="E56" s="123"/>
      <c r="F56" s="123"/>
      <c r="G56" s="123"/>
      <c r="H56" s="128"/>
      <c r="I56" s="123"/>
      <c r="J56" s="123"/>
      <c r="K56" s="123"/>
      <c r="L56" s="123"/>
      <c r="M56" s="123"/>
      <c r="N56" s="123"/>
      <c r="O56" s="123"/>
      <c r="P56" s="128"/>
      <c r="Q56" s="123"/>
      <c r="R56" s="123"/>
      <c r="S56" s="123"/>
      <c r="T56" s="123"/>
      <c r="U56" s="123"/>
      <c r="V56" s="123"/>
      <c r="W56" s="123"/>
      <c r="X56" s="123"/>
      <c r="Y56" s="123"/>
      <c r="Z56" s="123"/>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row>
    <row r="57" spans="3:216">
      <c r="C57" s="120"/>
      <c r="D57" s="123"/>
      <c r="E57" s="123"/>
      <c r="F57" s="123"/>
      <c r="G57" s="123"/>
      <c r="H57" s="123"/>
      <c r="I57" s="123"/>
      <c r="J57" s="123"/>
      <c r="K57" s="123"/>
      <c r="L57" s="123"/>
      <c r="M57" s="123"/>
      <c r="N57" s="123"/>
      <c r="O57" s="123"/>
      <c r="P57" s="123"/>
      <c r="Q57" s="123"/>
      <c r="R57" s="124"/>
      <c r="S57" s="124"/>
      <c r="T57" s="123"/>
      <c r="U57" s="123"/>
      <c r="V57" s="123"/>
      <c r="W57" s="123"/>
      <c r="X57" s="123"/>
      <c r="Y57" s="123"/>
      <c r="Z57" s="123"/>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row>
    <row r="58" spans="3:216">
      <c r="C58" s="120"/>
      <c r="D58" s="123"/>
      <c r="E58" s="123"/>
      <c r="F58" s="120"/>
      <c r="G58" s="123"/>
      <c r="H58" s="120"/>
      <c r="I58" s="123"/>
      <c r="J58" s="123"/>
      <c r="K58" s="123"/>
      <c r="L58" s="123"/>
      <c r="M58" s="123"/>
      <c r="N58" s="123"/>
      <c r="O58" s="123"/>
      <c r="P58" s="123"/>
      <c r="Q58" s="123"/>
      <c r="R58" s="124"/>
      <c r="S58" s="124"/>
      <c r="T58" s="123"/>
      <c r="U58" s="123"/>
      <c r="V58" s="123"/>
      <c r="W58" s="123"/>
      <c r="X58" s="123"/>
      <c r="Y58" s="123"/>
      <c r="Z58" s="123"/>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row>
    <row r="59" spans="3:216">
      <c r="C59" s="120"/>
      <c r="D59" s="123"/>
      <c r="E59" s="123"/>
      <c r="F59" s="120"/>
      <c r="G59" s="123"/>
      <c r="H59" s="120"/>
      <c r="I59" s="123"/>
      <c r="J59" s="123"/>
      <c r="K59" s="123"/>
      <c r="L59" s="123"/>
      <c r="M59" s="123"/>
      <c r="N59" s="123"/>
      <c r="O59" s="123"/>
      <c r="P59" s="123"/>
      <c r="Q59" s="123"/>
      <c r="R59" s="124"/>
      <c r="S59" s="124"/>
      <c r="T59" s="123"/>
      <c r="U59" s="123"/>
      <c r="V59" s="123"/>
      <c r="W59" s="123"/>
      <c r="X59" s="123"/>
      <c r="Y59" s="123"/>
      <c r="Z59" s="123"/>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row>
    <row r="60" spans="3:216">
      <c r="C60" s="123"/>
      <c r="D60" s="125"/>
      <c r="E60" s="123"/>
      <c r="F60" s="123"/>
      <c r="G60" s="123"/>
      <c r="H60" s="128"/>
      <c r="I60" s="123"/>
      <c r="J60" s="123"/>
      <c r="K60" s="123"/>
      <c r="L60" s="123"/>
      <c r="M60" s="123"/>
      <c r="N60" s="123"/>
      <c r="O60" s="123"/>
      <c r="P60" s="128"/>
      <c r="Q60" s="123"/>
      <c r="R60" s="123"/>
      <c r="S60" s="123"/>
      <c r="T60" s="123"/>
      <c r="U60" s="123"/>
      <c r="V60" s="123"/>
      <c r="W60" s="123"/>
      <c r="X60" s="123"/>
      <c r="Y60" s="123"/>
      <c r="Z60" s="123"/>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row>
    <row r="61" spans="3:216">
      <c r="C61" s="123"/>
      <c r="D61" s="120"/>
      <c r="E61" s="123"/>
      <c r="F61" s="123"/>
      <c r="G61" s="123"/>
      <c r="H61" s="128"/>
      <c r="I61" s="123"/>
      <c r="J61" s="123"/>
      <c r="K61" s="123"/>
      <c r="L61" s="123"/>
      <c r="M61" s="123"/>
      <c r="N61" s="123"/>
      <c r="O61" s="123"/>
      <c r="P61" s="128"/>
      <c r="Q61" s="123"/>
      <c r="R61" s="123"/>
      <c r="S61" s="123"/>
      <c r="T61" s="123"/>
      <c r="U61" s="123"/>
      <c r="V61" s="123"/>
      <c r="W61" s="123"/>
      <c r="X61" s="123"/>
      <c r="Y61" s="123"/>
      <c r="Z61" s="123"/>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row>
    <row r="62" spans="3:216">
      <c r="C62" s="123"/>
      <c r="D62" s="125"/>
      <c r="E62" s="123"/>
      <c r="F62" s="123"/>
      <c r="G62" s="123"/>
      <c r="H62" s="128"/>
      <c r="I62" s="123"/>
      <c r="J62" s="123"/>
      <c r="K62" s="123"/>
      <c r="L62" s="123"/>
      <c r="M62" s="123"/>
      <c r="N62" s="123"/>
      <c r="O62" s="123"/>
      <c r="P62" s="128"/>
      <c r="Q62" s="123"/>
      <c r="R62" s="123"/>
      <c r="S62" s="123"/>
      <c r="T62" s="123"/>
      <c r="U62" s="123"/>
      <c r="V62" s="123"/>
      <c r="W62" s="123"/>
      <c r="X62" s="123"/>
      <c r="Y62" s="123"/>
      <c r="Z62" s="123"/>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row>
    <row r="63" spans="3:216">
      <c r="C63" s="123"/>
      <c r="D63" s="120"/>
      <c r="E63" s="123"/>
      <c r="F63" s="123"/>
      <c r="G63" s="123"/>
      <c r="H63" s="128"/>
      <c r="I63" s="123"/>
      <c r="J63" s="123"/>
      <c r="K63" s="123"/>
      <c r="L63" s="123"/>
      <c r="M63" s="123"/>
      <c r="N63" s="123"/>
      <c r="O63" s="123"/>
      <c r="P63" s="128"/>
      <c r="Q63" s="123"/>
      <c r="R63" s="123"/>
      <c r="S63" s="123"/>
      <c r="T63" s="123"/>
      <c r="U63" s="123"/>
      <c r="V63" s="123"/>
      <c r="W63" s="123"/>
      <c r="X63" s="123"/>
      <c r="Y63" s="123"/>
      <c r="Z63" s="123"/>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row>
    <row r="64" spans="3:216">
      <c r="C64" s="123"/>
      <c r="D64" s="125"/>
      <c r="E64" s="123"/>
      <c r="F64" s="123"/>
      <c r="G64" s="123"/>
      <c r="H64" s="128"/>
      <c r="I64" s="123"/>
      <c r="J64" s="123"/>
      <c r="K64" s="123"/>
      <c r="L64" s="123"/>
      <c r="M64" s="123"/>
      <c r="N64" s="123"/>
      <c r="O64" s="123"/>
      <c r="P64" s="128"/>
      <c r="Q64" s="123"/>
      <c r="R64" s="123"/>
      <c r="S64" s="123"/>
      <c r="T64" s="123"/>
      <c r="U64" s="123"/>
      <c r="V64" s="123"/>
      <c r="W64" s="123"/>
      <c r="X64" s="123"/>
      <c r="Y64" s="123"/>
      <c r="Z64" s="123"/>
    </row>
    <row r="65" spans="3:26">
      <c r="C65" s="123"/>
      <c r="D65" s="120"/>
      <c r="E65" s="123"/>
      <c r="F65" s="123"/>
      <c r="G65" s="123"/>
      <c r="H65" s="128"/>
      <c r="I65" s="123"/>
      <c r="J65" s="123"/>
      <c r="K65" s="123"/>
      <c r="L65" s="123"/>
      <c r="M65" s="123"/>
      <c r="N65" s="123"/>
      <c r="O65" s="123"/>
      <c r="P65" s="128"/>
      <c r="Q65" s="123"/>
      <c r="R65" s="123"/>
      <c r="S65" s="123"/>
      <c r="T65" s="123"/>
      <c r="U65" s="123"/>
      <c r="V65" s="123"/>
      <c r="W65" s="123"/>
      <c r="X65" s="123"/>
      <c r="Y65" s="123"/>
      <c r="Z65" s="123"/>
    </row>
    <row r="66" spans="3:26">
      <c r="C66" s="123"/>
      <c r="D66" s="125"/>
      <c r="E66" s="123"/>
      <c r="F66" s="123"/>
      <c r="G66" s="123"/>
      <c r="H66" s="128"/>
      <c r="I66" s="123"/>
      <c r="J66" s="123"/>
      <c r="K66" s="123"/>
      <c r="L66" s="123"/>
      <c r="M66" s="123"/>
      <c r="N66" s="123"/>
      <c r="O66" s="123"/>
      <c r="P66" s="128"/>
      <c r="Q66" s="123"/>
      <c r="R66" s="123"/>
      <c r="S66" s="123"/>
      <c r="T66" s="123"/>
      <c r="U66" s="123"/>
      <c r="V66" s="123"/>
      <c r="W66" s="123"/>
      <c r="X66" s="123"/>
      <c r="Y66" s="123"/>
      <c r="Z66" s="123"/>
    </row>
    <row r="67" spans="3:26">
      <c r="C67" s="123"/>
      <c r="D67" s="123"/>
      <c r="E67" s="123"/>
      <c r="F67" s="120"/>
      <c r="G67" s="123"/>
      <c r="H67" s="128"/>
      <c r="I67" s="123"/>
      <c r="J67" s="123"/>
      <c r="K67" s="123"/>
      <c r="L67" s="123"/>
      <c r="M67" s="123"/>
      <c r="N67" s="123"/>
      <c r="O67" s="123"/>
      <c r="P67" s="128"/>
      <c r="Q67" s="123"/>
      <c r="R67" s="123"/>
      <c r="S67" s="123"/>
      <c r="T67" s="123"/>
      <c r="U67" s="123"/>
      <c r="V67" s="123"/>
      <c r="W67" s="123"/>
      <c r="X67" s="123"/>
      <c r="Y67" s="123"/>
      <c r="Z67" s="123"/>
    </row>
    <row r="68" spans="3:26">
      <c r="C68" s="123"/>
      <c r="D68" s="129"/>
      <c r="E68" s="123"/>
      <c r="F68" s="123"/>
      <c r="G68" s="123"/>
      <c r="H68" s="128"/>
      <c r="I68" s="123"/>
      <c r="J68" s="123"/>
      <c r="K68" s="123"/>
      <c r="L68" s="123"/>
      <c r="M68" s="123"/>
      <c r="N68" s="123"/>
      <c r="O68" s="123"/>
      <c r="P68" s="128"/>
      <c r="Q68" s="123"/>
      <c r="R68" s="123"/>
      <c r="S68" s="123"/>
      <c r="T68" s="123"/>
      <c r="U68" s="123"/>
      <c r="V68" s="123"/>
      <c r="W68" s="123"/>
      <c r="X68" s="123"/>
      <c r="Y68" s="123"/>
      <c r="Z68" s="123"/>
    </row>
    <row r="69" spans="3:26">
      <c r="C69" s="123"/>
      <c r="D69" s="123"/>
      <c r="E69" s="123"/>
      <c r="F69" s="120"/>
      <c r="G69" s="123"/>
      <c r="H69" s="128"/>
      <c r="I69" s="123"/>
      <c r="J69" s="123"/>
      <c r="K69" s="123"/>
      <c r="L69" s="123"/>
      <c r="M69" s="123"/>
      <c r="N69" s="123"/>
      <c r="O69" s="123"/>
      <c r="P69" s="128"/>
      <c r="Q69" s="123"/>
      <c r="R69" s="123"/>
      <c r="S69" s="123"/>
      <c r="T69" s="123"/>
      <c r="U69" s="123"/>
      <c r="V69" s="123"/>
      <c r="W69" s="123"/>
      <c r="X69" s="123"/>
      <c r="Y69" s="123"/>
      <c r="Z69" s="123"/>
    </row>
    <row r="70" spans="3:26">
      <c r="C70" s="123"/>
      <c r="D70" s="129"/>
      <c r="E70" s="123"/>
      <c r="F70" s="123"/>
      <c r="G70" s="123"/>
      <c r="H70" s="128"/>
      <c r="I70" s="123"/>
      <c r="J70" s="123"/>
      <c r="K70" s="123"/>
      <c r="L70" s="123"/>
      <c r="M70" s="123"/>
      <c r="N70" s="123"/>
      <c r="O70" s="123"/>
      <c r="P70" s="128"/>
      <c r="Q70" s="123"/>
      <c r="R70" s="123"/>
      <c r="S70" s="123"/>
      <c r="T70" s="123"/>
      <c r="U70" s="123"/>
      <c r="V70" s="123"/>
      <c r="W70" s="123"/>
      <c r="X70" s="123"/>
      <c r="Y70" s="123"/>
      <c r="Z70" s="123"/>
    </row>
    <row r="71" spans="3:26">
      <c r="C71" s="123"/>
      <c r="D71" s="129"/>
      <c r="E71" s="123"/>
      <c r="F71" s="123"/>
      <c r="G71" s="123"/>
      <c r="H71" s="128"/>
      <c r="I71" s="123"/>
      <c r="J71" s="123"/>
      <c r="K71" s="123"/>
      <c r="L71" s="123"/>
      <c r="M71" s="123"/>
      <c r="N71" s="123"/>
      <c r="O71" s="123"/>
      <c r="P71" s="128"/>
      <c r="Q71" s="123"/>
      <c r="R71" s="123"/>
      <c r="S71" s="123"/>
      <c r="T71" s="123"/>
      <c r="U71" s="123"/>
      <c r="V71" s="123"/>
      <c r="W71" s="123"/>
      <c r="X71" s="123"/>
      <c r="Y71" s="123"/>
      <c r="Z71" s="123"/>
    </row>
    <row r="72" spans="3:26">
      <c r="C72" s="123"/>
      <c r="D72" s="125"/>
      <c r="E72" s="123"/>
      <c r="F72" s="123"/>
      <c r="G72" s="123"/>
      <c r="H72" s="128"/>
      <c r="I72" s="123"/>
      <c r="J72" s="123"/>
      <c r="K72" s="123"/>
      <c r="L72" s="123"/>
      <c r="M72" s="123"/>
      <c r="N72" s="123"/>
      <c r="O72" s="123"/>
      <c r="P72" s="128"/>
      <c r="Q72" s="123"/>
      <c r="R72" s="123"/>
      <c r="S72" s="123"/>
      <c r="T72" s="123"/>
      <c r="U72" s="123"/>
      <c r="V72" s="123"/>
      <c r="W72" s="123"/>
      <c r="X72" s="123"/>
      <c r="Y72" s="123"/>
      <c r="Z72" s="123"/>
    </row>
    <row r="73" spans="3:26">
      <c r="C73" s="123"/>
      <c r="D73" s="120"/>
      <c r="E73" s="123"/>
      <c r="F73" s="123"/>
      <c r="G73" s="123"/>
      <c r="H73" s="128"/>
      <c r="I73" s="123"/>
      <c r="J73" s="123"/>
      <c r="K73" s="123"/>
      <c r="L73" s="123"/>
      <c r="M73" s="123"/>
      <c r="N73" s="123"/>
      <c r="O73" s="123"/>
      <c r="P73" s="128"/>
      <c r="Q73" s="123"/>
      <c r="R73" s="123"/>
      <c r="S73" s="123"/>
      <c r="T73" s="123"/>
      <c r="U73" s="123"/>
      <c r="V73" s="123"/>
      <c r="W73" s="123"/>
      <c r="X73" s="123"/>
      <c r="Y73" s="123"/>
      <c r="Z73" s="123"/>
    </row>
    <row r="74" spans="3:26">
      <c r="C74" s="123"/>
      <c r="D74" s="125"/>
      <c r="E74" s="123"/>
      <c r="F74" s="123"/>
      <c r="G74" s="123"/>
      <c r="H74" s="128"/>
      <c r="I74" s="123"/>
      <c r="J74" s="123"/>
      <c r="K74" s="123"/>
      <c r="L74" s="123"/>
      <c r="M74" s="123"/>
      <c r="N74" s="123"/>
      <c r="O74" s="123"/>
      <c r="P74" s="128"/>
      <c r="Q74" s="123"/>
      <c r="R74" s="123"/>
      <c r="S74" s="123"/>
      <c r="T74" s="123"/>
      <c r="U74" s="123"/>
      <c r="V74" s="123"/>
      <c r="W74" s="123"/>
      <c r="X74" s="123"/>
      <c r="Y74" s="123"/>
      <c r="Z74" s="123"/>
    </row>
    <row r="75" spans="3:26">
      <c r="C75" s="123"/>
      <c r="D75" s="125"/>
      <c r="E75" s="123"/>
      <c r="F75" s="123"/>
      <c r="G75" s="123"/>
      <c r="H75" s="128"/>
      <c r="I75" s="123"/>
      <c r="J75" s="123"/>
      <c r="K75" s="123"/>
      <c r="L75" s="123"/>
      <c r="M75" s="123"/>
      <c r="N75" s="123"/>
      <c r="O75" s="123"/>
      <c r="P75" s="128"/>
      <c r="Q75" s="123"/>
      <c r="R75" s="123"/>
      <c r="S75" s="123"/>
      <c r="T75" s="123"/>
      <c r="U75" s="123"/>
      <c r="V75" s="123"/>
      <c r="W75" s="123"/>
      <c r="X75" s="123"/>
      <c r="Y75" s="123"/>
      <c r="Z75"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24.xml><?xml version="1.0" encoding="utf-8"?>
<worksheet xmlns="http://schemas.openxmlformats.org/spreadsheetml/2006/main" xmlns:r="http://schemas.openxmlformats.org/officeDocument/2006/relationships">
  <dimension ref="A1:V30"/>
  <sheetViews>
    <sheetView zoomScale="75" workbookViewId="0">
      <selection activeCell="B73" sqref="B73"/>
    </sheetView>
  </sheetViews>
  <sheetFormatPr defaultColWidth="11.42578125" defaultRowHeight="12.75"/>
  <cols>
    <col min="1" max="1" width="15.85546875" customWidth="1"/>
    <col min="2" max="2" width="13.5703125" customWidth="1"/>
    <col min="3" max="3" width="38.5703125" customWidth="1"/>
    <col min="4" max="4" width="10.85546875" customWidth="1"/>
    <col min="5" max="6" width="9.7109375" bestFit="1" customWidth="1"/>
  </cols>
  <sheetData>
    <row r="1" spans="1:22" ht="18">
      <c r="A1" s="10" t="s">
        <v>640</v>
      </c>
    </row>
    <row r="2" spans="1:22" ht="18">
      <c r="A2" s="10"/>
      <c r="D2" s="245"/>
    </row>
    <row r="3" spans="1:22" ht="18">
      <c r="A3" s="10"/>
      <c r="B3" s="16"/>
      <c r="C3" s="17"/>
      <c r="D3" s="245"/>
      <c r="O3" s="18">
        <v>1</v>
      </c>
      <c r="P3" t="s">
        <v>666</v>
      </c>
    </row>
    <row r="4" spans="1:22" ht="18">
      <c r="B4" s="131" t="s">
        <v>594</v>
      </c>
      <c r="C4" s="98"/>
      <c r="D4" s="252" t="str">
        <f>"~FI_T: "&amp;Region</f>
        <v>~FI_T: FIN</v>
      </c>
      <c r="E4" s="4" t="s">
        <v>250</v>
      </c>
      <c r="R4" s="4"/>
      <c r="S4" s="4"/>
    </row>
    <row r="5" spans="1:22" ht="39" thickBot="1">
      <c r="A5" s="14"/>
      <c r="B5" s="52" t="s">
        <v>57</v>
      </c>
      <c r="C5" s="52" t="s">
        <v>58</v>
      </c>
      <c r="D5" s="52" t="s">
        <v>56</v>
      </c>
      <c r="E5" s="94" t="str">
        <f ca="1">CONCATENATE("\I:",IEAData!$F$2," final energy")</f>
        <v>\I:2010 final energy</v>
      </c>
      <c r="F5" s="94" t="str">
        <f ca="1">CONCATENATE("\I:",AuxData!$F$2," final energy")</f>
        <v>\I:2017 final energy</v>
      </c>
      <c r="G5" s="94" t="str">
        <f ca="1">CONCATENATE("\I:",IEAData!$D$2," EFF")</f>
        <v>\I: EFF</v>
      </c>
      <c r="H5" s="94" t="str">
        <f ca="1">CONCATENATE("\I:",IEAData!$D$2,"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row>
    <row r="6" spans="1:22" ht="15" customHeight="1">
      <c r="A6" s="14"/>
      <c r="B6" s="434" t="s">
        <v>999</v>
      </c>
      <c r="C6" s="462"/>
      <c r="D6" s="462"/>
      <c r="E6" s="483"/>
      <c r="F6" s="483"/>
      <c r="G6" s="483"/>
      <c r="H6" s="483"/>
      <c r="I6" s="462"/>
      <c r="J6" s="484"/>
      <c r="K6" s="483"/>
      <c r="L6" s="462"/>
      <c r="M6" s="462"/>
      <c r="N6" s="483"/>
      <c r="O6" s="485"/>
      <c r="P6" s="462"/>
      <c r="Q6" s="462"/>
      <c r="R6" s="485"/>
      <c r="S6" s="462"/>
      <c r="T6" s="462"/>
      <c r="U6" s="462"/>
      <c r="V6" s="257"/>
    </row>
    <row r="7" spans="1:22" ht="15" customHeight="1" thickBot="1">
      <c r="A7" s="74"/>
      <c r="B7" s="266" t="s">
        <v>484</v>
      </c>
      <c r="C7" s="26" t="s">
        <v>31</v>
      </c>
      <c r="D7" s="24" t="s">
        <v>834</v>
      </c>
      <c r="E7" s="34">
        <f ca="1">IEAData!$G$179</f>
        <v>3.3148212737960399</v>
      </c>
      <c r="F7" s="34">
        <f ca="1">AuxData!$G$179</f>
        <v>3.2669403385691389</v>
      </c>
      <c r="G7" s="54">
        <v>1</v>
      </c>
      <c r="H7" s="464" t="str">
        <f>RIGHT(D7,3)</f>
        <v>ELC</v>
      </c>
      <c r="I7" s="20">
        <v>1</v>
      </c>
      <c r="J7" s="21">
        <f>G7*I7</f>
        <v>1</v>
      </c>
      <c r="K7" s="465">
        <f ca="1">F7*J7</f>
        <v>3.2669403385691389</v>
      </c>
      <c r="L7" s="73">
        <v>1</v>
      </c>
      <c r="M7" s="20">
        <v>1</v>
      </c>
      <c r="N7" s="20">
        <v>15</v>
      </c>
      <c r="O7" s="162">
        <f ca="1">E7*J7/$M7</f>
        <v>3.3148212737960399</v>
      </c>
      <c r="P7" s="117">
        <f ca="1">F7*J7/$M7</f>
        <v>3.2669403385691389</v>
      </c>
      <c r="Q7" s="352">
        <f ca="1">P7*0.65</f>
        <v>2.1235112200699402</v>
      </c>
      <c r="R7" s="54">
        <f ca="1">Q7*0.3</f>
        <v>0.63705336602098206</v>
      </c>
      <c r="S7" s="54"/>
      <c r="T7" s="54"/>
      <c r="U7" s="54"/>
      <c r="V7" s="258">
        <f ca="1">IF($E$8=0,0,E7/$E$8)</f>
        <v>1</v>
      </c>
    </row>
    <row r="8" spans="1:22" ht="15" customHeight="1">
      <c r="B8" s="434" t="s">
        <v>999</v>
      </c>
      <c r="C8" s="452" t="s">
        <v>70</v>
      </c>
      <c r="D8" s="452"/>
      <c r="E8" s="453">
        <f ca="1">SUM(E7:E7)</f>
        <v>3.3148212737960399</v>
      </c>
      <c r="F8" s="453">
        <f ca="1">SUM(F7:F7)</f>
        <v>3.2669403385691389</v>
      </c>
      <c r="G8" s="453"/>
      <c r="H8" s="453">
        <f ca="1">SUMPRODUCT(E$7:E7,J$7:J7)</f>
        <v>3.3148212737960399</v>
      </c>
      <c r="I8" s="452"/>
      <c r="J8" s="454"/>
      <c r="K8" s="453">
        <f ca="1">SUM(K7:K7)</f>
        <v>3.2669403385691389</v>
      </c>
      <c r="L8" s="452"/>
      <c r="M8" s="452"/>
      <c r="N8" s="453"/>
      <c r="O8" s="260">
        <f ca="1">SUM(O7:O7)</f>
        <v>3.3148212737960399</v>
      </c>
      <c r="P8" s="452"/>
      <c r="Q8" s="452"/>
      <c r="R8" s="260"/>
      <c r="S8" s="452"/>
      <c r="T8" s="452"/>
      <c r="U8" s="452"/>
      <c r="V8" s="259">
        <f ca="1">SUM(V7)</f>
        <v>1</v>
      </c>
    </row>
    <row r="9" spans="1:22" ht="15" customHeight="1" thickBot="1">
      <c r="A9" s="7"/>
      <c r="B9" s="469" t="s">
        <v>481</v>
      </c>
      <c r="C9" s="470" t="s">
        <v>32</v>
      </c>
      <c r="D9" s="471" t="s">
        <v>833</v>
      </c>
      <c r="E9" s="472">
        <f ca="1">IEAData!$H$179</f>
        <v>3.1504464151745699</v>
      </c>
      <c r="F9" s="472">
        <f ca="1">AuxData!$H$179</f>
        <v>3.1927683008082663</v>
      </c>
      <c r="G9" s="473">
        <v>1</v>
      </c>
      <c r="H9" s="474" t="str">
        <f>RIGHT(D9,3)</f>
        <v>ELC</v>
      </c>
      <c r="I9" s="475">
        <v>1</v>
      </c>
      <c r="J9" s="476">
        <f>G9*I9</f>
        <v>1</v>
      </c>
      <c r="K9" s="477">
        <f ca="1">F9*J9</f>
        <v>3.1927683008082663</v>
      </c>
      <c r="L9" s="478">
        <v>1</v>
      </c>
      <c r="M9" s="475">
        <v>1</v>
      </c>
      <c r="N9" s="475">
        <v>10</v>
      </c>
      <c r="O9" s="479">
        <f ca="1">E9*J9/$M9</f>
        <v>3.1504464151745699</v>
      </c>
      <c r="P9" s="480">
        <f ca="1">F9*J9/$M9</f>
        <v>3.1927683008082663</v>
      </c>
      <c r="Q9" s="481">
        <f ca="1">P9*0.6</f>
        <v>1.9156609804849598</v>
      </c>
      <c r="R9" s="480">
        <f ca="1">Q9*0.2</f>
        <v>0.38313219609699201</v>
      </c>
      <c r="S9" s="482"/>
      <c r="T9" s="482"/>
      <c r="U9" s="482"/>
      <c r="V9" s="258">
        <f ca="1">IF($E$10=0,0,E9/$E$10)</f>
        <v>1</v>
      </c>
    </row>
    <row r="10" spans="1:22" ht="15" customHeight="1">
      <c r="A10" s="55"/>
      <c r="B10" s="434" t="s">
        <v>999</v>
      </c>
      <c r="C10" s="452" t="s">
        <v>482</v>
      </c>
      <c r="D10" s="452"/>
      <c r="E10" s="453">
        <f ca="1">SUM(E9:E9)</f>
        <v>3.1504464151745699</v>
      </c>
      <c r="F10" s="453">
        <f ca="1">SUM(F9:F9)</f>
        <v>3.1927683008082663</v>
      </c>
      <c r="G10" s="453"/>
      <c r="H10" s="453">
        <f ca="1">SUMPRODUCT(E$9:E9,J$9:J9)</f>
        <v>3.1504464151745699</v>
      </c>
      <c r="I10" s="452"/>
      <c r="J10" s="454"/>
      <c r="K10" s="453">
        <f ca="1">SUM(K9:K9)</f>
        <v>3.1927683008082663</v>
      </c>
      <c r="L10" s="452"/>
      <c r="M10" s="452"/>
      <c r="N10" s="453"/>
      <c r="O10" s="260">
        <f ca="1">SUM(O9:O9)</f>
        <v>3.1504464151745699</v>
      </c>
      <c r="P10" s="452"/>
      <c r="Q10" s="452"/>
      <c r="R10" s="260"/>
      <c r="S10" s="452"/>
      <c r="T10" s="452"/>
      <c r="U10" s="452"/>
      <c r="V10" s="259">
        <f ca="1">SUM(V9)</f>
        <v>1</v>
      </c>
    </row>
    <row r="11" spans="1:22" ht="15" customHeight="1">
      <c r="A11" s="55"/>
      <c r="B11" s="267" t="s">
        <v>483</v>
      </c>
      <c r="C11" s="99" t="s">
        <v>32</v>
      </c>
      <c r="D11" s="99" t="s">
        <v>834</v>
      </c>
      <c r="E11" s="103">
        <f ca="1">IEAData!$I$179</f>
        <v>16.470666757510958</v>
      </c>
      <c r="F11" s="103">
        <f ca="1">AuxData!$I$179</f>
        <v>16.959598334385355</v>
      </c>
      <c r="G11" s="69">
        <v>1</v>
      </c>
      <c r="H11" s="343" t="str">
        <f>RIGHT(D11,3)</f>
        <v>ELC</v>
      </c>
      <c r="I11" s="81">
        <v>1</v>
      </c>
      <c r="J11" s="6">
        <f>G11*I11</f>
        <v>1</v>
      </c>
      <c r="K11" s="38">
        <f ca="1">F11*J11</f>
        <v>16.959598334385355</v>
      </c>
      <c r="L11" s="57">
        <v>1</v>
      </c>
      <c r="M11" s="81">
        <v>1</v>
      </c>
      <c r="N11" s="81">
        <v>10</v>
      </c>
      <c r="O11" s="161">
        <f ca="1">E11*J11/$M11</f>
        <v>16.470666757510958</v>
      </c>
      <c r="P11" s="118">
        <f ca="1">F11*J11/$M11</f>
        <v>16.959598334385355</v>
      </c>
      <c r="Q11" s="118">
        <f ca="1">P11*0.6</f>
        <v>10.175759000631212</v>
      </c>
      <c r="R11" s="53">
        <f ca="1">Q11*0.2</f>
        <v>2.0351518001262425</v>
      </c>
      <c r="S11" s="53"/>
      <c r="T11" s="53"/>
      <c r="U11" s="53"/>
      <c r="V11" s="258">
        <f ca="1">IF($E$14=0,0,E11/$E$14)</f>
        <v>0.97002882906359611</v>
      </c>
    </row>
    <row r="12" spans="1:22" ht="15" customHeight="1">
      <c r="A12" s="55"/>
      <c r="B12" s="267" t="s">
        <v>69</v>
      </c>
      <c r="C12" s="99" t="s">
        <v>33</v>
      </c>
      <c r="D12" s="99" t="str">
        <f ca="1">IEAData!H100</f>
        <v>COMDST</v>
      </c>
      <c r="E12" s="103">
        <f ca="1">IEAData!$I$173</f>
        <v>0.50889742040186448</v>
      </c>
      <c r="F12" s="103">
        <f ca="1">AuxData!$I$173</f>
        <v>0.55554374849877808</v>
      </c>
      <c r="G12" s="69">
        <v>1</v>
      </c>
      <c r="H12" s="343" t="str">
        <f>RIGHT(D12,3)</f>
        <v>DST</v>
      </c>
      <c r="I12" s="81">
        <v>0.5</v>
      </c>
      <c r="J12" s="6">
        <f>G12*I12</f>
        <v>0.5</v>
      </c>
      <c r="K12" s="38">
        <f ca="1">F12*J12</f>
        <v>0.27777187424938904</v>
      </c>
      <c r="L12" s="57">
        <v>1</v>
      </c>
      <c r="M12" s="81">
        <v>1</v>
      </c>
      <c r="N12" s="81">
        <v>10</v>
      </c>
      <c r="O12" s="161">
        <f ca="1">E12*J12/$M12</f>
        <v>0.25444871020093224</v>
      </c>
      <c r="P12" s="118">
        <f ca="1">F12*J12/$M12</f>
        <v>0.27777187424938904</v>
      </c>
      <c r="Q12" s="118">
        <f ca="1">P12*0.6</f>
        <v>0.16666312454963342</v>
      </c>
      <c r="R12" s="53">
        <f ca="1">Q12*0.2</f>
        <v>3.3332624909926688E-2</v>
      </c>
      <c r="S12" s="53"/>
      <c r="T12" s="53"/>
      <c r="U12" s="53"/>
      <c r="V12" s="258">
        <f ca="1">IF($E$14=0,0,E12/$E$14)</f>
        <v>2.9971170936403835E-2</v>
      </c>
    </row>
    <row r="13" spans="1:22" ht="15" customHeight="1" thickBot="1">
      <c r="A13" s="55"/>
      <c r="B13" s="266" t="s">
        <v>668</v>
      </c>
      <c r="C13" s="26" t="s">
        <v>34</v>
      </c>
      <c r="D13" s="24" t="str">
        <f ca="1">IEAData!H99</f>
        <v>COMNGA</v>
      </c>
      <c r="E13" s="34">
        <f ca="1">IEAData!$I$172</f>
        <v>0</v>
      </c>
      <c r="F13" s="34">
        <f ca="1">AuxData!$I$172</f>
        <v>0</v>
      </c>
      <c r="G13" s="71">
        <v>1</v>
      </c>
      <c r="H13" s="343" t="str">
        <f>RIGHT(D13,3)</f>
        <v>NGA</v>
      </c>
      <c r="I13" s="81">
        <v>0.5</v>
      </c>
      <c r="J13" s="6">
        <f>G13*I13</f>
        <v>0.5</v>
      </c>
      <c r="K13" s="38">
        <f ca="1">F13*J13</f>
        <v>0</v>
      </c>
      <c r="L13" s="73">
        <v>1</v>
      </c>
      <c r="M13" s="20">
        <v>1</v>
      </c>
      <c r="N13" s="20">
        <v>10</v>
      </c>
      <c r="O13" s="162">
        <f ca="1">E13*J13/$M13</f>
        <v>0</v>
      </c>
      <c r="P13" s="117">
        <f ca="1">F13*J13/$M13</f>
        <v>0</v>
      </c>
      <c r="Q13" s="117">
        <f ca="1">P13*0.6</f>
        <v>0</v>
      </c>
      <c r="R13" s="54">
        <f ca="1">Q13*0.2</f>
        <v>0</v>
      </c>
      <c r="S13" s="54"/>
      <c r="T13" s="54"/>
      <c r="U13" s="54"/>
      <c r="V13" s="258">
        <f ca="1">IF($E$14=0,0,E13/$E$14)</f>
        <v>0</v>
      </c>
    </row>
    <row r="14" spans="1:22" ht="15" customHeight="1">
      <c r="A14" s="55"/>
      <c r="B14" s="434" t="s">
        <v>999</v>
      </c>
      <c r="C14" s="190" t="s">
        <v>215</v>
      </c>
      <c r="D14" s="190"/>
      <c r="E14" s="191">
        <f ca="1">SUM(E11:E13)</f>
        <v>16.979564177912824</v>
      </c>
      <c r="F14" s="191">
        <f ca="1">SUM(F11:F13)</f>
        <v>17.515142082884132</v>
      </c>
      <c r="G14" s="191"/>
      <c r="H14" s="191">
        <f ca="1">SUMPRODUCT(E$11:E13,J$11:J13)</f>
        <v>16.725115467711891</v>
      </c>
      <c r="I14" s="190"/>
      <c r="J14" s="193"/>
      <c r="K14" s="191">
        <f ca="1">SUM(K11:K13)</f>
        <v>17.237370208634744</v>
      </c>
      <c r="L14" s="190"/>
      <c r="M14" s="190"/>
      <c r="N14" s="191"/>
      <c r="O14" s="192">
        <f ca="1">SUM(O11:O13)</f>
        <v>16.725115467711891</v>
      </c>
      <c r="P14" s="190"/>
      <c r="Q14" s="190"/>
      <c r="R14" s="192"/>
      <c r="S14" s="190"/>
      <c r="T14" s="190"/>
      <c r="U14" s="190"/>
      <c r="V14" s="259">
        <f ca="1">SUM(V11:V13)</f>
        <v>1</v>
      </c>
    </row>
    <row r="15" spans="1:22">
      <c r="A15" s="55"/>
      <c r="B15" s="123"/>
      <c r="C15" s="55"/>
      <c r="D15" s="55"/>
      <c r="E15" s="57"/>
      <c r="G15" s="57"/>
      <c r="H15" s="57"/>
      <c r="I15" s="55"/>
      <c r="J15" s="254"/>
      <c r="K15" s="57"/>
      <c r="L15" s="55"/>
      <c r="M15" s="55"/>
      <c r="N15" s="57"/>
      <c r="O15" s="161"/>
      <c r="P15" s="55"/>
      <c r="Q15" s="55"/>
      <c r="R15" s="161"/>
      <c r="S15" s="55"/>
      <c r="T15" s="55"/>
      <c r="U15" s="55"/>
    </row>
    <row r="16" spans="1:22">
      <c r="A16" s="55"/>
      <c r="B16" s="123"/>
      <c r="C16" s="55"/>
      <c r="D16" s="256"/>
      <c r="E16" s="57"/>
      <c r="F16" s="57"/>
      <c r="G16" s="57"/>
      <c r="H16" s="55"/>
      <c r="I16" s="254"/>
      <c r="J16" s="57"/>
      <c r="K16" s="255"/>
      <c r="L16" s="55"/>
      <c r="M16" s="55"/>
      <c r="N16" s="57"/>
      <c r="O16" s="161"/>
      <c r="P16" s="55"/>
      <c r="Q16" s="55"/>
      <c r="R16" s="161"/>
      <c r="S16" s="55"/>
      <c r="T16" s="55"/>
      <c r="U16" s="55"/>
    </row>
    <row r="20" spans="2:13" ht="18">
      <c r="B20" s="155" t="s">
        <v>592</v>
      </c>
      <c r="C20" s="156"/>
      <c r="D20" s="252" t="str">
        <f>"~FI_T: "&amp;Region</f>
        <v>~FI_T: FIN</v>
      </c>
    </row>
    <row r="21" spans="2:13" ht="13.5" thickBot="1">
      <c r="B21" s="27" t="s">
        <v>384</v>
      </c>
      <c r="C21" s="27" t="s">
        <v>385</v>
      </c>
      <c r="D21" s="27" t="s">
        <v>243</v>
      </c>
      <c r="E21" s="344" t="s">
        <v>942</v>
      </c>
      <c r="F21" s="344" t="s">
        <v>942</v>
      </c>
      <c r="G21" s="344" t="s">
        <v>379</v>
      </c>
      <c r="H21" s="344" t="str">
        <f ca="1">G21&amp;"~"&amp;AuxYear</f>
        <v>DEMAND~2017</v>
      </c>
      <c r="I21" s="344" t="s">
        <v>940</v>
      </c>
      <c r="J21" s="344" t="str">
        <f ca="1">I21&amp;"~"&amp;AuxYear</f>
        <v>COM_IE~2017</v>
      </c>
      <c r="K21" s="27"/>
    </row>
    <row r="22" spans="2:13" ht="15" customHeight="1">
      <c r="B22" s="345" t="str">
        <f ca="1">CCL!B30</f>
        <v>CC1</v>
      </c>
      <c r="C22" s="345" t="str">
        <f ca="1">CCL!C30</f>
        <v>Commercial Cooling - Region1</v>
      </c>
      <c r="D22" s="95" t="s">
        <v>249</v>
      </c>
      <c r="E22" s="63">
        <f ca="1">CCL!E30</f>
        <v>5.4093220976636331</v>
      </c>
      <c r="F22" s="63">
        <f ca="1">CCL!F30</f>
        <v>5.5396687240452742</v>
      </c>
      <c r="G22" s="63">
        <f t="shared" ref="G22:H28" ca="1" si="0">IF(E22,1,0)</f>
        <v>1</v>
      </c>
      <c r="H22" s="63">
        <f t="shared" ca="1" si="0"/>
        <v>1</v>
      </c>
      <c r="I22" s="368">
        <f t="shared" ref="I22:J28" ca="1" si="1">IF(E22,1/E22,1)</f>
        <v>0.18486604826728933</v>
      </c>
      <c r="J22" s="368">
        <f t="shared" ca="1" si="1"/>
        <v>0.18051620950896183</v>
      </c>
      <c r="K22" s="18"/>
    </row>
    <row r="23" spans="2:13" ht="15" customHeight="1">
      <c r="B23" s="345" t="str">
        <f ca="1">CCL!B31</f>
        <v>CC2</v>
      </c>
      <c r="C23" s="345" t="str">
        <f ca="1">CCL!C31</f>
        <v>Commercial Cooling - Region2</v>
      </c>
      <c r="D23" s="95" t="s">
        <v>249</v>
      </c>
      <c r="E23" s="63">
        <f ca="1">CCL!E31</f>
        <v>0</v>
      </c>
      <c r="F23" s="63">
        <f ca="1">CCL!F31</f>
        <v>0</v>
      </c>
      <c r="G23" s="63">
        <f t="shared" ca="1" si="0"/>
        <v>0</v>
      </c>
      <c r="H23" s="63">
        <f t="shared" ca="1" si="0"/>
        <v>0</v>
      </c>
      <c r="I23" s="368">
        <f t="shared" ca="1" si="1"/>
        <v>1</v>
      </c>
      <c r="J23" s="368">
        <f t="shared" ca="1" si="1"/>
        <v>1</v>
      </c>
      <c r="K23" s="18"/>
    </row>
    <row r="24" spans="2:13" ht="15" customHeight="1">
      <c r="B24" s="561" t="str">
        <f ca="1">CCK!B19</f>
        <v>CCK</v>
      </c>
      <c r="C24" s="561" t="str">
        <f ca="1">CCK!C19</f>
        <v>Commercial Cooking</v>
      </c>
      <c r="D24" s="95" t="s">
        <v>249</v>
      </c>
      <c r="E24" s="63">
        <f ca="1">CCK!E19</f>
        <v>1.9782172549143084</v>
      </c>
      <c r="F24" s="63">
        <f ca="1">CCK!F19</f>
        <v>2.0312231850109366</v>
      </c>
      <c r="G24" s="63">
        <f t="shared" ca="1" si="0"/>
        <v>1</v>
      </c>
      <c r="H24" s="63">
        <f t="shared" ca="1" si="0"/>
        <v>1</v>
      </c>
      <c r="I24" s="368">
        <f t="shared" ca="1" si="1"/>
        <v>0.5055056503605907</v>
      </c>
      <c r="J24" s="368">
        <f t="shared" ca="1" si="1"/>
        <v>0.49231419145829403</v>
      </c>
      <c r="K24" s="18"/>
    </row>
    <row r="25" spans="2:13" ht="15" customHeight="1">
      <c r="B25" s="561" t="str">
        <f ca="1">CLA!B20</f>
        <v>CLA</v>
      </c>
      <c r="C25" s="561" t="str">
        <f ca="1">CLA!C20</f>
        <v>Commercial Lighting</v>
      </c>
      <c r="D25" s="95" t="s">
        <v>249</v>
      </c>
      <c r="E25" s="63">
        <f ca="1">CLA!E20</f>
        <v>60.055695314542348</v>
      </c>
      <c r="F25" s="342">
        <f ca="1">CLA!F20</f>
        <v>64.602395245121215</v>
      </c>
      <c r="G25" s="63">
        <f t="shared" ca="1" si="0"/>
        <v>1</v>
      </c>
      <c r="H25" s="63">
        <f t="shared" ca="1" si="0"/>
        <v>1</v>
      </c>
      <c r="I25" s="368">
        <f t="shared" ca="1" si="1"/>
        <v>1.6651210093605432E-2</v>
      </c>
      <c r="J25" s="368">
        <f t="shared" ca="1" si="1"/>
        <v>1.5479302217908402E-2</v>
      </c>
      <c r="K25" s="18"/>
    </row>
    <row r="26" spans="2:13" ht="15" customHeight="1">
      <c r="B26" s="80" t="s">
        <v>70</v>
      </c>
      <c r="C26" s="28" t="s">
        <v>640</v>
      </c>
      <c r="D26" s="95" t="s">
        <v>249</v>
      </c>
      <c r="E26" s="63">
        <f ca="1">H8</f>
        <v>3.3148212737960399</v>
      </c>
      <c r="F26" s="63">
        <f ca="1">SUMPRODUCT(F7:F7,J7:J7)</f>
        <v>3.2669403385691389</v>
      </c>
      <c r="G26" s="63">
        <f t="shared" ca="1" si="0"/>
        <v>1</v>
      </c>
      <c r="H26" s="63">
        <f t="shared" ca="1" si="0"/>
        <v>1</v>
      </c>
      <c r="I26" s="368">
        <f t="shared" ca="1" si="1"/>
        <v>0.30167538983325887</v>
      </c>
      <c r="J26" s="368">
        <f t="shared" ca="1" si="1"/>
        <v>0.30609680507296377</v>
      </c>
      <c r="K26" s="18"/>
    </row>
    <row r="27" spans="2:13" ht="15" customHeight="1">
      <c r="B27" s="80" t="s">
        <v>482</v>
      </c>
      <c r="C27" s="28" t="s">
        <v>641</v>
      </c>
      <c r="D27" s="95" t="s">
        <v>249</v>
      </c>
      <c r="E27" s="63">
        <f ca="1">H10</f>
        <v>3.1504464151745699</v>
      </c>
      <c r="F27" s="63">
        <f ca="1">SUMPRODUCT(F9:F9,J9:J9)</f>
        <v>3.1927683008082663</v>
      </c>
      <c r="G27" s="63">
        <f t="shared" ca="1" si="0"/>
        <v>1</v>
      </c>
      <c r="H27" s="63">
        <f t="shared" ca="1" si="0"/>
        <v>1</v>
      </c>
      <c r="I27" s="368">
        <f t="shared" ca="1" si="1"/>
        <v>0.31741533364394292</v>
      </c>
      <c r="J27" s="368">
        <f t="shared" ca="1" si="1"/>
        <v>0.31320782023137872</v>
      </c>
      <c r="K27" s="18"/>
    </row>
    <row r="28" spans="2:13" ht="15" customHeight="1">
      <c r="B28" s="80" t="s">
        <v>215</v>
      </c>
      <c r="C28" s="28" t="s">
        <v>216</v>
      </c>
      <c r="D28" s="95" t="s">
        <v>249</v>
      </c>
      <c r="E28" s="63">
        <f ca="1">H14</f>
        <v>16.725115467711891</v>
      </c>
      <c r="F28" s="63">
        <f ca="1">SUMPRODUCT(F11:F13,J11:J13)</f>
        <v>17.237370208634744</v>
      </c>
      <c r="G28" s="63">
        <f t="shared" ca="1" si="0"/>
        <v>1</v>
      </c>
      <c r="H28" s="63">
        <f t="shared" ca="1" si="0"/>
        <v>1</v>
      </c>
      <c r="I28" s="368">
        <f t="shared" ca="1" si="1"/>
        <v>5.9790319650140311E-2</v>
      </c>
      <c r="J28" s="368">
        <f t="shared" ca="1" si="1"/>
        <v>5.8013489754897091E-2</v>
      </c>
      <c r="K28" s="18"/>
      <c r="M28" s="55"/>
    </row>
    <row r="29" spans="2:13">
      <c r="B29" s="55"/>
      <c r="C29" s="55"/>
      <c r="D29" s="55"/>
      <c r="E29" s="55"/>
      <c r="F29" s="55"/>
      <c r="G29" s="55"/>
      <c r="H29" s="55"/>
      <c r="I29" s="55"/>
      <c r="J29" s="55"/>
      <c r="K29" s="55"/>
      <c r="M29" s="55"/>
    </row>
    <row r="30" spans="2:13">
      <c r="B30" s="55"/>
      <c r="C30" s="55"/>
      <c r="D30" s="55"/>
      <c r="E30" s="55"/>
      <c r="F30" s="55"/>
      <c r="G30" s="55"/>
      <c r="H30" s="55"/>
      <c r="I30" s="55"/>
      <c r="J30" s="55"/>
      <c r="K30" s="55"/>
      <c r="L30" s="55"/>
      <c r="M30"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25.xml><?xml version="1.0" encoding="utf-8"?>
<worksheet xmlns="http://schemas.openxmlformats.org/spreadsheetml/2006/main" xmlns:r="http://schemas.openxmlformats.org/officeDocument/2006/relationships">
  <dimension ref="B3:I280"/>
  <sheetViews>
    <sheetView topLeftCell="A41" zoomScale="80" workbookViewId="0">
      <selection activeCell="B73" sqref="B73"/>
    </sheetView>
  </sheetViews>
  <sheetFormatPr defaultRowHeight="12.75"/>
  <cols>
    <col min="2" max="2" width="8" customWidth="1"/>
    <col min="3" max="3" width="16.140625" customWidth="1"/>
    <col min="4" max="4" width="41.85546875" customWidth="1"/>
  </cols>
  <sheetData>
    <row r="3" spans="2:9">
      <c r="B3" s="245" t="s">
        <v>688</v>
      </c>
    </row>
    <row r="4" spans="2:9">
      <c r="B4" s="289" t="s">
        <v>689</v>
      </c>
      <c r="C4" s="290" t="s">
        <v>57</v>
      </c>
      <c r="D4" s="290" t="s">
        <v>58</v>
      </c>
      <c r="E4" s="290" t="s">
        <v>690</v>
      </c>
      <c r="F4" s="290" t="s">
        <v>691</v>
      </c>
      <c r="G4" s="290" t="s">
        <v>692</v>
      </c>
      <c r="H4" s="290" t="s">
        <v>693</v>
      </c>
      <c r="I4" s="291" t="s">
        <v>694</v>
      </c>
    </row>
    <row r="5" spans="2:9">
      <c r="B5" s="43" t="s">
        <v>984</v>
      </c>
      <c r="C5" s="43" t="s">
        <v>1162</v>
      </c>
      <c r="D5" s="43" t="s">
        <v>198</v>
      </c>
      <c r="E5" s="43" t="s">
        <v>249</v>
      </c>
      <c r="F5" s="43" t="s">
        <v>695</v>
      </c>
      <c r="G5" s="43" t="s">
        <v>812</v>
      </c>
      <c r="H5" s="43"/>
      <c r="I5" s="43" t="s">
        <v>696</v>
      </c>
    </row>
    <row r="6" spans="2:9">
      <c r="B6" s="43" t="s">
        <v>984</v>
      </c>
      <c r="C6" s="43" t="s">
        <v>1163</v>
      </c>
      <c r="D6" s="43" t="s">
        <v>174</v>
      </c>
      <c r="E6" s="43" t="s">
        <v>249</v>
      </c>
      <c r="F6" s="43" t="s">
        <v>695</v>
      </c>
      <c r="G6" s="43" t="s">
        <v>277</v>
      </c>
      <c r="H6" s="43"/>
      <c r="I6" s="43" t="s">
        <v>696</v>
      </c>
    </row>
    <row r="7" spans="2:9">
      <c r="B7" s="43" t="s">
        <v>984</v>
      </c>
      <c r="C7" s="43" t="s">
        <v>1164</v>
      </c>
      <c r="D7" s="43" t="s">
        <v>41</v>
      </c>
      <c r="E7" s="43" t="s">
        <v>249</v>
      </c>
      <c r="F7" s="43" t="s">
        <v>695</v>
      </c>
      <c r="G7" s="43" t="s">
        <v>277</v>
      </c>
      <c r="H7" s="43"/>
      <c r="I7" s="43" t="s">
        <v>696</v>
      </c>
    </row>
    <row r="8" spans="2:9">
      <c r="B8" s="43" t="s">
        <v>985</v>
      </c>
      <c r="C8" s="43" t="s">
        <v>1165</v>
      </c>
      <c r="D8" s="43" t="s">
        <v>200</v>
      </c>
      <c r="E8" s="43" t="s">
        <v>249</v>
      </c>
      <c r="F8" s="43" t="s">
        <v>695</v>
      </c>
      <c r="G8" s="43" t="s">
        <v>812</v>
      </c>
      <c r="H8" s="43"/>
      <c r="I8" s="43" t="s">
        <v>696</v>
      </c>
    </row>
    <row r="9" spans="2:9">
      <c r="B9" s="43" t="s">
        <v>985</v>
      </c>
      <c r="C9" s="43" t="s">
        <v>1166</v>
      </c>
      <c r="D9" s="43" t="s">
        <v>176</v>
      </c>
      <c r="E9" s="43" t="s">
        <v>249</v>
      </c>
      <c r="F9" s="43" t="s">
        <v>695</v>
      </c>
      <c r="G9" s="43" t="s">
        <v>812</v>
      </c>
      <c r="H9" s="43"/>
      <c r="I9" s="43" t="s">
        <v>696</v>
      </c>
    </row>
    <row r="10" spans="2:9">
      <c r="B10" s="43" t="s">
        <v>985</v>
      </c>
      <c r="C10" s="43" t="s">
        <v>1161</v>
      </c>
      <c r="D10" s="43" t="s">
        <v>176</v>
      </c>
      <c r="E10" s="43" t="s">
        <v>249</v>
      </c>
      <c r="F10" s="43" t="s">
        <v>695</v>
      </c>
      <c r="G10" s="43" t="s">
        <v>812</v>
      </c>
      <c r="H10" s="43"/>
      <c r="I10" s="43" t="s">
        <v>696</v>
      </c>
    </row>
    <row r="11" spans="2:9">
      <c r="B11" s="43" t="s">
        <v>985</v>
      </c>
      <c r="C11" s="43" t="s">
        <v>1167</v>
      </c>
      <c r="D11" s="43" t="s">
        <v>156</v>
      </c>
      <c r="E11" s="43" t="s">
        <v>249</v>
      </c>
      <c r="F11" s="43" t="s">
        <v>695</v>
      </c>
      <c r="G11" s="43" t="s">
        <v>812</v>
      </c>
      <c r="H11" s="43"/>
      <c r="I11" s="43" t="s">
        <v>696</v>
      </c>
    </row>
    <row r="12" spans="2:9">
      <c r="B12" s="43" t="s">
        <v>983</v>
      </c>
      <c r="C12" s="43" t="s">
        <v>1233</v>
      </c>
      <c r="D12" s="43" t="s">
        <v>1236</v>
      </c>
      <c r="E12" s="43" t="s">
        <v>249</v>
      </c>
      <c r="F12" s="43" t="s">
        <v>695</v>
      </c>
      <c r="G12" s="43"/>
      <c r="H12" s="43"/>
      <c r="I12" s="43" t="s">
        <v>696</v>
      </c>
    </row>
    <row r="13" spans="2:9">
      <c r="B13" s="43" t="s">
        <v>983</v>
      </c>
      <c r="C13" s="43" t="s">
        <v>1168</v>
      </c>
      <c r="D13" s="43" t="s">
        <v>192</v>
      </c>
      <c r="E13" s="43" t="s">
        <v>249</v>
      </c>
      <c r="F13" s="43" t="s">
        <v>695</v>
      </c>
      <c r="G13" s="43"/>
      <c r="H13" s="43"/>
      <c r="I13" s="43" t="s">
        <v>696</v>
      </c>
    </row>
    <row r="14" spans="2:9">
      <c r="B14" s="43" t="s">
        <v>983</v>
      </c>
      <c r="C14" s="43" t="s">
        <v>1169</v>
      </c>
      <c r="D14" s="43" t="s">
        <v>192</v>
      </c>
      <c r="E14" s="43" t="s">
        <v>249</v>
      </c>
      <c r="F14" s="43" t="s">
        <v>695</v>
      </c>
      <c r="G14" s="43"/>
      <c r="H14" s="43"/>
      <c r="I14" s="43" t="s">
        <v>696</v>
      </c>
    </row>
    <row r="15" spans="2:9">
      <c r="B15" s="43" t="s">
        <v>983</v>
      </c>
      <c r="C15" s="43" t="s">
        <v>1170</v>
      </c>
      <c r="D15" s="43" t="s">
        <v>1054</v>
      </c>
      <c r="E15" s="43" t="s">
        <v>249</v>
      </c>
      <c r="F15" s="43" t="s">
        <v>695</v>
      </c>
      <c r="G15" s="43"/>
      <c r="H15" s="43"/>
      <c r="I15" s="43" t="s">
        <v>696</v>
      </c>
    </row>
    <row r="16" spans="2:9">
      <c r="B16" s="43" t="s">
        <v>983</v>
      </c>
      <c r="C16" s="43" t="s">
        <v>1171</v>
      </c>
      <c r="D16" s="43" t="s">
        <v>1035</v>
      </c>
      <c r="E16" s="43" t="s">
        <v>249</v>
      </c>
      <c r="F16" s="43" t="s">
        <v>695</v>
      </c>
      <c r="G16" s="43"/>
      <c r="H16" s="43"/>
      <c r="I16" s="43" t="s">
        <v>696</v>
      </c>
    </row>
    <row r="17" spans="2:9">
      <c r="B17" s="43" t="s">
        <v>983</v>
      </c>
      <c r="C17" s="43" t="s">
        <v>1172</v>
      </c>
      <c r="D17" s="43" t="s">
        <v>133</v>
      </c>
      <c r="E17" s="43" t="s">
        <v>249</v>
      </c>
      <c r="F17" s="43" t="s">
        <v>695</v>
      </c>
      <c r="G17" s="43"/>
      <c r="H17" s="43"/>
      <c r="I17" s="43" t="s">
        <v>696</v>
      </c>
    </row>
    <row r="18" spans="2:9">
      <c r="B18" s="43" t="s">
        <v>983</v>
      </c>
      <c r="C18" s="43" t="s">
        <v>1173</v>
      </c>
      <c r="D18" s="43" t="s">
        <v>194</v>
      </c>
      <c r="E18" s="43" t="s">
        <v>249</v>
      </c>
      <c r="F18" s="43" t="s">
        <v>695</v>
      </c>
      <c r="G18" s="43"/>
      <c r="H18" s="43"/>
      <c r="I18" s="43" t="s">
        <v>696</v>
      </c>
    </row>
    <row r="19" spans="2:9">
      <c r="B19" s="43" t="s">
        <v>983</v>
      </c>
      <c r="C19" s="43" t="s">
        <v>1174</v>
      </c>
      <c r="D19" s="43" t="s">
        <v>135</v>
      </c>
      <c r="E19" s="43" t="s">
        <v>249</v>
      </c>
      <c r="F19" s="43" t="s">
        <v>695</v>
      </c>
      <c r="G19" s="43"/>
      <c r="H19" s="43"/>
      <c r="I19" s="43" t="s">
        <v>696</v>
      </c>
    </row>
    <row r="20" spans="2:9">
      <c r="B20" s="43" t="s">
        <v>983</v>
      </c>
      <c r="C20" s="43" t="s">
        <v>1175</v>
      </c>
      <c r="D20" s="43" t="s">
        <v>122</v>
      </c>
      <c r="E20" s="43" t="s">
        <v>249</v>
      </c>
      <c r="F20" s="43" t="s">
        <v>695</v>
      </c>
      <c r="G20" s="43"/>
      <c r="H20" s="43"/>
      <c r="I20" s="43" t="s">
        <v>696</v>
      </c>
    </row>
    <row r="21" spans="2:9">
      <c r="B21" s="43" t="s">
        <v>983</v>
      </c>
      <c r="C21" s="43" t="s">
        <v>1176</v>
      </c>
      <c r="D21" s="43" t="s">
        <v>187</v>
      </c>
      <c r="E21" s="43" t="s">
        <v>249</v>
      </c>
      <c r="F21" s="43" t="s">
        <v>695</v>
      </c>
      <c r="G21" s="43"/>
      <c r="H21" s="43"/>
      <c r="I21" s="43" t="s">
        <v>696</v>
      </c>
    </row>
    <row r="22" spans="2:9">
      <c r="B22" s="43" t="s">
        <v>983</v>
      </c>
      <c r="C22" s="43" t="s">
        <v>1177</v>
      </c>
      <c r="D22" s="43" t="s">
        <v>190</v>
      </c>
      <c r="E22" s="43" t="s">
        <v>249</v>
      </c>
      <c r="F22" s="43" t="s">
        <v>695</v>
      </c>
      <c r="G22" s="43"/>
      <c r="H22" s="43"/>
      <c r="I22" s="43" t="s">
        <v>696</v>
      </c>
    </row>
    <row r="23" spans="2:9">
      <c r="B23" s="43" t="s">
        <v>983</v>
      </c>
      <c r="C23" s="43" t="s">
        <v>1178</v>
      </c>
      <c r="D23" s="43" t="s">
        <v>517</v>
      </c>
      <c r="E23" s="43" t="s">
        <v>249</v>
      </c>
      <c r="F23" s="43" t="s">
        <v>695</v>
      </c>
      <c r="G23" s="43"/>
      <c r="H23" s="43"/>
      <c r="I23" s="43" t="s">
        <v>696</v>
      </c>
    </row>
    <row r="24" spans="2:9">
      <c r="B24" s="43" t="s">
        <v>983</v>
      </c>
      <c r="C24" s="43" t="s">
        <v>1179</v>
      </c>
      <c r="D24" s="43" t="s">
        <v>125</v>
      </c>
      <c r="E24" s="43" t="s">
        <v>249</v>
      </c>
      <c r="F24" s="43" t="s">
        <v>695</v>
      </c>
      <c r="G24" s="43"/>
      <c r="H24" s="43"/>
      <c r="I24" s="43" t="s">
        <v>696</v>
      </c>
    </row>
    <row r="25" spans="2:9">
      <c r="B25" s="43" t="s">
        <v>983</v>
      </c>
      <c r="C25" s="43" t="s">
        <v>1180</v>
      </c>
      <c r="D25" s="43" t="s">
        <v>196</v>
      </c>
      <c r="E25" s="43" t="s">
        <v>249</v>
      </c>
      <c r="F25" s="43" t="s">
        <v>695</v>
      </c>
      <c r="G25" s="43"/>
      <c r="H25" s="43"/>
      <c r="I25" s="43" t="s">
        <v>696</v>
      </c>
    </row>
    <row r="26" spans="2:9">
      <c r="B26" s="43" t="s">
        <v>983</v>
      </c>
      <c r="C26" s="43" t="s">
        <v>1181</v>
      </c>
      <c r="D26" s="43" t="s">
        <v>168</v>
      </c>
      <c r="E26" s="43" t="s">
        <v>249</v>
      </c>
      <c r="F26" s="43" t="s">
        <v>695</v>
      </c>
      <c r="G26" s="43"/>
      <c r="H26" s="43"/>
      <c r="I26" s="43" t="s">
        <v>696</v>
      </c>
    </row>
    <row r="27" spans="2:9">
      <c r="B27" s="43" t="s">
        <v>983</v>
      </c>
      <c r="C27" s="43" t="s">
        <v>1182</v>
      </c>
      <c r="D27" s="43" t="s">
        <v>3</v>
      </c>
      <c r="E27" s="43" t="s">
        <v>249</v>
      </c>
      <c r="F27" s="43" t="s">
        <v>695</v>
      </c>
      <c r="G27" s="43"/>
      <c r="H27" s="43"/>
      <c r="I27" s="43" t="s">
        <v>696</v>
      </c>
    </row>
    <row r="28" spans="2:9">
      <c r="B28" s="43" t="s">
        <v>983</v>
      </c>
      <c r="C28" s="43" t="s">
        <v>1183</v>
      </c>
      <c r="D28" s="43" t="s">
        <v>935</v>
      </c>
      <c r="E28" s="43" t="s">
        <v>249</v>
      </c>
      <c r="F28" s="43" t="s">
        <v>695</v>
      </c>
      <c r="G28" s="43"/>
      <c r="H28" s="43"/>
      <c r="I28" s="43" t="s">
        <v>696</v>
      </c>
    </row>
    <row r="29" spans="2:9">
      <c r="B29" s="43" t="s">
        <v>983</v>
      </c>
      <c r="C29" s="43" t="s">
        <v>1252</v>
      </c>
      <c r="D29" s="43" t="s">
        <v>1253</v>
      </c>
      <c r="E29" s="43" t="s">
        <v>249</v>
      </c>
      <c r="F29" s="43" t="s">
        <v>695</v>
      </c>
      <c r="G29" s="43"/>
      <c r="H29" s="43"/>
      <c r="I29" s="43" t="s">
        <v>696</v>
      </c>
    </row>
    <row r="30" spans="2:9">
      <c r="B30" s="43" t="s">
        <v>983</v>
      </c>
      <c r="C30" s="43" t="s">
        <v>1184</v>
      </c>
      <c r="D30" s="43" t="s">
        <v>1036</v>
      </c>
      <c r="E30" s="43" t="s">
        <v>249</v>
      </c>
      <c r="F30" s="43" t="s">
        <v>695</v>
      </c>
      <c r="G30" s="43"/>
      <c r="H30" s="43"/>
      <c r="I30" s="43" t="s">
        <v>696</v>
      </c>
    </row>
    <row r="31" spans="2:9">
      <c r="B31" s="43" t="s">
        <v>983</v>
      </c>
      <c r="C31" s="43" t="s">
        <v>1185</v>
      </c>
      <c r="D31" s="43" t="s">
        <v>1037</v>
      </c>
      <c r="E31" s="43" t="s">
        <v>249</v>
      </c>
      <c r="F31" s="43" t="s">
        <v>695</v>
      </c>
      <c r="G31" s="43"/>
      <c r="H31" s="43"/>
      <c r="I31" s="43" t="s">
        <v>696</v>
      </c>
    </row>
    <row r="32" spans="2:9">
      <c r="B32" s="43" t="s">
        <v>983</v>
      </c>
      <c r="C32" s="43" t="s">
        <v>1186</v>
      </c>
      <c r="D32" s="43" t="s">
        <v>159</v>
      </c>
      <c r="E32" s="43" t="s">
        <v>249</v>
      </c>
      <c r="F32" s="43" t="s">
        <v>695</v>
      </c>
      <c r="G32" s="43"/>
      <c r="H32" s="43"/>
      <c r="I32" s="43" t="s">
        <v>696</v>
      </c>
    </row>
    <row r="33" spans="2:9">
      <c r="B33" s="43" t="s">
        <v>983</v>
      </c>
      <c r="C33" s="43" t="s">
        <v>1187</v>
      </c>
      <c r="D33" s="43" t="s">
        <v>0</v>
      </c>
      <c r="E33" s="43" t="s">
        <v>249</v>
      </c>
      <c r="F33" s="43" t="s">
        <v>695</v>
      </c>
      <c r="G33" s="43"/>
      <c r="H33" s="43"/>
      <c r="I33" s="43" t="s">
        <v>696</v>
      </c>
    </row>
    <row r="34" spans="2:9">
      <c r="B34" s="43" t="s">
        <v>983</v>
      </c>
      <c r="C34" s="43" t="s">
        <v>1188</v>
      </c>
      <c r="D34" s="43" t="s">
        <v>170</v>
      </c>
      <c r="E34" s="43" t="s">
        <v>249</v>
      </c>
      <c r="F34" s="43" t="s">
        <v>695</v>
      </c>
      <c r="G34" s="43"/>
      <c r="H34" s="43"/>
      <c r="I34" s="43" t="s">
        <v>696</v>
      </c>
    </row>
    <row r="35" spans="2:9">
      <c r="B35" s="43" t="s">
        <v>983</v>
      </c>
      <c r="C35" s="43" t="s">
        <v>1189</v>
      </c>
      <c r="D35" s="43" t="s">
        <v>4</v>
      </c>
      <c r="E35" s="43" t="s">
        <v>249</v>
      </c>
      <c r="F35" s="43" t="s">
        <v>695</v>
      </c>
      <c r="G35" s="43"/>
      <c r="H35" s="43"/>
      <c r="I35" s="43" t="s">
        <v>696</v>
      </c>
    </row>
    <row r="36" spans="2:9">
      <c r="B36" s="43" t="s">
        <v>983</v>
      </c>
      <c r="C36" s="43" t="s">
        <v>1222</v>
      </c>
      <c r="D36" s="43" t="s">
        <v>4</v>
      </c>
      <c r="E36" s="43" t="s">
        <v>249</v>
      </c>
      <c r="F36" s="43" t="s">
        <v>695</v>
      </c>
      <c r="G36" s="43"/>
      <c r="H36" s="43"/>
      <c r="I36" s="43" t="s">
        <v>696</v>
      </c>
    </row>
    <row r="37" spans="2:9">
      <c r="B37" s="43" t="s">
        <v>983</v>
      </c>
      <c r="C37" s="43" t="s">
        <v>1223</v>
      </c>
      <c r="D37" s="43" t="s">
        <v>4</v>
      </c>
      <c r="E37" s="43" t="s">
        <v>249</v>
      </c>
      <c r="F37" s="43" t="s">
        <v>695</v>
      </c>
      <c r="G37" s="43"/>
      <c r="H37" s="43"/>
      <c r="I37" s="43" t="s">
        <v>696</v>
      </c>
    </row>
    <row r="38" spans="2:9">
      <c r="B38" s="43" t="s">
        <v>983</v>
      </c>
      <c r="C38" s="43" t="s">
        <v>1190</v>
      </c>
      <c r="D38" s="43" t="s">
        <v>161</v>
      </c>
      <c r="E38" s="43" t="s">
        <v>249</v>
      </c>
      <c r="F38" s="43" t="s">
        <v>695</v>
      </c>
      <c r="G38" s="43"/>
      <c r="H38" s="43"/>
      <c r="I38" s="43" t="s">
        <v>696</v>
      </c>
    </row>
    <row r="39" spans="2:9">
      <c r="B39" s="43" t="s">
        <v>983</v>
      </c>
      <c r="C39" s="43" t="s">
        <v>1245</v>
      </c>
      <c r="D39" s="43" t="s">
        <v>1244</v>
      </c>
      <c r="E39" s="43" t="s">
        <v>249</v>
      </c>
      <c r="F39" s="43" t="s">
        <v>695</v>
      </c>
      <c r="G39" s="43"/>
      <c r="H39" s="43"/>
      <c r="I39" s="43" t="s">
        <v>696</v>
      </c>
    </row>
    <row r="40" spans="2:9">
      <c r="B40" s="43" t="s">
        <v>983</v>
      </c>
      <c r="C40" s="43" t="s">
        <v>1191</v>
      </c>
      <c r="D40" s="43" t="s">
        <v>163</v>
      </c>
      <c r="E40" s="43" t="s">
        <v>249</v>
      </c>
      <c r="F40" s="43" t="s">
        <v>695</v>
      </c>
      <c r="G40" s="43"/>
      <c r="H40" s="43"/>
      <c r="I40" s="43" t="s">
        <v>696</v>
      </c>
    </row>
    <row r="41" spans="2:9">
      <c r="B41" s="43" t="s">
        <v>983</v>
      </c>
      <c r="C41" s="43" t="s">
        <v>1192</v>
      </c>
      <c r="D41" s="43" t="s">
        <v>1</v>
      </c>
      <c r="E41" s="43" t="s">
        <v>249</v>
      </c>
      <c r="F41" s="43" t="s">
        <v>695</v>
      </c>
      <c r="G41" s="43"/>
      <c r="H41" s="43"/>
      <c r="I41" s="43" t="s">
        <v>696</v>
      </c>
    </row>
    <row r="42" spans="2:9">
      <c r="B42" s="43" t="s">
        <v>983</v>
      </c>
      <c r="C42" s="43" t="s">
        <v>1193</v>
      </c>
      <c r="D42" s="43" t="s">
        <v>166</v>
      </c>
      <c r="E42" s="43" t="s">
        <v>249</v>
      </c>
      <c r="F42" s="43" t="s">
        <v>695</v>
      </c>
      <c r="G42" s="43"/>
      <c r="H42" s="43"/>
      <c r="I42" s="43" t="s">
        <v>696</v>
      </c>
    </row>
    <row r="43" spans="2:9">
      <c r="B43" s="43" t="s">
        <v>983</v>
      </c>
      <c r="C43" s="43" t="s">
        <v>1194</v>
      </c>
      <c r="D43" s="43" t="s">
        <v>2</v>
      </c>
      <c r="E43" s="43" t="s">
        <v>249</v>
      </c>
      <c r="F43" s="43" t="s">
        <v>695</v>
      </c>
      <c r="G43" s="43"/>
      <c r="H43" s="43"/>
      <c r="I43" s="43" t="s">
        <v>696</v>
      </c>
    </row>
    <row r="44" spans="2:9">
      <c r="B44" s="43" t="s">
        <v>983</v>
      </c>
      <c r="C44" s="43" t="s">
        <v>1195</v>
      </c>
      <c r="D44" s="43" t="s">
        <v>530</v>
      </c>
      <c r="E44" s="43" t="s">
        <v>249</v>
      </c>
      <c r="F44" s="43" t="s">
        <v>695</v>
      </c>
      <c r="G44" s="43"/>
      <c r="H44" s="43"/>
      <c r="I44" s="43" t="s">
        <v>696</v>
      </c>
    </row>
    <row r="45" spans="2:9">
      <c r="B45" s="43" t="s">
        <v>983</v>
      </c>
      <c r="C45" s="43" t="s">
        <v>1196</v>
      </c>
      <c r="D45" s="43" t="s">
        <v>687</v>
      </c>
      <c r="E45" s="43" t="s">
        <v>249</v>
      </c>
      <c r="F45" s="43" t="s">
        <v>695</v>
      </c>
      <c r="G45" s="43"/>
      <c r="H45" s="43"/>
      <c r="I45" s="43" t="s">
        <v>696</v>
      </c>
    </row>
    <row r="46" spans="2:9">
      <c r="B46" s="43" t="s">
        <v>983</v>
      </c>
      <c r="C46" s="43" t="s">
        <v>1197</v>
      </c>
      <c r="D46" s="43" t="s">
        <v>172</v>
      </c>
      <c r="E46" s="43" t="s">
        <v>249</v>
      </c>
      <c r="F46" s="43" t="s">
        <v>695</v>
      </c>
      <c r="G46" s="43"/>
      <c r="H46" s="43"/>
      <c r="I46" s="43" t="s">
        <v>696</v>
      </c>
    </row>
    <row r="47" spans="2:9">
      <c r="B47" s="43" t="s">
        <v>983</v>
      </c>
      <c r="C47" s="43" t="s">
        <v>1198</v>
      </c>
      <c r="D47" s="43" t="s">
        <v>5</v>
      </c>
      <c r="E47" s="43" t="s">
        <v>249</v>
      </c>
      <c r="F47" s="43" t="s">
        <v>695</v>
      </c>
      <c r="G47" s="43"/>
      <c r="H47" s="43"/>
      <c r="I47" s="43" t="s">
        <v>696</v>
      </c>
    </row>
    <row r="48" spans="2:9">
      <c r="B48" s="43" t="s">
        <v>983</v>
      </c>
      <c r="C48" s="43" t="s">
        <v>1230</v>
      </c>
      <c r="D48" s="43" t="s">
        <v>1237</v>
      </c>
      <c r="E48" s="43" t="s">
        <v>249</v>
      </c>
      <c r="F48" s="43" t="s">
        <v>695</v>
      </c>
      <c r="G48" s="43"/>
      <c r="H48" s="43"/>
      <c r="I48" s="43" t="s">
        <v>696</v>
      </c>
    </row>
    <row r="49" spans="2:9">
      <c r="B49" s="43" t="s">
        <v>983</v>
      </c>
      <c r="C49" s="43" t="s">
        <v>1199</v>
      </c>
      <c r="D49" s="43" t="s">
        <v>448</v>
      </c>
      <c r="E49" s="43" t="s">
        <v>249</v>
      </c>
      <c r="F49" s="43" t="s">
        <v>695</v>
      </c>
      <c r="G49" s="43"/>
      <c r="H49" s="43"/>
      <c r="I49" s="43" t="s">
        <v>696</v>
      </c>
    </row>
    <row r="50" spans="2:9">
      <c r="B50" s="43" t="s">
        <v>983</v>
      </c>
      <c r="C50" s="43" t="s">
        <v>1200</v>
      </c>
      <c r="D50" s="43" t="s">
        <v>684</v>
      </c>
      <c r="E50" s="43" t="s">
        <v>249</v>
      </c>
      <c r="F50" s="43" t="s">
        <v>695</v>
      </c>
      <c r="G50" s="43"/>
      <c r="H50" s="43"/>
      <c r="I50" s="43" t="s">
        <v>696</v>
      </c>
    </row>
    <row r="51" spans="2:9">
      <c r="B51" s="43" t="s">
        <v>983</v>
      </c>
      <c r="C51" s="43" t="s">
        <v>1201</v>
      </c>
      <c r="D51" s="43" t="s">
        <v>936</v>
      </c>
      <c r="E51" s="43" t="s">
        <v>249</v>
      </c>
      <c r="F51" s="43" t="s">
        <v>695</v>
      </c>
      <c r="G51" s="43"/>
      <c r="H51" s="43"/>
      <c r="I51" s="43" t="s">
        <v>696</v>
      </c>
    </row>
    <row r="52" spans="2:9">
      <c r="B52" s="43" t="s">
        <v>983</v>
      </c>
      <c r="C52" s="43" t="s">
        <v>1202</v>
      </c>
      <c r="D52" s="43" t="s">
        <v>936</v>
      </c>
      <c r="E52" s="43" t="s">
        <v>249</v>
      </c>
      <c r="F52" s="43" t="s">
        <v>695</v>
      </c>
      <c r="G52" s="43"/>
      <c r="H52" s="43"/>
      <c r="I52" s="43" t="s">
        <v>696</v>
      </c>
    </row>
    <row r="53" spans="2:9">
      <c r="B53" s="43" t="s">
        <v>983</v>
      </c>
      <c r="C53" s="43" t="s">
        <v>1203</v>
      </c>
      <c r="D53" s="43" t="s">
        <v>1042</v>
      </c>
      <c r="E53" s="43" t="s">
        <v>249</v>
      </c>
      <c r="F53" s="43" t="s">
        <v>695</v>
      </c>
      <c r="G53" s="43"/>
      <c r="H53" s="43"/>
      <c r="I53" s="43" t="s">
        <v>696</v>
      </c>
    </row>
    <row r="54" spans="2:9">
      <c r="B54" s="43" t="s">
        <v>983</v>
      </c>
      <c r="C54" s="43" t="s">
        <v>1204</v>
      </c>
      <c r="D54" s="43" t="s">
        <v>1043</v>
      </c>
      <c r="E54" s="43" t="s">
        <v>249</v>
      </c>
      <c r="F54" s="43" t="s">
        <v>695</v>
      </c>
      <c r="G54" s="43"/>
      <c r="H54" s="43"/>
      <c r="I54" s="43" t="s">
        <v>696</v>
      </c>
    </row>
    <row r="55" spans="2:9">
      <c r="B55" s="43" t="s">
        <v>983</v>
      </c>
      <c r="C55" s="43" t="s">
        <v>1205</v>
      </c>
      <c r="D55" s="43" t="s">
        <v>203</v>
      </c>
      <c r="E55" s="43" t="s">
        <v>249</v>
      </c>
      <c r="F55" s="43" t="s">
        <v>695</v>
      </c>
      <c r="G55" s="43"/>
      <c r="H55" s="43"/>
      <c r="I55" s="43" t="s">
        <v>696</v>
      </c>
    </row>
    <row r="56" spans="2:9">
      <c r="B56" s="43" t="s">
        <v>983</v>
      </c>
      <c r="C56" s="43" t="s">
        <v>1206</v>
      </c>
      <c r="D56" s="43" t="s">
        <v>681</v>
      </c>
      <c r="E56" s="43" t="s">
        <v>249</v>
      </c>
      <c r="F56" s="43" t="s">
        <v>695</v>
      </c>
      <c r="G56" s="43"/>
      <c r="H56" s="43"/>
      <c r="I56" s="43" t="s">
        <v>696</v>
      </c>
    </row>
    <row r="57" spans="2:9">
      <c r="B57" s="43" t="s">
        <v>983</v>
      </c>
      <c r="C57" s="43" t="s">
        <v>1207</v>
      </c>
      <c r="D57" s="43" t="s">
        <v>450</v>
      </c>
      <c r="E57" s="43" t="s">
        <v>249</v>
      </c>
      <c r="F57" s="43" t="s">
        <v>695</v>
      </c>
      <c r="G57" s="43"/>
      <c r="H57" s="43"/>
      <c r="I57" s="43" t="s">
        <v>696</v>
      </c>
    </row>
    <row r="58" spans="2:9">
      <c r="B58" s="43" t="s">
        <v>983</v>
      </c>
      <c r="C58" s="43" t="s">
        <v>1208</v>
      </c>
      <c r="D58" s="43" t="s">
        <v>685</v>
      </c>
      <c r="E58" s="43" t="s">
        <v>249</v>
      </c>
      <c r="F58" s="43" t="s">
        <v>695</v>
      </c>
      <c r="G58" s="43"/>
      <c r="H58" s="43"/>
      <c r="I58" s="43" t="s">
        <v>696</v>
      </c>
    </row>
    <row r="59" spans="2:9">
      <c r="B59" s="43" t="s">
        <v>983</v>
      </c>
      <c r="C59" s="43" t="s">
        <v>1220</v>
      </c>
      <c r="D59" s="43" t="s">
        <v>685</v>
      </c>
      <c r="E59" s="43" t="s">
        <v>249</v>
      </c>
      <c r="F59" s="43" t="s">
        <v>695</v>
      </c>
      <c r="G59" s="43"/>
      <c r="H59" s="43"/>
      <c r="I59" s="43" t="s">
        <v>696</v>
      </c>
    </row>
    <row r="60" spans="2:9">
      <c r="B60" s="43" t="s">
        <v>983</v>
      </c>
      <c r="C60" s="43" t="s">
        <v>1221</v>
      </c>
      <c r="D60" s="43" t="s">
        <v>685</v>
      </c>
      <c r="E60" s="43" t="s">
        <v>249</v>
      </c>
      <c r="F60" s="43" t="s">
        <v>695</v>
      </c>
      <c r="G60" s="43"/>
      <c r="H60" s="43"/>
      <c r="I60" s="43" t="s">
        <v>696</v>
      </c>
    </row>
    <row r="61" spans="2:9">
      <c r="B61" s="43" t="s">
        <v>983</v>
      </c>
      <c r="C61" s="43" t="s">
        <v>1209</v>
      </c>
      <c r="D61" s="43" t="s">
        <v>205</v>
      </c>
      <c r="E61" s="43" t="s">
        <v>249</v>
      </c>
      <c r="F61" s="43" t="s">
        <v>695</v>
      </c>
      <c r="G61" s="43"/>
      <c r="H61" s="43"/>
      <c r="I61" s="43" t="s">
        <v>696</v>
      </c>
    </row>
    <row r="62" spans="2:9">
      <c r="B62" s="43" t="s">
        <v>983</v>
      </c>
      <c r="C62" s="43" t="s">
        <v>1242</v>
      </c>
      <c r="D62" s="43" t="s">
        <v>1241</v>
      </c>
      <c r="E62" s="43" t="s">
        <v>249</v>
      </c>
      <c r="F62" s="43" t="s">
        <v>695</v>
      </c>
      <c r="G62" s="43"/>
      <c r="H62" s="43"/>
      <c r="I62" s="43" t="s">
        <v>696</v>
      </c>
    </row>
    <row r="63" spans="2:9">
      <c r="B63" s="43" t="s">
        <v>983</v>
      </c>
      <c r="C63" s="43" t="s">
        <v>1210</v>
      </c>
      <c r="D63" s="43" t="s">
        <v>207</v>
      </c>
      <c r="E63" s="43" t="s">
        <v>249</v>
      </c>
      <c r="F63" s="43" t="s">
        <v>695</v>
      </c>
      <c r="G63" s="43"/>
      <c r="H63" s="43"/>
      <c r="I63" s="43" t="s">
        <v>696</v>
      </c>
    </row>
    <row r="64" spans="2:9">
      <c r="B64" s="43" t="s">
        <v>983</v>
      </c>
      <c r="C64" s="43" t="s">
        <v>1211</v>
      </c>
      <c r="D64" s="43" t="s">
        <v>682</v>
      </c>
      <c r="E64" s="43" t="s">
        <v>249</v>
      </c>
      <c r="F64" s="43" t="s">
        <v>695</v>
      </c>
      <c r="G64" s="43"/>
      <c r="H64" s="43"/>
      <c r="I64" s="43" t="s">
        <v>696</v>
      </c>
    </row>
    <row r="65" spans="2:9">
      <c r="B65" s="43" t="s">
        <v>983</v>
      </c>
      <c r="C65" s="43" t="s">
        <v>1212</v>
      </c>
      <c r="D65" s="43" t="s">
        <v>210</v>
      </c>
      <c r="E65" s="43" t="s">
        <v>249</v>
      </c>
      <c r="F65" s="43" t="s">
        <v>695</v>
      </c>
      <c r="G65" s="43"/>
      <c r="H65" s="43"/>
      <c r="I65" s="43" t="s">
        <v>696</v>
      </c>
    </row>
    <row r="66" spans="2:9">
      <c r="B66" s="43" t="s">
        <v>983</v>
      </c>
      <c r="C66" s="43" t="s">
        <v>1213</v>
      </c>
      <c r="D66" s="43" t="s">
        <v>683</v>
      </c>
      <c r="E66" s="43" t="s">
        <v>249</v>
      </c>
      <c r="F66" s="43" t="s">
        <v>695</v>
      </c>
      <c r="G66" s="43"/>
      <c r="H66" s="43"/>
      <c r="I66" s="43" t="s">
        <v>696</v>
      </c>
    </row>
    <row r="67" spans="2:9">
      <c r="B67" s="43" t="s">
        <v>983</v>
      </c>
      <c r="C67" s="43" t="s">
        <v>1214</v>
      </c>
      <c r="D67" s="43" t="s">
        <v>529</v>
      </c>
      <c r="E67" s="43" t="s">
        <v>249</v>
      </c>
      <c r="F67" s="43" t="s">
        <v>695</v>
      </c>
      <c r="G67" s="43"/>
      <c r="H67" s="43"/>
      <c r="I67" s="43" t="s">
        <v>696</v>
      </c>
    </row>
    <row r="68" spans="2:9">
      <c r="B68" s="43" t="s">
        <v>983</v>
      </c>
      <c r="C68" s="43" t="s">
        <v>1215</v>
      </c>
      <c r="D68" s="43" t="s">
        <v>680</v>
      </c>
      <c r="E68" s="43" t="s">
        <v>249</v>
      </c>
      <c r="F68" s="43" t="s">
        <v>695</v>
      </c>
      <c r="G68" s="43"/>
      <c r="H68" s="43"/>
      <c r="I68" s="43" t="s">
        <v>696</v>
      </c>
    </row>
    <row r="69" spans="2:9">
      <c r="B69" s="43" t="s">
        <v>983</v>
      </c>
      <c r="C69" s="43" t="s">
        <v>1216</v>
      </c>
      <c r="D69" s="43" t="s">
        <v>452</v>
      </c>
      <c r="E69" s="43" t="s">
        <v>249</v>
      </c>
      <c r="F69" s="43" t="s">
        <v>695</v>
      </c>
      <c r="G69" s="43"/>
      <c r="H69" s="43"/>
      <c r="I69" s="43" t="s">
        <v>696</v>
      </c>
    </row>
    <row r="70" spans="2:9">
      <c r="B70" s="43" t="s">
        <v>983</v>
      </c>
      <c r="C70" s="43" t="s">
        <v>1217</v>
      </c>
      <c r="D70" s="43" t="s">
        <v>686</v>
      </c>
      <c r="E70" s="43" t="s">
        <v>249</v>
      </c>
      <c r="F70" s="43" t="s">
        <v>695</v>
      </c>
      <c r="G70" s="43"/>
      <c r="H70" s="43"/>
      <c r="I70" s="43" t="s">
        <v>696</v>
      </c>
    </row>
    <row r="71" spans="2:9">
      <c r="B71" s="43" t="s">
        <v>984</v>
      </c>
      <c r="C71" s="43" t="s">
        <v>1259</v>
      </c>
      <c r="D71" s="43" t="s">
        <v>1260</v>
      </c>
      <c r="E71" s="43" t="s">
        <v>249</v>
      </c>
      <c r="F71" s="43" t="s">
        <v>695</v>
      </c>
      <c r="G71" s="43" t="s">
        <v>812</v>
      </c>
      <c r="H71" s="43"/>
      <c r="I71" s="43" t="s">
        <v>696</v>
      </c>
    </row>
    <row r="72" spans="2:9">
      <c r="B72" s="43" t="s">
        <v>984</v>
      </c>
      <c r="C72" s="43" t="s">
        <v>860</v>
      </c>
      <c r="D72" s="43" t="s">
        <v>938</v>
      </c>
      <c r="E72" s="43" t="s">
        <v>249</v>
      </c>
      <c r="F72" s="43" t="s">
        <v>695</v>
      </c>
      <c r="G72" s="43" t="s">
        <v>812</v>
      </c>
      <c r="H72" s="43"/>
      <c r="I72" s="43" t="s">
        <v>696</v>
      </c>
    </row>
    <row r="73" spans="2:9">
      <c r="B73" s="43" t="s">
        <v>984</v>
      </c>
      <c r="C73" s="43" t="s">
        <v>859</v>
      </c>
      <c r="D73" s="43" t="s">
        <v>937</v>
      </c>
      <c r="E73" s="43" t="s">
        <v>249</v>
      </c>
      <c r="F73" s="43" t="s">
        <v>695</v>
      </c>
      <c r="G73" s="43" t="s">
        <v>812</v>
      </c>
      <c r="H73" s="43"/>
      <c r="I73" s="43" t="s">
        <v>696</v>
      </c>
    </row>
    <row r="74" spans="2:9">
      <c r="B74" s="43" t="s">
        <v>983</v>
      </c>
      <c r="C74" s="43" t="s">
        <v>913</v>
      </c>
      <c r="D74" s="43" t="s">
        <v>910</v>
      </c>
      <c r="E74" s="43" t="s">
        <v>249</v>
      </c>
      <c r="F74" s="43" t="s">
        <v>695</v>
      </c>
      <c r="G74" s="43" t="s">
        <v>812</v>
      </c>
      <c r="H74" s="43" t="s">
        <v>1132</v>
      </c>
      <c r="I74" s="43" t="s">
        <v>696</v>
      </c>
    </row>
    <row r="75" spans="2:9">
      <c r="B75" s="43" t="s">
        <v>983</v>
      </c>
      <c r="C75" s="43" t="s">
        <v>914</v>
      </c>
      <c r="D75" s="43" t="s">
        <v>911</v>
      </c>
      <c r="E75" s="43" t="s">
        <v>249</v>
      </c>
      <c r="F75" s="43" t="s">
        <v>695</v>
      </c>
      <c r="G75" s="43" t="s">
        <v>812</v>
      </c>
      <c r="H75" s="43" t="s">
        <v>1132</v>
      </c>
      <c r="I75" s="43" t="s">
        <v>696</v>
      </c>
    </row>
    <row r="76" spans="2:9">
      <c r="B76" s="43" t="s">
        <v>983</v>
      </c>
      <c r="C76" s="43" t="s">
        <v>1114</v>
      </c>
      <c r="D76" s="43" t="s">
        <v>1113</v>
      </c>
      <c r="E76" s="43" t="s">
        <v>249</v>
      </c>
      <c r="F76" s="43" t="s">
        <v>695</v>
      </c>
      <c r="G76" s="43" t="s">
        <v>812</v>
      </c>
      <c r="H76" s="43" t="s">
        <v>1131</v>
      </c>
      <c r="I76" s="43" t="s">
        <v>696</v>
      </c>
    </row>
    <row r="77" spans="2:9">
      <c r="B77" s="43" t="s">
        <v>982</v>
      </c>
      <c r="C77" s="43" t="s">
        <v>726</v>
      </c>
      <c r="D77" s="43" t="s">
        <v>728</v>
      </c>
      <c r="E77" s="43" t="s">
        <v>249</v>
      </c>
      <c r="F77" s="43" t="s">
        <v>695</v>
      </c>
      <c r="G77" s="43"/>
      <c r="H77" s="43"/>
      <c r="I77" s="43" t="s">
        <v>696</v>
      </c>
    </row>
    <row r="78" spans="2:9">
      <c r="B78" s="43" t="s">
        <v>982</v>
      </c>
      <c r="C78" s="43" t="s">
        <v>727</v>
      </c>
      <c r="D78" s="43" t="s">
        <v>730</v>
      </c>
      <c r="E78" s="43" t="s">
        <v>249</v>
      </c>
      <c r="F78" s="43" t="s">
        <v>695</v>
      </c>
      <c r="G78" s="43"/>
      <c r="H78" s="43"/>
      <c r="I78" s="43" t="s">
        <v>696</v>
      </c>
    </row>
    <row r="79" spans="2:9">
      <c r="B79" s="43" t="s">
        <v>982</v>
      </c>
      <c r="C79" s="43" t="s">
        <v>957</v>
      </c>
      <c r="D79" s="43" t="s">
        <v>958</v>
      </c>
      <c r="E79" s="43" t="s">
        <v>249</v>
      </c>
      <c r="F79" s="43" t="s">
        <v>695</v>
      </c>
      <c r="G79" s="43"/>
      <c r="H79" s="43"/>
      <c r="I79" s="43" t="s">
        <v>696</v>
      </c>
    </row>
    <row r="80" spans="2:9">
      <c r="B80" s="43" t="s">
        <v>982</v>
      </c>
      <c r="C80" s="43" t="s">
        <v>817</v>
      </c>
      <c r="D80" s="43" t="s">
        <v>729</v>
      </c>
      <c r="E80" s="43" t="s">
        <v>249</v>
      </c>
      <c r="F80" s="43" t="s">
        <v>695</v>
      </c>
      <c r="G80" s="43"/>
      <c r="H80" s="43"/>
      <c r="I80" s="43" t="s">
        <v>696</v>
      </c>
    </row>
    <row r="81" spans="2:9">
      <c r="B81" s="43" t="s">
        <v>982</v>
      </c>
      <c r="C81" s="43" t="s">
        <v>820</v>
      </c>
      <c r="D81" s="43" t="s">
        <v>745</v>
      </c>
      <c r="E81" s="43" t="s">
        <v>249</v>
      </c>
      <c r="F81" s="43" t="s">
        <v>695</v>
      </c>
      <c r="G81" s="43"/>
      <c r="H81" s="43"/>
      <c r="I81" s="43" t="s">
        <v>696</v>
      </c>
    </row>
    <row r="82" spans="2:9">
      <c r="B82" s="43" t="s">
        <v>982</v>
      </c>
      <c r="C82" s="43" t="s">
        <v>821</v>
      </c>
      <c r="D82" s="43" t="s">
        <v>746</v>
      </c>
      <c r="E82" s="43" t="s">
        <v>249</v>
      </c>
      <c r="F82" s="43" t="s">
        <v>695</v>
      </c>
      <c r="G82" s="43"/>
      <c r="H82" s="43"/>
      <c r="I82" s="43" t="s">
        <v>696</v>
      </c>
    </row>
    <row r="83" spans="2:9">
      <c r="B83" s="43" t="s">
        <v>982</v>
      </c>
      <c r="C83" s="43" t="s">
        <v>822</v>
      </c>
      <c r="D83" s="43" t="s">
        <v>747</v>
      </c>
      <c r="E83" s="43" t="s">
        <v>249</v>
      </c>
      <c r="F83" s="43" t="s">
        <v>695</v>
      </c>
      <c r="G83" s="43"/>
      <c r="H83" s="43"/>
      <c r="I83" s="43" t="s">
        <v>696</v>
      </c>
    </row>
    <row r="84" spans="2:9">
      <c r="B84" s="43" t="s">
        <v>982</v>
      </c>
      <c r="C84" s="43" t="s">
        <v>1030</v>
      </c>
      <c r="D84" s="43" t="s">
        <v>1044</v>
      </c>
      <c r="E84" s="43" t="s">
        <v>249</v>
      </c>
      <c r="F84" s="43" t="s">
        <v>695</v>
      </c>
      <c r="G84" s="43"/>
      <c r="H84" s="43"/>
      <c r="I84" s="43" t="s">
        <v>696</v>
      </c>
    </row>
    <row r="85" spans="2:9">
      <c r="B85" s="43" t="s">
        <v>982</v>
      </c>
      <c r="C85" s="43" t="s">
        <v>823</v>
      </c>
      <c r="D85" s="43" t="s">
        <v>748</v>
      </c>
      <c r="E85" s="43" t="s">
        <v>249</v>
      </c>
      <c r="F85" s="43" t="s">
        <v>695</v>
      </c>
      <c r="G85" s="43"/>
      <c r="H85" s="43"/>
      <c r="I85" s="43" t="s">
        <v>696</v>
      </c>
    </row>
    <row r="86" spans="2:9">
      <c r="B86" s="43" t="s">
        <v>982</v>
      </c>
      <c r="C86" s="43" t="s">
        <v>819</v>
      </c>
      <c r="D86" s="43" t="s">
        <v>749</v>
      </c>
      <c r="E86" s="43" t="s">
        <v>249</v>
      </c>
      <c r="F86" s="43" t="s">
        <v>695</v>
      </c>
      <c r="G86" s="43"/>
      <c r="H86" s="43"/>
      <c r="I86" s="43" t="s">
        <v>696</v>
      </c>
    </row>
    <row r="87" spans="2:9">
      <c r="B87" s="43" t="s">
        <v>982</v>
      </c>
      <c r="C87" s="43" t="s">
        <v>816</v>
      </c>
      <c r="D87" s="43" t="s">
        <v>750</v>
      </c>
      <c r="E87" s="43" t="s">
        <v>249</v>
      </c>
      <c r="F87" s="43" t="s">
        <v>695</v>
      </c>
      <c r="G87" s="43"/>
      <c r="H87" s="43"/>
      <c r="I87" s="43" t="s">
        <v>696</v>
      </c>
    </row>
    <row r="88" spans="2:9">
      <c r="B88" s="43" t="s">
        <v>982</v>
      </c>
      <c r="C88" s="43" t="s">
        <v>818</v>
      </c>
      <c r="D88" s="43" t="s">
        <v>751</v>
      </c>
      <c r="E88" s="43" t="s">
        <v>249</v>
      </c>
      <c r="F88" s="43" t="s">
        <v>695</v>
      </c>
      <c r="G88" s="43"/>
      <c r="H88" s="43"/>
      <c r="I88" s="43" t="s">
        <v>696</v>
      </c>
    </row>
    <row r="89" spans="2:9">
      <c r="B89" s="43" t="s">
        <v>982</v>
      </c>
      <c r="C89" s="43" t="s">
        <v>824</v>
      </c>
      <c r="D89" s="43" t="s">
        <v>752</v>
      </c>
      <c r="E89" s="43" t="s">
        <v>249</v>
      </c>
      <c r="F89" s="43" t="s">
        <v>695</v>
      </c>
      <c r="G89" s="43"/>
      <c r="H89" s="43"/>
      <c r="I89" s="43" t="s">
        <v>696</v>
      </c>
    </row>
    <row r="90" spans="2:9">
      <c r="B90" s="43" t="s">
        <v>982</v>
      </c>
      <c r="C90" s="43" t="s">
        <v>825</v>
      </c>
      <c r="D90" s="43" t="s">
        <v>753</v>
      </c>
      <c r="E90" s="43" t="s">
        <v>249</v>
      </c>
      <c r="F90" s="43" t="s">
        <v>695</v>
      </c>
      <c r="G90" s="43"/>
      <c r="H90" s="43"/>
      <c r="I90" s="43" t="s">
        <v>696</v>
      </c>
    </row>
    <row r="91" spans="2:9">
      <c r="B91" s="43" t="s">
        <v>982</v>
      </c>
      <c r="C91" s="43" t="s">
        <v>116</v>
      </c>
      <c r="D91" s="43" t="s">
        <v>492</v>
      </c>
      <c r="E91" s="43" t="s">
        <v>249</v>
      </c>
      <c r="F91" s="43" t="s">
        <v>695</v>
      </c>
      <c r="G91" s="43"/>
      <c r="H91" s="43"/>
      <c r="I91" s="43" t="s">
        <v>696</v>
      </c>
    </row>
    <row r="92" spans="2:9">
      <c r="B92" s="43" t="s">
        <v>982</v>
      </c>
      <c r="C92" s="43" t="s">
        <v>332</v>
      </c>
      <c r="D92" s="43" t="s">
        <v>490</v>
      </c>
      <c r="E92" s="43" t="s">
        <v>249</v>
      </c>
      <c r="F92" s="43" t="s">
        <v>695</v>
      </c>
      <c r="G92" s="43"/>
      <c r="H92" s="43"/>
      <c r="I92" s="43" t="s">
        <v>696</v>
      </c>
    </row>
    <row r="93" spans="2:9">
      <c r="B93" s="43" t="s">
        <v>982</v>
      </c>
      <c r="C93" s="43" t="s">
        <v>117</v>
      </c>
      <c r="D93" s="43" t="s">
        <v>494</v>
      </c>
      <c r="E93" s="43" t="s">
        <v>249</v>
      </c>
      <c r="F93" s="43" t="s">
        <v>695</v>
      </c>
      <c r="G93" s="43"/>
      <c r="H93" s="43"/>
      <c r="I93" s="43" t="s">
        <v>696</v>
      </c>
    </row>
    <row r="94" spans="2:9">
      <c r="B94" s="43" t="s">
        <v>982</v>
      </c>
      <c r="C94" s="43" t="s">
        <v>85</v>
      </c>
      <c r="D94" s="43" t="s">
        <v>493</v>
      </c>
      <c r="E94" s="43" t="s">
        <v>249</v>
      </c>
      <c r="F94" s="43" t="s">
        <v>695</v>
      </c>
      <c r="G94" s="43"/>
      <c r="H94" s="43"/>
      <c r="I94" s="43" t="s">
        <v>696</v>
      </c>
    </row>
    <row r="95" spans="2:9">
      <c r="B95" s="43" t="s">
        <v>982</v>
      </c>
      <c r="C95" s="43" t="s">
        <v>333</v>
      </c>
      <c r="D95" s="43" t="s">
        <v>491</v>
      </c>
      <c r="E95" s="43" t="s">
        <v>249</v>
      </c>
      <c r="F95" s="43" t="s">
        <v>695</v>
      </c>
      <c r="G95" s="43"/>
      <c r="H95" s="43"/>
      <c r="I95" s="43" t="s">
        <v>696</v>
      </c>
    </row>
    <row r="96" spans="2:9">
      <c r="B96" s="43" t="s">
        <v>982</v>
      </c>
      <c r="C96" s="43" t="s">
        <v>863</v>
      </c>
      <c r="D96" s="43" t="s">
        <v>864</v>
      </c>
      <c r="E96" s="43" t="s">
        <v>249</v>
      </c>
      <c r="F96" s="43" t="s">
        <v>695</v>
      </c>
      <c r="G96" s="43"/>
      <c r="H96" s="43"/>
      <c r="I96" s="43" t="s">
        <v>696</v>
      </c>
    </row>
    <row r="97" spans="2:9">
      <c r="B97" s="43" t="s">
        <v>982</v>
      </c>
      <c r="C97" s="43" t="s">
        <v>331</v>
      </c>
      <c r="D97" s="43" t="s">
        <v>489</v>
      </c>
      <c r="E97" s="43" t="s">
        <v>249</v>
      </c>
      <c r="F97" s="43" t="s">
        <v>695</v>
      </c>
      <c r="G97" s="43"/>
      <c r="H97" s="43"/>
      <c r="I97" s="43" t="s">
        <v>696</v>
      </c>
    </row>
    <row r="98" spans="2:9">
      <c r="B98" s="43" t="s">
        <v>982</v>
      </c>
      <c r="C98" s="43" t="s">
        <v>118</v>
      </c>
      <c r="D98" s="43" t="s">
        <v>498</v>
      </c>
      <c r="E98" s="43" t="s">
        <v>249</v>
      </c>
      <c r="F98" s="43" t="s">
        <v>695</v>
      </c>
      <c r="G98" s="43"/>
      <c r="H98" s="43"/>
      <c r="I98" s="43" t="s">
        <v>696</v>
      </c>
    </row>
    <row r="99" spans="2:9">
      <c r="B99" s="43" t="s">
        <v>982</v>
      </c>
      <c r="C99" s="43" t="s">
        <v>335</v>
      </c>
      <c r="D99" s="43" t="s">
        <v>496</v>
      </c>
      <c r="E99" s="43" t="s">
        <v>249</v>
      </c>
      <c r="F99" s="43" t="s">
        <v>695</v>
      </c>
      <c r="G99" s="43"/>
      <c r="H99" s="43"/>
      <c r="I99" s="43" t="s">
        <v>696</v>
      </c>
    </row>
    <row r="100" spans="2:9">
      <c r="B100" s="43" t="s">
        <v>982</v>
      </c>
      <c r="C100" s="43" t="s">
        <v>119</v>
      </c>
      <c r="D100" s="43" t="s">
        <v>500</v>
      </c>
      <c r="E100" s="43" t="s">
        <v>249</v>
      </c>
      <c r="F100" s="43" t="s">
        <v>695</v>
      </c>
      <c r="G100" s="43"/>
      <c r="H100" s="43"/>
      <c r="I100" s="43" t="s">
        <v>696</v>
      </c>
    </row>
    <row r="101" spans="2:9">
      <c r="B101" s="43" t="s">
        <v>982</v>
      </c>
      <c r="C101" s="43" t="s">
        <v>258</v>
      </c>
      <c r="D101" s="43" t="s">
        <v>499</v>
      </c>
      <c r="E101" s="43" t="s">
        <v>249</v>
      </c>
      <c r="F101" s="43" t="s">
        <v>695</v>
      </c>
      <c r="G101" s="43"/>
      <c r="H101" s="43"/>
      <c r="I101" s="43" t="s">
        <v>696</v>
      </c>
    </row>
    <row r="102" spans="2:9">
      <c r="B102" s="43" t="s">
        <v>982</v>
      </c>
      <c r="C102" s="43" t="s">
        <v>336</v>
      </c>
      <c r="D102" s="43" t="s">
        <v>497</v>
      </c>
      <c r="E102" s="43" t="s">
        <v>249</v>
      </c>
      <c r="F102" s="43" t="s">
        <v>695</v>
      </c>
      <c r="G102" s="43"/>
      <c r="H102" s="43"/>
      <c r="I102" s="43" t="s">
        <v>696</v>
      </c>
    </row>
    <row r="103" spans="2:9">
      <c r="B103" s="43" t="s">
        <v>982</v>
      </c>
      <c r="C103" s="43" t="s">
        <v>868</v>
      </c>
      <c r="D103" s="43" t="s">
        <v>869</v>
      </c>
      <c r="E103" s="43" t="s">
        <v>249</v>
      </c>
      <c r="F103" s="43" t="s">
        <v>695</v>
      </c>
      <c r="G103" s="43"/>
      <c r="H103" s="43"/>
      <c r="I103" s="43" t="s">
        <v>696</v>
      </c>
    </row>
    <row r="104" spans="2:9">
      <c r="B104" s="43" t="s">
        <v>982</v>
      </c>
      <c r="C104" s="43" t="s">
        <v>334</v>
      </c>
      <c r="D104" s="43" t="s">
        <v>495</v>
      </c>
      <c r="E104" s="43" t="s">
        <v>249</v>
      </c>
      <c r="F104" s="43" t="s">
        <v>695</v>
      </c>
      <c r="G104" s="43"/>
      <c r="H104" s="43"/>
      <c r="I104" s="43" t="s">
        <v>696</v>
      </c>
    </row>
    <row r="105" spans="2:9">
      <c r="B105" s="43" t="s">
        <v>982</v>
      </c>
      <c r="C105" s="43" t="s">
        <v>24</v>
      </c>
      <c r="D105" s="43" t="s">
        <v>30</v>
      </c>
      <c r="E105" s="43" t="s">
        <v>249</v>
      </c>
      <c r="F105" s="43" t="s">
        <v>695</v>
      </c>
      <c r="G105" s="43"/>
      <c r="H105" s="43"/>
      <c r="I105" s="43" t="s">
        <v>696</v>
      </c>
    </row>
    <row r="106" spans="2:9">
      <c r="B106" s="43" t="s">
        <v>982</v>
      </c>
      <c r="C106" s="43" t="s">
        <v>488</v>
      </c>
      <c r="D106" s="43" t="s">
        <v>28</v>
      </c>
      <c r="E106" s="43" t="s">
        <v>249</v>
      </c>
      <c r="F106" s="43" t="s">
        <v>695</v>
      </c>
      <c r="G106" s="43"/>
      <c r="H106" s="43"/>
      <c r="I106" s="43" t="s">
        <v>696</v>
      </c>
    </row>
    <row r="107" spans="2:9">
      <c r="B107" s="43" t="s">
        <v>982</v>
      </c>
      <c r="C107" s="43" t="s">
        <v>487</v>
      </c>
      <c r="D107" s="43" t="s">
        <v>29</v>
      </c>
      <c r="E107" s="43" t="s">
        <v>249</v>
      </c>
      <c r="F107" s="43" t="s">
        <v>695</v>
      </c>
      <c r="G107" s="43"/>
      <c r="H107" s="43"/>
      <c r="I107" s="43" t="s">
        <v>696</v>
      </c>
    </row>
    <row r="108" spans="2:9">
      <c r="B108" s="43" t="s">
        <v>982</v>
      </c>
      <c r="C108" s="43" t="s">
        <v>486</v>
      </c>
      <c r="D108" s="43" t="s">
        <v>27</v>
      </c>
      <c r="E108" s="43" t="s">
        <v>249</v>
      </c>
      <c r="F108" s="43" t="s">
        <v>695</v>
      </c>
      <c r="G108" s="43"/>
      <c r="H108" s="43"/>
      <c r="I108" s="43" t="s">
        <v>696</v>
      </c>
    </row>
    <row r="109" spans="2:9">
      <c r="B109" s="43" t="s">
        <v>982</v>
      </c>
      <c r="C109" s="43" t="s">
        <v>567</v>
      </c>
      <c r="D109" s="43" t="s">
        <v>568</v>
      </c>
      <c r="E109" s="43" t="s">
        <v>249</v>
      </c>
      <c r="F109" s="43" t="s">
        <v>695</v>
      </c>
      <c r="G109" s="43"/>
      <c r="H109" s="43"/>
      <c r="I109" s="43" t="s">
        <v>696</v>
      </c>
    </row>
    <row r="110" spans="2:9">
      <c r="B110" s="43" t="s">
        <v>982</v>
      </c>
      <c r="C110" s="43" t="s">
        <v>634</v>
      </c>
      <c r="D110" s="43" t="s">
        <v>464</v>
      </c>
      <c r="E110" s="43" t="s">
        <v>249</v>
      </c>
      <c r="F110" s="43" t="s">
        <v>695</v>
      </c>
      <c r="G110" s="43"/>
      <c r="H110" s="43"/>
      <c r="I110" s="43" t="s">
        <v>696</v>
      </c>
    </row>
    <row r="111" spans="2:9">
      <c r="B111" s="43" t="s">
        <v>982</v>
      </c>
      <c r="C111" s="43" t="s">
        <v>1022</v>
      </c>
      <c r="D111" s="43" t="s">
        <v>1024</v>
      </c>
      <c r="E111" s="43" t="s">
        <v>249</v>
      </c>
      <c r="F111" s="43" t="s">
        <v>695</v>
      </c>
      <c r="G111" s="43"/>
      <c r="H111" s="43"/>
      <c r="I111" s="43" t="s">
        <v>696</v>
      </c>
    </row>
    <row r="112" spans="2:9">
      <c r="B112" s="43" t="s">
        <v>982</v>
      </c>
      <c r="C112" s="43" t="s">
        <v>630</v>
      </c>
      <c r="D112" s="43" t="s">
        <v>460</v>
      </c>
      <c r="E112" s="43" t="s">
        <v>249</v>
      </c>
      <c r="F112" s="43" t="s">
        <v>695</v>
      </c>
      <c r="G112" s="43"/>
      <c r="H112" s="43"/>
      <c r="I112" s="43" t="s">
        <v>696</v>
      </c>
    </row>
    <row r="113" spans="2:9">
      <c r="B113" s="43" t="s">
        <v>982</v>
      </c>
      <c r="C113" s="43" t="s">
        <v>922</v>
      </c>
      <c r="D113" s="43" t="s">
        <v>466</v>
      </c>
      <c r="E113" s="43" t="s">
        <v>249</v>
      </c>
      <c r="F113" s="43" t="s">
        <v>695</v>
      </c>
      <c r="G113" s="43"/>
      <c r="H113" s="43"/>
      <c r="I113" s="43" t="s">
        <v>696</v>
      </c>
    </row>
    <row r="114" spans="2:9">
      <c r="B114" s="43" t="s">
        <v>982</v>
      </c>
      <c r="C114" s="43" t="s">
        <v>73</v>
      </c>
      <c r="D114" s="43" t="s">
        <v>465</v>
      </c>
      <c r="E114" s="43" t="s">
        <v>249</v>
      </c>
      <c r="F114" s="43" t="s">
        <v>695</v>
      </c>
      <c r="G114" s="43"/>
      <c r="H114" s="43"/>
      <c r="I114" s="43" t="s">
        <v>696</v>
      </c>
    </row>
    <row r="115" spans="2:9">
      <c r="B115" s="43" t="s">
        <v>982</v>
      </c>
      <c r="C115" s="43" t="s">
        <v>152</v>
      </c>
      <c r="D115" s="43" t="s">
        <v>468</v>
      </c>
      <c r="E115" s="43" t="s">
        <v>249</v>
      </c>
      <c r="F115" s="43" t="s">
        <v>695</v>
      </c>
      <c r="G115" s="43"/>
      <c r="H115" s="43"/>
      <c r="I115" s="43" t="s">
        <v>696</v>
      </c>
    </row>
    <row r="116" spans="2:9">
      <c r="B116" s="43" t="s">
        <v>982</v>
      </c>
      <c r="C116" s="43" t="s">
        <v>635</v>
      </c>
      <c r="D116" s="43" t="s">
        <v>467</v>
      </c>
      <c r="E116" s="43" t="s">
        <v>249</v>
      </c>
      <c r="F116" s="43" t="s">
        <v>695</v>
      </c>
      <c r="G116" s="43"/>
      <c r="H116" s="43"/>
      <c r="I116" s="43" t="s">
        <v>696</v>
      </c>
    </row>
    <row r="117" spans="2:9">
      <c r="B117" s="43" t="s">
        <v>982</v>
      </c>
      <c r="C117" s="43" t="s">
        <v>631</v>
      </c>
      <c r="D117" s="43" t="s">
        <v>461</v>
      </c>
      <c r="E117" s="43" t="s">
        <v>249</v>
      </c>
      <c r="F117" s="43" t="s">
        <v>695</v>
      </c>
      <c r="G117" s="43"/>
      <c r="H117" s="43"/>
      <c r="I117" s="43" t="s">
        <v>696</v>
      </c>
    </row>
    <row r="118" spans="2:9">
      <c r="B118" s="43" t="s">
        <v>982</v>
      </c>
      <c r="C118" s="43" t="s">
        <v>632</v>
      </c>
      <c r="D118" s="43" t="s">
        <v>462</v>
      </c>
      <c r="E118" s="43" t="s">
        <v>249</v>
      </c>
      <c r="F118" s="43" t="s">
        <v>695</v>
      </c>
      <c r="G118" s="43"/>
      <c r="H118" s="43"/>
      <c r="I118" s="43" t="s">
        <v>696</v>
      </c>
    </row>
    <row r="119" spans="2:9">
      <c r="B119" s="43" t="s">
        <v>982</v>
      </c>
      <c r="C119" s="43" t="s">
        <v>633</v>
      </c>
      <c r="D119" s="43" t="s">
        <v>463</v>
      </c>
      <c r="E119" s="43" t="s">
        <v>249</v>
      </c>
      <c r="F119" s="43" t="s">
        <v>695</v>
      </c>
      <c r="G119" s="43"/>
      <c r="H119" s="43"/>
      <c r="I119" s="43" t="s">
        <v>696</v>
      </c>
    </row>
    <row r="120" spans="2:9">
      <c r="B120" s="43" t="s">
        <v>982</v>
      </c>
      <c r="C120" s="43" t="s">
        <v>74</v>
      </c>
      <c r="D120" s="43" t="s">
        <v>553</v>
      </c>
      <c r="E120" s="43" t="s">
        <v>249</v>
      </c>
      <c r="F120" s="43" t="s">
        <v>695</v>
      </c>
      <c r="G120" s="43"/>
      <c r="H120" s="43"/>
      <c r="I120" s="43" t="s">
        <v>696</v>
      </c>
    </row>
    <row r="121" spans="2:9">
      <c r="B121" s="43" t="s">
        <v>982</v>
      </c>
      <c r="C121" s="43" t="s">
        <v>77</v>
      </c>
      <c r="D121" s="43" t="s">
        <v>459</v>
      </c>
      <c r="E121" s="43" t="s">
        <v>249</v>
      </c>
      <c r="F121" s="43" t="s">
        <v>695</v>
      </c>
      <c r="G121" s="43"/>
      <c r="H121" s="43"/>
      <c r="I121" s="43" t="s">
        <v>696</v>
      </c>
    </row>
    <row r="122" spans="2:9">
      <c r="B122" s="43" t="s">
        <v>982</v>
      </c>
      <c r="C122" s="43" t="s">
        <v>267</v>
      </c>
      <c r="D122" s="43" t="s">
        <v>476</v>
      </c>
      <c r="E122" s="43" t="s">
        <v>249</v>
      </c>
      <c r="F122" s="43" t="s">
        <v>695</v>
      </c>
      <c r="G122" s="43"/>
      <c r="H122" s="43"/>
      <c r="I122" s="43" t="s">
        <v>696</v>
      </c>
    </row>
    <row r="123" spans="2:9">
      <c r="B123" s="43" t="s">
        <v>982</v>
      </c>
      <c r="C123" s="43" t="s">
        <v>1023</v>
      </c>
      <c r="D123" s="43" t="s">
        <v>1025</v>
      </c>
      <c r="E123" s="43" t="s">
        <v>249</v>
      </c>
      <c r="F123" s="43" t="s">
        <v>695</v>
      </c>
      <c r="G123" s="43"/>
      <c r="H123" s="43"/>
      <c r="I123" s="43" t="s">
        <v>696</v>
      </c>
    </row>
    <row r="124" spans="2:9">
      <c r="B124" s="43" t="s">
        <v>982</v>
      </c>
      <c r="C124" s="43" t="s">
        <v>263</v>
      </c>
      <c r="D124" s="43" t="s">
        <v>472</v>
      </c>
      <c r="E124" s="43" t="s">
        <v>249</v>
      </c>
      <c r="F124" s="43" t="s">
        <v>695</v>
      </c>
      <c r="G124" s="43"/>
      <c r="H124" s="43"/>
      <c r="I124" s="43" t="s">
        <v>696</v>
      </c>
    </row>
    <row r="125" spans="2:9">
      <c r="B125" s="43" t="s">
        <v>982</v>
      </c>
      <c r="C125" s="43" t="s">
        <v>923</v>
      </c>
      <c r="D125" s="43" t="s">
        <v>478</v>
      </c>
      <c r="E125" s="43" t="s">
        <v>249</v>
      </c>
      <c r="F125" s="43" t="s">
        <v>695</v>
      </c>
      <c r="G125" s="43"/>
      <c r="H125" s="43"/>
      <c r="I125" s="43" t="s">
        <v>696</v>
      </c>
    </row>
    <row r="126" spans="2:9">
      <c r="B126" s="43" t="s">
        <v>982</v>
      </c>
      <c r="C126" s="43" t="s">
        <v>81</v>
      </c>
      <c r="D126" s="43" t="s">
        <v>477</v>
      </c>
      <c r="E126" s="43" t="s">
        <v>249</v>
      </c>
      <c r="F126" s="43" t="s">
        <v>695</v>
      </c>
      <c r="G126" s="43"/>
      <c r="H126" s="43"/>
      <c r="I126" s="43" t="s">
        <v>696</v>
      </c>
    </row>
    <row r="127" spans="2:9">
      <c r="B127" s="43" t="s">
        <v>982</v>
      </c>
      <c r="C127" s="43" t="s">
        <v>153</v>
      </c>
      <c r="D127" s="43" t="s">
        <v>480</v>
      </c>
      <c r="E127" s="43" t="s">
        <v>249</v>
      </c>
      <c r="F127" s="43" t="s">
        <v>695</v>
      </c>
      <c r="G127" s="43"/>
      <c r="H127" s="43"/>
      <c r="I127" s="43" t="s">
        <v>696</v>
      </c>
    </row>
    <row r="128" spans="2:9">
      <c r="B128" s="43" t="s">
        <v>982</v>
      </c>
      <c r="C128" s="43" t="s">
        <v>270</v>
      </c>
      <c r="D128" s="43" t="s">
        <v>479</v>
      </c>
      <c r="E128" s="43" t="s">
        <v>249</v>
      </c>
      <c r="F128" s="43" t="s">
        <v>695</v>
      </c>
      <c r="G128" s="43"/>
      <c r="H128" s="43"/>
      <c r="I128" s="43" t="s">
        <v>696</v>
      </c>
    </row>
    <row r="129" spans="2:9">
      <c r="B129" s="43" t="s">
        <v>982</v>
      </c>
      <c r="C129" s="43" t="s">
        <v>264</v>
      </c>
      <c r="D129" s="43" t="s">
        <v>473</v>
      </c>
      <c r="E129" s="43" t="s">
        <v>249</v>
      </c>
      <c r="F129" s="43" t="s">
        <v>695</v>
      </c>
      <c r="G129" s="43"/>
      <c r="H129" s="43"/>
      <c r="I129" s="43" t="s">
        <v>696</v>
      </c>
    </row>
    <row r="130" spans="2:9">
      <c r="B130" s="43" t="s">
        <v>982</v>
      </c>
      <c r="C130" s="43" t="s">
        <v>265</v>
      </c>
      <c r="D130" s="43" t="s">
        <v>474</v>
      </c>
      <c r="E130" s="43" t="s">
        <v>249</v>
      </c>
      <c r="F130" s="43" t="s">
        <v>695</v>
      </c>
      <c r="G130" s="43"/>
      <c r="H130" s="43"/>
      <c r="I130" s="43" t="s">
        <v>696</v>
      </c>
    </row>
    <row r="131" spans="2:9">
      <c r="B131" s="43" t="s">
        <v>982</v>
      </c>
      <c r="C131" s="43" t="s">
        <v>266</v>
      </c>
      <c r="D131" s="43" t="s">
        <v>475</v>
      </c>
      <c r="E131" s="43" t="s">
        <v>249</v>
      </c>
      <c r="F131" s="43" t="s">
        <v>695</v>
      </c>
      <c r="G131" s="43"/>
      <c r="H131" s="43"/>
      <c r="I131" s="43" t="s">
        <v>696</v>
      </c>
    </row>
    <row r="132" spans="2:9">
      <c r="B132" s="43" t="s">
        <v>982</v>
      </c>
      <c r="C132" s="43" t="s">
        <v>78</v>
      </c>
      <c r="D132" s="43" t="s">
        <v>469</v>
      </c>
      <c r="E132" s="43" t="s">
        <v>249</v>
      </c>
      <c r="F132" s="43" t="s">
        <v>695</v>
      </c>
      <c r="G132" s="43"/>
      <c r="H132" s="43"/>
      <c r="I132" s="43" t="s">
        <v>696</v>
      </c>
    </row>
    <row r="133" spans="2:9">
      <c r="B133" s="43" t="s">
        <v>982</v>
      </c>
      <c r="C133" s="43" t="s">
        <v>79</v>
      </c>
      <c r="D133" s="43" t="s">
        <v>470</v>
      </c>
      <c r="E133" s="43" t="s">
        <v>249</v>
      </c>
      <c r="F133" s="43" t="s">
        <v>695</v>
      </c>
      <c r="G133" s="43"/>
      <c r="H133" s="43"/>
      <c r="I133" s="43" t="s">
        <v>696</v>
      </c>
    </row>
    <row r="134" spans="2:9">
      <c r="B134" s="43" t="s">
        <v>982</v>
      </c>
      <c r="C134" s="43" t="s">
        <v>622</v>
      </c>
      <c r="D134" s="43" t="s">
        <v>623</v>
      </c>
      <c r="E134" s="43" t="s">
        <v>249</v>
      </c>
      <c r="F134" s="43" t="s">
        <v>695</v>
      </c>
      <c r="G134" s="43"/>
      <c r="H134" s="43"/>
      <c r="I134" s="43" t="s">
        <v>696</v>
      </c>
    </row>
    <row r="135" spans="2:9">
      <c r="B135" s="43" t="s">
        <v>982</v>
      </c>
      <c r="C135" s="43" t="s">
        <v>1031</v>
      </c>
      <c r="D135" s="43" t="s">
        <v>1038</v>
      </c>
      <c r="E135" s="43" t="s">
        <v>249</v>
      </c>
      <c r="F135" s="43" t="s">
        <v>695</v>
      </c>
      <c r="G135" s="43"/>
      <c r="H135" s="43"/>
      <c r="I135" s="43" t="s">
        <v>696</v>
      </c>
    </row>
    <row r="136" spans="2:9">
      <c r="B136" s="43" t="s">
        <v>982</v>
      </c>
      <c r="C136" s="43" t="s">
        <v>114</v>
      </c>
      <c r="D136" s="43" t="s">
        <v>8</v>
      </c>
      <c r="E136" s="43" t="s">
        <v>249</v>
      </c>
      <c r="F136" s="43" t="s">
        <v>695</v>
      </c>
      <c r="G136" s="43"/>
      <c r="H136" s="43"/>
      <c r="I136" s="43" t="s">
        <v>696</v>
      </c>
    </row>
    <row r="137" spans="2:9">
      <c r="B137" s="43" t="s">
        <v>982</v>
      </c>
      <c r="C137" s="43" t="s">
        <v>144</v>
      </c>
      <c r="D137" s="43" t="s">
        <v>675</v>
      </c>
      <c r="E137" s="43" t="s">
        <v>249</v>
      </c>
      <c r="F137" s="43" t="s">
        <v>695</v>
      </c>
      <c r="G137" s="43"/>
      <c r="H137" s="43"/>
      <c r="I137" s="43" t="s">
        <v>696</v>
      </c>
    </row>
    <row r="138" spans="2:9">
      <c r="B138" s="43" t="s">
        <v>982</v>
      </c>
      <c r="C138" s="43" t="s">
        <v>563</v>
      </c>
      <c r="D138" s="43" t="s">
        <v>564</v>
      </c>
      <c r="E138" s="43" t="s">
        <v>249</v>
      </c>
      <c r="F138" s="43" t="s">
        <v>695</v>
      </c>
      <c r="G138" s="43"/>
      <c r="H138" s="43"/>
      <c r="I138" s="43" t="s">
        <v>696</v>
      </c>
    </row>
    <row r="139" spans="2:9">
      <c r="B139" s="43" t="s">
        <v>982</v>
      </c>
      <c r="C139" s="43" t="s">
        <v>565</v>
      </c>
      <c r="D139" s="43" t="s">
        <v>566</v>
      </c>
      <c r="E139" s="43" t="s">
        <v>249</v>
      </c>
      <c r="F139" s="43" t="s">
        <v>695</v>
      </c>
      <c r="G139" s="43"/>
      <c r="H139" s="43"/>
      <c r="I139" s="43" t="s">
        <v>696</v>
      </c>
    </row>
    <row r="140" spans="2:9">
      <c r="B140" s="43" t="s">
        <v>982</v>
      </c>
      <c r="C140" s="43" t="s">
        <v>341</v>
      </c>
      <c r="D140" s="43" t="s">
        <v>10</v>
      </c>
      <c r="E140" s="43" t="s">
        <v>249</v>
      </c>
      <c r="F140" s="43" t="s">
        <v>695</v>
      </c>
      <c r="G140" s="43"/>
      <c r="H140" s="43"/>
      <c r="I140" s="43" t="s">
        <v>696</v>
      </c>
    </row>
    <row r="141" spans="2:9">
      <c r="B141" s="43" t="s">
        <v>982</v>
      </c>
      <c r="C141" s="43" t="s">
        <v>340</v>
      </c>
      <c r="D141" s="43" t="s">
        <v>9</v>
      </c>
      <c r="E141" s="43" t="s">
        <v>249</v>
      </c>
      <c r="F141" s="43" t="s">
        <v>695</v>
      </c>
      <c r="G141" s="43"/>
      <c r="H141" s="43"/>
      <c r="I141" s="43" t="s">
        <v>696</v>
      </c>
    </row>
    <row r="142" spans="2:9">
      <c r="B142" s="43" t="s">
        <v>982</v>
      </c>
      <c r="C142" s="43" t="s">
        <v>143</v>
      </c>
      <c r="D142" s="43" t="s">
        <v>674</v>
      </c>
      <c r="E142" s="43" t="s">
        <v>249</v>
      </c>
      <c r="F142" s="43" t="s">
        <v>695</v>
      </c>
      <c r="G142" s="43"/>
      <c r="H142" s="43"/>
      <c r="I142" s="43" t="s">
        <v>696</v>
      </c>
    </row>
    <row r="143" spans="2:9">
      <c r="B143" s="43" t="s">
        <v>982</v>
      </c>
      <c r="C143" s="43" t="s">
        <v>113</v>
      </c>
      <c r="D143" s="43" t="s">
        <v>7</v>
      </c>
      <c r="E143" s="43" t="s">
        <v>249</v>
      </c>
      <c r="F143" s="43" t="s">
        <v>695</v>
      </c>
      <c r="G143" s="43"/>
      <c r="H143" s="43"/>
      <c r="I143" s="43" t="s">
        <v>696</v>
      </c>
    </row>
    <row r="144" spans="2:9">
      <c r="B144" s="43" t="s">
        <v>982</v>
      </c>
      <c r="C144" s="43" t="s">
        <v>154</v>
      </c>
      <c r="D144" s="43" t="s">
        <v>676</v>
      </c>
      <c r="E144" s="43" t="s">
        <v>249</v>
      </c>
      <c r="F144" s="43" t="s">
        <v>695</v>
      </c>
      <c r="G144" s="43"/>
      <c r="H144" s="43"/>
      <c r="I144" s="43" t="s">
        <v>696</v>
      </c>
    </row>
    <row r="145" spans="2:9">
      <c r="B145" s="43" t="s">
        <v>982</v>
      </c>
      <c r="C145" s="43" t="s">
        <v>988</v>
      </c>
      <c r="D145" s="43" t="s">
        <v>989</v>
      </c>
      <c r="E145" s="43" t="s">
        <v>249</v>
      </c>
      <c r="F145" s="43" t="s">
        <v>695</v>
      </c>
      <c r="G145" s="43"/>
      <c r="H145" s="43"/>
      <c r="I145" s="43" t="s">
        <v>696</v>
      </c>
    </row>
    <row r="146" spans="2:9">
      <c r="B146" s="43" t="s">
        <v>982</v>
      </c>
      <c r="C146" s="43" t="s">
        <v>147</v>
      </c>
      <c r="D146" s="43" t="s">
        <v>141</v>
      </c>
      <c r="E146" s="43" t="s">
        <v>249</v>
      </c>
      <c r="F146" s="43" t="s">
        <v>695</v>
      </c>
      <c r="G146" s="43"/>
      <c r="H146" s="43"/>
      <c r="I146" s="43" t="s">
        <v>696</v>
      </c>
    </row>
    <row r="147" spans="2:9">
      <c r="B147" s="43" t="s">
        <v>982</v>
      </c>
      <c r="C147" s="43" t="s">
        <v>146</v>
      </c>
      <c r="D147" s="43" t="s">
        <v>139</v>
      </c>
      <c r="E147" s="43" t="s">
        <v>249</v>
      </c>
      <c r="F147" s="43" t="s">
        <v>695</v>
      </c>
      <c r="G147" s="43"/>
      <c r="H147" s="43"/>
      <c r="I147" s="43" t="s">
        <v>696</v>
      </c>
    </row>
    <row r="148" spans="2:9">
      <c r="B148" s="43" t="s">
        <v>982</v>
      </c>
      <c r="C148" s="43" t="s">
        <v>261</v>
      </c>
      <c r="D148" s="43" t="s">
        <v>140</v>
      </c>
      <c r="E148" s="43" t="s">
        <v>249</v>
      </c>
      <c r="F148" s="43" t="s">
        <v>695</v>
      </c>
      <c r="G148" s="43"/>
      <c r="H148" s="43"/>
      <c r="I148" s="43" t="s">
        <v>696</v>
      </c>
    </row>
    <row r="149" spans="2:9">
      <c r="B149" s="43" t="s">
        <v>982</v>
      </c>
      <c r="C149" s="43" t="s">
        <v>145</v>
      </c>
      <c r="D149" s="43" t="s">
        <v>138</v>
      </c>
      <c r="E149" s="43" t="s">
        <v>249</v>
      </c>
      <c r="F149" s="43" t="s">
        <v>695</v>
      </c>
      <c r="G149" s="43"/>
      <c r="H149" s="43"/>
      <c r="I149" s="43" t="s">
        <v>696</v>
      </c>
    </row>
    <row r="150" spans="2:9">
      <c r="B150" s="43" t="s">
        <v>982</v>
      </c>
      <c r="C150" s="43" t="s">
        <v>302</v>
      </c>
      <c r="D150" s="43" t="s">
        <v>677</v>
      </c>
      <c r="E150" s="43" t="s">
        <v>249</v>
      </c>
      <c r="F150" s="43" t="s">
        <v>695</v>
      </c>
      <c r="G150" s="43"/>
      <c r="H150" s="43"/>
      <c r="I150" s="43" t="s">
        <v>696</v>
      </c>
    </row>
    <row r="151" spans="2:9">
      <c r="B151" s="43" t="s">
        <v>982</v>
      </c>
      <c r="C151" s="43" t="s">
        <v>481</v>
      </c>
      <c r="D151" s="43" t="s">
        <v>32</v>
      </c>
      <c r="E151" s="43" t="s">
        <v>249</v>
      </c>
      <c r="F151" s="43" t="s">
        <v>695</v>
      </c>
      <c r="G151" s="43"/>
      <c r="H151" s="43"/>
      <c r="I151" s="43" t="s">
        <v>696</v>
      </c>
    </row>
    <row r="152" spans="2:9">
      <c r="B152" s="43" t="s">
        <v>982</v>
      </c>
      <c r="C152" s="43" t="s">
        <v>69</v>
      </c>
      <c r="D152" s="43" t="s">
        <v>33</v>
      </c>
      <c r="E152" s="43" t="s">
        <v>249</v>
      </c>
      <c r="F152" s="43" t="s">
        <v>695</v>
      </c>
      <c r="G152" s="43"/>
      <c r="H152" s="43"/>
      <c r="I152" s="43" t="s">
        <v>696</v>
      </c>
    </row>
    <row r="153" spans="2:9">
      <c r="B153" s="43" t="s">
        <v>982</v>
      </c>
      <c r="C153" s="43" t="s">
        <v>483</v>
      </c>
      <c r="D153" s="43" t="s">
        <v>32</v>
      </c>
      <c r="E153" s="43" t="s">
        <v>249</v>
      </c>
      <c r="F153" s="43" t="s">
        <v>695</v>
      </c>
      <c r="G153" s="43"/>
      <c r="H153" s="43"/>
      <c r="I153" s="43" t="s">
        <v>696</v>
      </c>
    </row>
    <row r="154" spans="2:9">
      <c r="B154" s="43" t="s">
        <v>982</v>
      </c>
      <c r="C154" s="43" t="s">
        <v>668</v>
      </c>
      <c r="D154" s="43" t="s">
        <v>34</v>
      </c>
      <c r="E154" s="43" t="s">
        <v>249</v>
      </c>
      <c r="F154" s="43" t="s">
        <v>695</v>
      </c>
      <c r="G154" s="43"/>
      <c r="H154" s="43"/>
      <c r="I154" s="43" t="s">
        <v>696</v>
      </c>
    </row>
    <row r="155" spans="2:9">
      <c r="B155" s="43" t="s">
        <v>982</v>
      </c>
      <c r="C155" s="43" t="s">
        <v>484</v>
      </c>
      <c r="D155" s="43" t="s">
        <v>31</v>
      </c>
      <c r="E155" s="43" t="s">
        <v>249</v>
      </c>
      <c r="F155" s="43" t="s">
        <v>695</v>
      </c>
      <c r="G155" s="43"/>
      <c r="H155" s="43"/>
      <c r="I155" s="43" t="s">
        <v>696</v>
      </c>
    </row>
    <row r="156" spans="2:9">
      <c r="B156" s="43" t="s">
        <v>982</v>
      </c>
      <c r="C156" s="43" t="s">
        <v>616</v>
      </c>
      <c r="D156" s="43" t="s">
        <v>511</v>
      </c>
      <c r="E156" s="43" t="s">
        <v>249</v>
      </c>
      <c r="F156" s="43" t="s">
        <v>695</v>
      </c>
      <c r="G156" s="43"/>
      <c r="H156" s="43"/>
      <c r="I156" s="43" t="s">
        <v>696</v>
      </c>
    </row>
    <row r="157" spans="2:9">
      <c r="B157" s="43" t="s">
        <v>982</v>
      </c>
      <c r="C157" s="43" t="s">
        <v>605</v>
      </c>
      <c r="D157" s="43" t="s">
        <v>512</v>
      </c>
      <c r="E157" s="43" t="s">
        <v>249</v>
      </c>
      <c r="F157" s="43" t="s">
        <v>695</v>
      </c>
      <c r="G157" s="43"/>
      <c r="H157" s="43"/>
      <c r="I157" s="43" t="s">
        <v>696</v>
      </c>
    </row>
    <row r="158" spans="2:9">
      <c r="B158" s="43" t="s">
        <v>982</v>
      </c>
      <c r="C158" s="43" t="s">
        <v>178</v>
      </c>
      <c r="D158" s="43" t="s">
        <v>510</v>
      </c>
      <c r="E158" s="43" t="s">
        <v>249</v>
      </c>
      <c r="F158" s="43" t="s">
        <v>695</v>
      </c>
      <c r="G158" s="43"/>
      <c r="H158" s="43"/>
      <c r="I158" s="43" t="s">
        <v>696</v>
      </c>
    </row>
    <row r="159" spans="2:9">
      <c r="B159" s="43" t="s">
        <v>982</v>
      </c>
      <c r="C159" s="43" t="s">
        <v>262</v>
      </c>
      <c r="D159" s="43" t="s">
        <v>509</v>
      </c>
      <c r="E159" s="43" t="s">
        <v>249</v>
      </c>
      <c r="F159" s="43" t="s">
        <v>695</v>
      </c>
      <c r="G159" s="43"/>
      <c r="H159" s="43"/>
      <c r="I159" s="43" t="s">
        <v>696</v>
      </c>
    </row>
    <row r="160" spans="2:9">
      <c r="B160" s="43" t="s">
        <v>982</v>
      </c>
      <c r="C160" s="43" t="s">
        <v>617</v>
      </c>
      <c r="D160" s="43" t="s">
        <v>513</v>
      </c>
      <c r="E160" s="43" t="s">
        <v>249</v>
      </c>
      <c r="F160" s="43" t="s">
        <v>695</v>
      </c>
      <c r="G160" s="43"/>
      <c r="H160" s="43"/>
      <c r="I160" s="43" t="s">
        <v>696</v>
      </c>
    </row>
    <row r="161" spans="2:9">
      <c r="B161" s="43" t="s">
        <v>982</v>
      </c>
      <c r="C161" s="43" t="s">
        <v>618</v>
      </c>
      <c r="D161" s="43" t="s">
        <v>516</v>
      </c>
      <c r="E161" s="43" t="s">
        <v>249</v>
      </c>
      <c r="F161" s="43" t="s">
        <v>695</v>
      </c>
      <c r="G161" s="43"/>
      <c r="H161" s="43"/>
      <c r="I161" s="43" t="s">
        <v>696</v>
      </c>
    </row>
    <row r="162" spans="2:9">
      <c r="B162" s="43" t="s">
        <v>982</v>
      </c>
      <c r="C162" s="43" t="s">
        <v>606</v>
      </c>
      <c r="D162" s="43" t="s">
        <v>531</v>
      </c>
      <c r="E162" s="43" t="s">
        <v>249</v>
      </c>
      <c r="F162" s="43" t="s">
        <v>695</v>
      </c>
      <c r="G162" s="43"/>
      <c r="H162" s="43"/>
      <c r="I162" s="43" t="s">
        <v>696</v>
      </c>
    </row>
    <row r="163" spans="2:9">
      <c r="B163" s="43" t="s">
        <v>982</v>
      </c>
      <c r="C163" s="43" t="s">
        <v>604</v>
      </c>
      <c r="D163" s="43" t="s">
        <v>515</v>
      </c>
      <c r="E163" s="43" t="s">
        <v>249</v>
      </c>
      <c r="F163" s="43" t="s">
        <v>695</v>
      </c>
      <c r="G163" s="43"/>
      <c r="H163" s="43"/>
      <c r="I163" s="43" t="s">
        <v>696</v>
      </c>
    </row>
    <row r="164" spans="2:9">
      <c r="B164" s="43" t="s">
        <v>982</v>
      </c>
      <c r="C164" s="43" t="s">
        <v>611</v>
      </c>
      <c r="D164" s="43" t="s">
        <v>514</v>
      </c>
      <c r="E164" s="43" t="s">
        <v>249</v>
      </c>
      <c r="F164" s="43" t="s">
        <v>695</v>
      </c>
      <c r="G164" s="43"/>
      <c r="H164" s="43"/>
      <c r="I164" s="43" t="s">
        <v>696</v>
      </c>
    </row>
    <row r="165" spans="2:9">
      <c r="B165" s="43" t="s">
        <v>982</v>
      </c>
      <c r="C165" s="43" t="s">
        <v>619</v>
      </c>
      <c r="D165" s="43" t="s">
        <v>532</v>
      </c>
      <c r="E165" s="43" t="s">
        <v>249</v>
      </c>
      <c r="F165" s="43" t="s">
        <v>695</v>
      </c>
      <c r="G165" s="43"/>
      <c r="H165" s="43"/>
      <c r="I165" s="43" t="s">
        <v>696</v>
      </c>
    </row>
    <row r="166" spans="2:9">
      <c r="B166" s="43" t="s">
        <v>982</v>
      </c>
      <c r="C166" s="43" t="s">
        <v>627</v>
      </c>
      <c r="D166" s="43" t="s">
        <v>280</v>
      </c>
      <c r="E166" s="43" t="s">
        <v>249</v>
      </c>
      <c r="F166" s="43" t="s">
        <v>695</v>
      </c>
      <c r="G166" s="43"/>
      <c r="H166" s="43"/>
      <c r="I166" s="43" t="s">
        <v>696</v>
      </c>
    </row>
    <row r="167" spans="2:9">
      <c r="B167" s="43" t="s">
        <v>982</v>
      </c>
      <c r="C167" s="43" t="s">
        <v>626</v>
      </c>
      <c r="D167" s="43" t="s">
        <v>279</v>
      </c>
      <c r="E167" s="43" t="s">
        <v>249</v>
      </c>
      <c r="F167" s="43" t="s">
        <v>695</v>
      </c>
      <c r="G167" s="43"/>
      <c r="H167" s="43"/>
      <c r="I167" s="43" t="s">
        <v>696</v>
      </c>
    </row>
    <row r="168" spans="2:9">
      <c r="B168" s="43" t="s">
        <v>982</v>
      </c>
      <c r="C168" s="43" t="s">
        <v>628</v>
      </c>
      <c r="D168" s="43" t="s">
        <v>550</v>
      </c>
      <c r="E168" s="43" t="s">
        <v>249</v>
      </c>
      <c r="F168" s="43" t="s">
        <v>695</v>
      </c>
      <c r="G168" s="43"/>
      <c r="H168" s="43"/>
      <c r="I168" s="43" t="s">
        <v>696</v>
      </c>
    </row>
    <row r="169" spans="2:9">
      <c r="B169" s="43" t="s">
        <v>982</v>
      </c>
      <c r="C169" s="43" t="s">
        <v>629</v>
      </c>
      <c r="D169" s="43" t="s">
        <v>355</v>
      </c>
      <c r="E169" s="43" t="s">
        <v>249</v>
      </c>
      <c r="F169" s="43" t="s">
        <v>695</v>
      </c>
      <c r="G169" s="43"/>
      <c r="H169" s="43"/>
      <c r="I169" s="43" t="s">
        <v>696</v>
      </c>
    </row>
    <row r="170" spans="2:9">
      <c r="B170" s="43" t="s">
        <v>982</v>
      </c>
      <c r="C170" s="43" t="s">
        <v>643</v>
      </c>
      <c r="D170" s="43" t="s">
        <v>357</v>
      </c>
      <c r="E170" s="43" t="s">
        <v>249</v>
      </c>
      <c r="F170" s="43" t="s">
        <v>695</v>
      </c>
      <c r="G170" s="43"/>
      <c r="H170" s="43"/>
      <c r="I170" s="43" t="s">
        <v>696</v>
      </c>
    </row>
    <row r="171" spans="2:9">
      <c r="B171" s="43" t="s">
        <v>982</v>
      </c>
      <c r="C171" s="43" t="s">
        <v>226</v>
      </c>
      <c r="D171" s="43" t="s">
        <v>917</v>
      </c>
      <c r="E171" s="43" t="s">
        <v>249</v>
      </c>
      <c r="F171" s="43" t="s">
        <v>695</v>
      </c>
      <c r="G171" s="43"/>
      <c r="H171" s="43"/>
      <c r="I171" s="43" t="s">
        <v>696</v>
      </c>
    </row>
    <row r="172" spans="2:9">
      <c r="B172" s="43" t="s">
        <v>982</v>
      </c>
      <c r="C172" s="43" t="s">
        <v>1010</v>
      </c>
      <c r="D172" s="43" t="s">
        <v>980</v>
      </c>
      <c r="E172" s="43" t="s">
        <v>249</v>
      </c>
      <c r="F172" s="43" t="s">
        <v>695</v>
      </c>
      <c r="G172" s="43"/>
      <c r="H172" s="43"/>
      <c r="I172" s="43" t="s">
        <v>696</v>
      </c>
    </row>
    <row r="173" spans="2:9">
      <c r="B173" s="43" t="s">
        <v>982</v>
      </c>
      <c r="C173" s="43" t="s">
        <v>916</v>
      </c>
      <c r="D173" s="43" t="s">
        <v>289</v>
      </c>
      <c r="E173" s="43" t="s">
        <v>249</v>
      </c>
      <c r="F173" s="43" t="s">
        <v>695</v>
      </c>
      <c r="G173" s="43"/>
      <c r="H173" s="43"/>
      <c r="I173" s="43" t="s">
        <v>696</v>
      </c>
    </row>
    <row r="174" spans="2:9">
      <c r="B174" s="43" t="s">
        <v>982</v>
      </c>
      <c r="C174" s="43" t="s">
        <v>1032</v>
      </c>
      <c r="D174" s="43" t="s">
        <v>1039</v>
      </c>
      <c r="E174" s="43" t="s">
        <v>249</v>
      </c>
      <c r="F174" s="43" t="s">
        <v>695</v>
      </c>
      <c r="G174" s="43"/>
      <c r="H174" s="43"/>
      <c r="I174" s="43" t="s">
        <v>696</v>
      </c>
    </row>
    <row r="175" spans="2:9">
      <c r="B175" s="43" t="s">
        <v>982</v>
      </c>
      <c r="C175" s="43" t="s">
        <v>223</v>
      </c>
      <c r="D175" s="43" t="s">
        <v>286</v>
      </c>
      <c r="E175" s="43" t="s">
        <v>249</v>
      </c>
      <c r="F175" s="43" t="s">
        <v>695</v>
      </c>
      <c r="G175" s="43"/>
      <c r="H175" s="43"/>
      <c r="I175" s="43" t="s">
        <v>696</v>
      </c>
    </row>
    <row r="176" spans="2:9">
      <c r="B176" s="43" t="s">
        <v>982</v>
      </c>
      <c r="C176" s="43" t="s">
        <v>228</v>
      </c>
      <c r="D176" s="43" t="s">
        <v>978</v>
      </c>
      <c r="E176" s="43" t="s">
        <v>249</v>
      </c>
      <c r="F176" s="43" t="s">
        <v>695</v>
      </c>
      <c r="G176" s="43"/>
      <c r="H176" s="43"/>
      <c r="I176" s="43" t="s">
        <v>696</v>
      </c>
    </row>
    <row r="177" spans="2:9">
      <c r="B177" s="43" t="s">
        <v>982</v>
      </c>
      <c r="C177" s="43" t="s">
        <v>227</v>
      </c>
      <c r="D177" s="43" t="s">
        <v>291</v>
      </c>
      <c r="E177" s="43" t="s">
        <v>249</v>
      </c>
      <c r="F177" s="43" t="s">
        <v>695</v>
      </c>
      <c r="G177" s="43"/>
      <c r="H177" s="43"/>
      <c r="I177" s="43" t="s">
        <v>696</v>
      </c>
    </row>
    <row r="178" spans="2:9">
      <c r="B178" s="43" t="s">
        <v>982</v>
      </c>
      <c r="C178" s="43" t="s">
        <v>229</v>
      </c>
      <c r="D178" s="43" t="s">
        <v>293</v>
      </c>
      <c r="E178" s="43" t="s">
        <v>249</v>
      </c>
      <c r="F178" s="43" t="s">
        <v>695</v>
      </c>
      <c r="G178" s="43"/>
      <c r="H178" s="43"/>
      <c r="I178" s="43" t="s">
        <v>696</v>
      </c>
    </row>
    <row r="179" spans="2:9">
      <c r="B179" s="43" t="s">
        <v>982</v>
      </c>
      <c r="C179" s="43" t="s">
        <v>230</v>
      </c>
      <c r="D179" s="43" t="s">
        <v>292</v>
      </c>
      <c r="E179" s="43" t="s">
        <v>249</v>
      </c>
      <c r="F179" s="43" t="s">
        <v>695</v>
      </c>
      <c r="G179" s="43"/>
      <c r="H179" s="43"/>
      <c r="I179" s="43" t="s">
        <v>696</v>
      </c>
    </row>
    <row r="180" spans="2:9">
      <c r="B180" s="43" t="s">
        <v>982</v>
      </c>
      <c r="C180" s="43" t="s">
        <v>224</v>
      </c>
      <c r="D180" s="43" t="s">
        <v>131</v>
      </c>
      <c r="E180" s="43" t="s">
        <v>249</v>
      </c>
      <c r="F180" s="43" t="s">
        <v>695</v>
      </c>
      <c r="G180" s="43"/>
      <c r="H180" s="43"/>
      <c r="I180" s="43" t="s">
        <v>696</v>
      </c>
    </row>
    <row r="181" spans="2:9">
      <c r="B181" s="43" t="s">
        <v>982</v>
      </c>
      <c r="C181" s="43" t="s">
        <v>298</v>
      </c>
      <c r="D181" s="43" t="s">
        <v>287</v>
      </c>
      <c r="E181" s="43" t="s">
        <v>249</v>
      </c>
      <c r="F181" s="43" t="s">
        <v>695</v>
      </c>
      <c r="G181" s="43"/>
      <c r="H181" s="43"/>
      <c r="I181" s="43" t="s">
        <v>696</v>
      </c>
    </row>
    <row r="182" spans="2:9">
      <c r="B182" s="43" t="s">
        <v>982</v>
      </c>
      <c r="C182" s="43" t="s">
        <v>225</v>
      </c>
      <c r="D182" s="43" t="s">
        <v>288</v>
      </c>
      <c r="E182" s="43" t="s">
        <v>249</v>
      </c>
      <c r="F182" s="43" t="s">
        <v>695</v>
      </c>
      <c r="G182" s="43"/>
      <c r="H182" s="43"/>
      <c r="I182" s="43" t="s">
        <v>696</v>
      </c>
    </row>
    <row r="183" spans="2:9">
      <c r="B183" s="43" t="s">
        <v>982</v>
      </c>
      <c r="C183" s="43" t="s">
        <v>222</v>
      </c>
      <c r="D183" s="43" t="s">
        <v>284</v>
      </c>
      <c r="E183" s="43" t="s">
        <v>249</v>
      </c>
      <c r="F183" s="43" t="s">
        <v>695</v>
      </c>
      <c r="G183" s="43"/>
      <c r="H183" s="43"/>
      <c r="I183" s="43" t="s">
        <v>696</v>
      </c>
    </row>
    <row r="184" spans="2:9">
      <c r="B184" s="43" t="s">
        <v>982</v>
      </c>
      <c r="C184" s="43" t="s">
        <v>338</v>
      </c>
      <c r="D184" s="43" t="s">
        <v>285</v>
      </c>
      <c r="E184" s="43" t="s">
        <v>249</v>
      </c>
      <c r="F184" s="43" t="s">
        <v>695</v>
      </c>
      <c r="G184" s="43"/>
      <c r="H184" s="43"/>
      <c r="I184" s="43" t="s">
        <v>696</v>
      </c>
    </row>
    <row r="185" spans="2:9">
      <c r="B185" s="43" t="s">
        <v>982</v>
      </c>
      <c r="C185" s="43" t="s">
        <v>652</v>
      </c>
      <c r="D185" s="43" t="s">
        <v>1051</v>
      </c>
      <c r="E185" s="43" t="s">
        <v>249</v>
      </c>
      <c r="F185" s="43" t="s">
        <v>695</v>
      </c>
      <c r="G185" s="43"/>
      <c r="H185" s="43"/>
      <c r="I185" s="43" t="s">
        <v>696</v>
      </c>
    </row>
    <row r="186" spans="2:9">
      <c r="B186" s="43" t="s">
        <v>982</v>
      </c>
      <c r="C186" s="43" t="s">
        <v>1011</v>
      </c>
      <c r="D186" s="43" t="s">
        <v>1012</v>
      </c>
      <c r="E186" s="43" t="s">
        <v>249</v>
      </c>
      <c r="F186" s="43" t="s">
        <v>695</v>
      </c>
      <c r="G186" s="43"/>
      <c r="H186" s="43"/>
      <c r="I186" s="43" t="s">
        <v>696</v>
      </c>
    </row>
    <row r="187" spans="2:9">
      <c r="B187" s="43" t="s">
        <v>982</v>
      </c>
      <c r="C187" s="43" t="s">
        <v>1033</v>
      </c>
      <c r="D187" s="43" t="s">
        <v>1040</v>
      </c>
      <c r="E187" s="43" t="s">
        <v>249</v>
      </c>
      <c r="F187" s="43" t="s">
        <v>695</v>
      </c>
      <c r="G187" s="43"/>
      <c r="H187" s="43"/>
      <c r="I187" s="43" t="s">
        <v>696</v>
      </c>
    </row>
    <row r="188" spans="2:9">
      <c r="B188" s="43" t="s">
        <v>982</v>
      </c>
      <c r="C188" s="43" t="s">
        <v>649</v>
      </c>
      <c r="D188" s="43" t="s">
        <v>296</v>
      </c>
      <c r="E188" s="43" t="s">
        <v>249</v>
      </c>
      <c r="F188" s="43" t="s">
        <v>695</v>
      </c>
      <c r="G188" s="43"/>
      <c r="H188" s="43"/>
      <c r="I188" s="43" t="s">
        <v>696</v>
      </c>
    </row>
    <row r="189" spans="2:9">
      <c r="B189" s="43" t="s">
        <v>982</v>
      </c>
      <c r="C189" s="43" t="s">
        <v>992</v>
      </c>
      <c r="D189" s="43" t="s">
        <v>271</v>
      </c>
      <c r="E189" s="43" t="s">
        <v>249</v>
      </c>
      <c r="F189" s="43" t="s">
        <v>695</v>
      </c>
      <c r="G189" s="43"/>
      <c r="H189" s="43"/>
      <c r="I189" s="43" t="s">
        <v>696</v>
      </c>
    </row>
    <row r="190" spans="2:9">
      <c r="B190" s="43" t="s">
        <v>982</v>
      </c>
      <c r="C190" s="43" t="s">
        <v>653</v>
      </c>
      <c r="D190" s="43" t="s">
        <v>121</v>
      </c>
      <c r="E190" s="43" t="s">
        <v>249</v>
      </c>
      <c r="F190" s="43" t="s">
        <v>695</v>
      </c>
      <c r="G190" s="43"/>
      <c r="H190" s="43"/>
      <c r="I190" s="43" t="s">
        <v>696</v>
      </c>
    </row>
    <row r="191" spans="2:9">
      <c r="B191" s="43" t="s">
        <v>982</v>
      </c>
      <c r="C191" s="43" t="s">
        <v>654</v>
      </c>
      <c r="D191" s="43" t="s">
        <v>273</v>
      </c>
      <c r="E191" s="43" t="s">
        <v>249</v>
      </c>
      <c r="F191" s="43" t="s">
        <v>695</v>
      </c>
      <c r="G191" s="43"/>
      <c r="H191" s="43"/>
      <c r="I191" s="43" t="s">
        <v>696</v>
      </c>
    </row>
    <row r="192" spans="2:9">
      <c r="B192" s="43" t="s">
        <v>982</v>
      </c>
      <c r="C192" s="43" t="s">
        <v>155</v>
      </c>
      <c r="D192" s="43" t="s">
        <v>272</v>
      </c>
      <c r="E192" s="43" t="s">
        <v>249</v>
      </c>
      <c r="F192" s="43" t="s">
        <v>695</v>
      </c>
      <c r="G192" s="43"/>
      <c r="H192" s="43"/>
      <c r="I192" s="43" t="s">
        <v>696</v>
      </c>
    </row>
    <row r="193" spans="2:9">
      <c r="B193" s="43" t="s">
        <v>982</v>
      </c>
      <c r="C193" s="43" t="s">
        <v>650</v>
      </c>
      <c r="D193" s="43" t="s">
        <v>132</v>
      </c>
      <c r="E193" s="43" t="s">
        <v>249</v>
      </c>
      <c r="F193" s="43" t="s">
        <v>695</v>
      </c>
      <c r="G193" s="43"/>
      <c r="H193" s="43"/>
      <c r="I193" s="43" t="s">
        <v>696</v>
      </c>
    </row>
    <row r="194" spans="2:9">
      <c r="B194" s="43" t="s">
        <v>982</v>
      </c>
      <c r="C194" s="43" t="s">
        <v>299</v>
      </c>
      <c r="D194" s="43" t="s">
        <v>297</v>
      </c>
      <c r="E194" s="43" t="s">
        <v>249</v>
      </c>
      <c r="F194" s="43" t="s">
        <v>695</v>
      </c>
      <c r="G194" s="43"/>
      <c r="H194" s="43"/>
      <c r="I194" s="43" t="s">
        <v>696</v>
      </c>
    </row>
    <row r="195" spans="2:9">
      <c r="B195" s="43" t="s">
        <v>982</v>
      </c>
      <c r="C195" s="43" t="s">
        <v>651</v>
      </c>
      <c r="D195" s="43" t="s">
        <v>120</v>
      </c>
      <c r="E195" s="43" t="s">
        <v>249</v>
      </c>
      <c r="F195" s="43" t="s">
        <v>695</v>
      </c>
      <c r="G195" s="43"/>
      <c r="H195" s="43"/>
      <c r="I195" s="43" t="s">
        <v>696</v>
      </c>
    </row>
    <row r="196" spans="2:9">
      <c r="B196" s="43" t="s">
        <v>982</v>
      </c>
      <c r="C196" s="43" t="s">
        <v>648</v>
      </c>
      <c r="D196" s="43" t="s">
        <v>294</v>
      </c>
      <c r="E196" s="43" t="s">
        <v>249</v>
      </c>
      <c r="F196" s="43" t="s">
        <v>695</v>
      </c>
      <c r="G196" s="43"/>
      <c r="H196" s="43"/>
      <c r="I196" s="43" t="s">
        <v>696</v>
      </c>
    </row>
    <row r="197" spans="2:9">
      <c r="B197" s="43" t="s">
        <v>982</v>
      </c>
      <c r="C197" s="43" t="s">
        <v>339</v>
      </c>
      <c r="D197" s="43" t="s">
        <v>295</v>
      </c>
      <c r="E197" s="43" t="s">
        <v>249</v>
      </c>
      <c r="F197" s="43" t="s">
        <v>695</v>
      </c>
      <c r="G197" s="43"/>
      <c r="H197" s="43"/>
      <c r="I197" s="43" t="s">
        <v>696</v>
      </c>
    </row>
    <row r="198" spans="2:9">
      <c r="B198" s="43" t="s">
        <v>982</v>
      </c>
      <c r="C198" s="43" t="s">
        <v>893</v>
      </c>
      <c r="D198" s="43" t="s">
        <v>545</v>
      </c>
      <c r="E198" s="43" t="s">
        <v>249</v>
      </c>
      <c r="F198" s="43" t="s">
        <v>695</v>
      </c>
      <c r="G198" s="43"/>
      <c r="H198" s="43"/>
      <c r="I198" s="43" t="s">
        <v>696</v>
      </c>
    </row>
    <row r="199" spans="2:9">
      <c r="B199" s="43" t="s">
        <v>982</v>
      </c>
      <c r="C199" s="43" t="s">
        <v>1048</v>
      </c>
      <c r="D199" s="43" t="s">
        <v>1050</v>
      </c>
      <c r="E199" s="43" t="s">
        <v>249</v>
      </c>
      <c r="F199" s="43" t="s">
        <v>695</v>
      </c>
      <c r="G199" s="43"/>
      <c r="H199" s="43"/>
      <c r="I199" s="43" t="s">
        <v>696</v>
      </c>
    </row>
    <row r="200" spans="2:9">
      <c r="B200" s="43" t="s">
        <v>982</v>
      </c>
      <c r="C200" s="43" t="s">
        <v>1027</v>
      </c>
      <c r="D200" s="43" t="s">
        <v>1041</v>
      </c>
      <c r="E200" s="43" t="s">
        <v>249</v>
      </c>
      <c r="F200" s="43" t="s">
        <v>695</v>
      </c>
      <c r="G200" s="43"/>
      <c r="H200" s="43"/>
      <c r="I200" s="43" t="s">
        <v>696</v>
      </c>
    </row>
    <row r="201" spans="2:9">
      <c r="B201" s="43" t="s">
        <v>982</v>
      </c>
      <c r="C201" s="43" t="s">
        <v>891</v>
      </c>
      <c r="D201" s="43" t="s">
        <v>543</v>
      </c>
      <c r="E201" s="43" t="s">
        <v>249</v>
      </c>
      <c r="F201" s="43" t="s">
        <v>695</v>
      </c>
      <c r="G201" s="43"/>
      <c r="H201" s="43"/>
      <c r="I201" s="43" t="s">
        <v>696</v>
      </c>
    </row>
    <row r="202" spans="2:9">
      <c r="B202" s="43" t="s">
        <v>982</v>
      </c>
      <c r="C202" s="43" t="s">
        <v>894</v>
      </c>
      <c r="D202" s="43" t="s">
        <v>546</v>
      </c>
      <c r="E202" s="43" t="s">
        <v>249</v>
      </c>
      <c r="F202" s="43" t="s">
        <v>695</v>
      </c>
      <c r="G202" s="43"/>
      <c r="H202" s="43"/>
      <c r="I202" s="43" t="s">
        <v>696</v>
      </c>
    </row>
    <row r="203" spans="2:9">
      <c r="B203" s="43" t="s">
        <v>982</v>
      </c>
      <c r="C203" s="43" t="s">
        <v>1052</v>
      </c>
      <c r="D203" s="43" t="s">
        <v>1055</v>
      </c>
      <c r="E203" s="43" t="s">
        <v>249</v>
      </c>
      <c r="F203" s="43" t="s">
        <v>695</v>
      </c>
      <c r="G203" s="43"/>
      <c r="H203" s="43"/>
      <c r="I203" s="43" t="s">
        <v>696</v>
      </c>
    </row>
    <row r="204" spans="2:9">
      <c r="B204" s="43" t="s">
        <v>982</v>
      </c>
      <c r="C204" s="43" t="s">
        <v>895</v>
      </c>
      <c r="D204" s="43" t="s">
        <v>569</v>
      </c>
      <c r="E204" s="43" t="s">
        <v>249</v>
      </c>
      <c r="F204" s="43" t="s">
        <v>695</v>
      </c>
      <c r="G204" s="43"/>
      <c r="H204" s="43"/>
      <c r="I204" s="43" t="s">
        <v>696</v>
      </c>
    </row>
    <row r="205" spans="2:9">
      <c r="B205" s="43" t="s">
        <v>982</v>
      </c>
      <c r="C205" s="43" t="s">
        <v>890</v>
      </c>
      <c r="D205" s="43" t="s">
        <v>571</v>
      </c>
      <c r="E205" s="43" t="s">
        <v>249</v>
      </c>
      <c r="F205" s="43" t="s">
        <v>695</v>
      </c>
      <c r="G205" s="43"/>
      <c r="H205" s="43"/>
      <c r="I205" s="43" t="s">
        <v>696</v>
      </c>
    </row>
    <row r="206" spans="2:9">
      <c r="B206" s="43" t="s">
        <v>982</v>
      </c>
      <c r="C206" s="43" t="s">
        <v>892</v>
      </c>
      <c r="D206" s="43" t="s">
        <v>544</v>
      </c>
      <c r="E206" s="43" t="s">
        <v>249</v>
      </c>
      <c r="F206" s="43" t="s">
        <v>695</v>
      </c>
      <c r="G206" s="43"/>
      <c r="H206" s="43"/>
      <c r="I206" s="43" t="s">
        <v>696</v>
      </c>
    </row>
    <row r="207" spans="2:9">
      <c r="B207" s="43" t="s">
        <v>982</v>
      </c>
      <c r="C207" s="43" t="s">
        <v>889</v>
      </c>
      <c r="D207" s="43" t="s">
        <v>542</v>
      </c>
      <c r="E207" s="43" t="s">
        <v>249</v>
      </c>
      <c r="F207" s="43" t="s">
        <v>695</v>
      </c>
      <c r="G207" s="43"/>
      <c r="H207" s="43"/>
      <c r="I207" s="43" t="s">
        <v>696</v>
      </c>
    </row>
    <row r="208" spans="2:9">
      <c r="B208" s="43" t="s">
        <v>982</v>
      </c>
      <c r="C208" s="43" t="s">
        <v>896</v>
      </c>
      <c r="D208" s="43" t="s">
        <v>547</v>
      </c>
      <c r="E208" s="43" t="s">
        <v>249</v>
      </c>
      <c r="F208" s="43" t="s">
        <v>695</v>
      </c>
      <c r="G208" s="43"/>
      <c r="H208" s="43"/>
      <c r="I208" s="43" t="s">
        <v>696</v>
      </c>
    </row>
    <row r="209" spans="2:9">
      <c r="B209" s="43" t="s">
        <v>982</v>
      </c>
      <c r="C209" s="43" t="s">
        <v>901</v>
      </c>
      <c r="D209" s="43" t="s">
        <v>545</v>
      </c>
      <c r="E209" s="43" t="s">
        <v>249</v>
      </c>
      <c r="F209" s="43" t="s">
        <v>695</v>
      </c>
      <c r="G209" s="43"/>
      <c r="H209" s="43"/>
      <c r="I209" s="43" t="s">
        <v>696</v>
      </c>
    </row>
    <row r="210" spans="2:9">
      <c r="B210" s="43" t="s">
        <v>982</v>
      </c>
      <c r="C210" s="43" t="s">
        <v>1049</v>
      </c>
      <c r="D210" s="43" t="s">
        <v>1050</v>
      </c>
      <c r="E210" s="43" t="s">
        <v>249</v>
      </c>
      <c r="F210" s="43" t="s">
        <v>695</v>
      </c>
      <c r="G210" s="43"/>
      <c r="H210" s="43"/>
      <c r="I210" s="43" t="s">
        <v>696</v>
      </c>
    </row>
    <row r="211" spans="2:9">
      <c r="B211" s="43" t="s">
        <v>982</v>
      </c>
      <c r="C211" s="43" t="s">
        <v>1028</v>
      </c>
      <c r="D211" s="43" t="s">
        <v>1041</v>
      </c>
      <c r="E211" s="43" t="s">
        <v>249</v>
      </c>
      <c r="F211" s="43" t="s">
        <v>695</v>
      </c>
      <c r="G211" s="43"/>
      <c r="H211" s="43"/>
      <c r="I211" s="43" t="s">
        <v>696</v>
      </c>
    </row>
    <row r="212" spans="2:9">
      <c r="B212" s="43" t="s">
        <v>982</v>
      </c>
      <c r="C212" s="43" t="s">
        <v>899</v>
      </c>
      <c r="D212" s="43" t="s">
        <v>543</v>
      </c>
      <c r="E212" s="43" t="s">
        <v>249</v>
      </c>
      <c r="F212" s="43" t="s">
        <v>695</v>
      </c>
      <c r="G212" s="43"/>
      <c r="H212" s="43"/>
      <c r="I212" s="43" t="s">
        <v>696</v>
      </c>
    </row>
    <row r="213" spans="2:9">
      <c r="B213" s="43" t="s">
        <v>982</v>
      </c>
      <c r="C213" s="43" t="s">
        <v>902</v>
      </c>
      <c r="D213" s="43" t="s">
        <v>546</v>
      </c>
      <c r="E213" s="43" t="s">
        <v>249</v>
      </c>
      <c r="F213" s="43" t="s">
        <v>695</v>
      </c>
      <c r="G213" s="43"/>
      <c r="H213" s="43"/>
      <c r="I213" s="43" t="s">
        <v>696</v>
      </c>
    </row>
    <row r="214" spans="2:9">
      <c r="B214" s="43" t="s">
        <v>982</v>
      </c>
      <c r="C214" s="43" t="s">
        <v>904</v>
      </c>
      <c r="D214" s="43" t="s">
        <v>570</v>
      </c>
      <c r="E214" s="43" t="s">
        <v>249</v>
      </c>
      <c r="F214" s="43" t="s">
        <v>695</v>
      </c>
      <c r="G214" s="43"/>
      <c r="H214" s="43"/>
      <c r="I214" s="43" t="s">
        <v>696</v>
      </c>
    </row>
    <row r="215" spans="2:9">
      <c r="B215" s="43" t="s">
        <v>982</v>
      </c>
      <c r="C215" s="43" t="s">
        <v>903</v>
      </c>
      <c r="D215" s="43" t="s">
        <v>569</v>
      </c>
      <c r="E215" s="43" t="s">
        <v>249</v>
      </c>
      <c r="F215" s="43" t="s">
        <v>695</v>
      </c>
      <c r="G215" s="43"/>
      <c r="H215" s="43"/>
      <c r="I215" s="43" t="s">
        <v>696</v>
      </c>
    </row>
    <row r="216" spans="2:9">
      <c r="B216" s="43" t="s">
        <v>982</v>
      </c>
      <c r="C216" s="43" t="s">
        <v>898</v>
      </c>
      <c r="D216" s="43" t="s">
        <v>571</v>
      </c>
      <c r="E216" s="43" t="s">
        <v>249</v>
      </c>
      <c r="F216" s="43" t="s">
        <v>695</v>
      </c>
      <c r="G216" s="43"/>
      <c r="H216" s="43"/>
      <c r="I216" s="43" t="s">
        <v>696</v>
      </c>
    </row>
    <row r="217" spans="2:9">
      <c r="B217" s="43" t="s">
        <v>982</v>
      </c>
      <c r="C217" s="43" t="s">
        <v>900</v>
      </c>
      <c r="D217" s="43" t="s">
        <v>544</v>
      </c>
      <c r="E217" s="43" t="s">
        <v>249</v>
      </c>
      <c r="F217" s="43" t="s">
        <v>695</v>
      </c>
      <c r="G217" s="43"/>
      <c r="H217" s="43"/>
      <c r="I217" s="43" t="s">
        <v>696</v>
      </c>
    </row>
    <row r="218" spans="2:9">
      <c r="B218" s="43" t="s">
        <v>982</v>
      </c>
      <c r="C218" s="43" t="s">
        <v>897</v>
      </c>
      <c r="D218" s="43" t="s">
        <v>542</v>
      </c>
      <c r="E218" s="43" t="s">
        <v>249</v>
      </c>
      <c r="F218" s="43" t="s">
        <v>695</v>
      </c>
      <c r="G218" s="43"/>
      <c r="H218" s="43"/>
      <c r="I218" s="43" t="s">
        <v>696</v>
      </c>
    </row>
    <row r="219" spans="2:9">
      <c r="B219" s="43" t="s">
        <v>982</v>
      </c>
      <c r="C219" s="43" t="s">
        <v>905</v>
      </c>
      <c r="D219" s="43" t="s">
        <v>547</v>
      </c>
      <c r="E219" s="43" t="s">
        <v>249</v>
      </c>
      <c r="F219" s="43" t="s">
        <v>695</v>
      </c>
      <c r="G219" s="43"/>
      <c r="H219" s="43"/>
      <c r="I219" s="43" t="s">
        <v>696</v>
      </c>
    </row>
    <row r="220" spans="2:9">
      <c r="B220" s="43" t="s">
        <v>982</v>
      </c>
      <c r="C220" s="43" t="s">
        <v>25</v>
      </c>
      <c r="D220" s="43" t="s">
        <v>347</v>
      </c>
      <c r="E220" s="43" t="s">
        <v>249</v>
      </c>
      <c r="F220" s="43" t="s">
        <v>695</v>
      </c>
      <c r="G220" s="43"/>
      <c r="H220" s="43"/>
      <c r="I220" s="43" t="s">
        <v>696</v>
      </c>
    </row>
    <row r="221" spans="2:9">
      <c r="B221" s="43" t="s">
        <v>982</v>
      </c>
      <c r="C221" s="43" t="s">
        <v>559</v>
      </c>
      <c r="D221" s="43" t="s">
        <v>560</v>
      </c>
      <c r="E221" s="43" t="s">
        <v>249</v>
      </c>
      <c r="F221" s="43" t="s">
        <v>695</v>
      </c>
      <c r="G221" s="43"/>
      <c r="H221" s="43"/>
      <c r="I221" s="43" t="s">
        <v>696</v>
      </c>
    </row>
    <row r="222" spans="2:9">
      <c r="B222" s="43" t="s">
        <v>982</v>
      </c>
      <c r="C222" s="43" t="s">
        <v>306</v>
      </c>
      <c r="D222" s="43" t="s">
        <v>346</v>
      </c>
      <c r="E222" s="43" t="s">
        <v>249</v>
      </c>
      <c r="F222" s="43" t="s">
        <v>695</v>
      </c>
      <c r="G222" s="43"/>
      <c r="H222" s="43"/>
      <c r="I222" s="43" t="s">
        <v>696</v>
      </c>
    </row>
    <row r="223" spans="2:9">
      <c r="B223" s="43" t="s">
        <v>982</v>
      </c>
      <c r="C223" s="43" t="s">
        <v>305</v>
      </c>
      <c r="D223" s="43" t="s">
        <v>344</v>
      </c>
      <c r="E223" s="43" t="s">
        <v>249</v>
      </c>
      <c r="F223" s="43" t="s">
        <v>695</v>
      </c>
      <c r="G223" s="43"/>
      <c r="H223" s="43"/>
      <c r="I223" s="43" t="s">
        <v>696</v>
      </c>
    </row>
    <row r="224" spans="2:9">
      <c r="B224" s="43" t="s">
        <v>982</v>
      </c>
      <c r="C224" s="43" t="s">
        <v>330</v>
      </c>
      <c r="D224" s="43" t="s">
        <v>345</v>
      </c>
      <c r="E224" s="43" t="s">
        <v>249</v>
      </c>
      <c r="F224" s="43" t="s">
        <v>695</v>
      </c>
      <c r="G224" s="43"/>
      <c r="H224" s="43"/>
      <c r="I224" s="43" t="s">
        <v>696</v>
      </c>
    </row>
    <row r="225" spans="2:9">
      <c r="B225" s="43" t="s">
        <v>982</v>
      </c>
      <c r="C225" s="43" t="s">
        <v>304</v>
      </c>
      <c r="D225" s="43" t="s">
        <v>281</v>
      </c>
      <c r="E225" s="43" t="s">
        <v>249</v>
      </c>
      <c r="F225" s="43" t="s">
        <v>695</v>
      </c>
      <c r="G225" s="43"/>
      <c r="H225" s="43"/>
      <c r="I225" s="43" t="s">
        <v>696</v>
      </c>
    </row>
    <row r="226" spans="2:9">
      <c r="B226" s="43" t="s">
        <v>982</v>
      </c>
      <c r="C226" s="43" t="s">
        <v>307</v>
      </c>
      <c r="D226" s="43" t="s">
        <v>348</v>
      </c>
      <c r="E226" s="43" t="s">
        <v>249</v>
      </c>
      <c r="F226" s="43" t="s">
        <v>695</v>
      </c>
      <c r="G226" s="43"/>
      <c r="H226" s="43"/>
      <c r="I226" s="43" t="s">
        <v>696</v>
      </c>
    </row>
    <row r="227" spans="2:9">
      <c r="B227" s="43" t="s">
        <v>982</v>
      </c>
      <c r="C227" s="43" t="s">
        <v>26</v>
      </c>
      <c r="D227" s="43" t="s">
        <v>353</v>
      </c>
      <c r="E227" s="43" t="s">
        <v>249</v>
      </c>
      <c r="F227" s="43" t="s">
        <v>695</v>
      </c>
      <c r="G227" s="43"/>
      <c r="H227" s="43"/>
      <c r="I227" s="43" t="s">
        <v>696</v>
      </c>
    </row>
    <row r="228" spans="2:9">
      <c r="B228" s="43" t="s">
        <v>982</v>
      </c>
      <c r="C228" s="43" t="s">
        <v>561</v>
      </c>
      <c r="D228" s="43" t="s">
        <v>562</v>
      </c>
      <c r="E228" s="43" t="s">
        <v>249</v>
      </c>
      <c r="F228" s="43" t="s">
        <v>695</v>
      </c>
      <c r="G228" s="43"/>
      <c r="H228" s="43"/>
      <c r="I228" s="43" t="s">
        <v>696</v>
      </c>
    </row>
    <row r="229" spans="2:9">
      <c r="B229" s="43" t="s">
        <v>982</v>
      </c>
      <c r="C229" s="43" t="s">
        <v>311</v>
      </c>
      <c r="D229" s="43" t="s">
        <v>352</v>
      </c>
      <c r="E229" s="43" t="s">
        <v>249</v>
      </c>
      <c r="F229" s="43" t="s">
        <v>695</v>
      </c>
      <c r="G229" s="43"/>
      <c r="H229" s="43"/>
      <c r="I229" s="43" t="s">
        <v>696</v>
      </c>
    </row>
    <row r="230" spans="2:9">
      <c r="B230" s="43" t="s">
        <v>982</v>
      </c>
      <c r="C230" s="43" t="s">
        <v>310</v>
      </c>
      <c r="D230" s="43" t="s">
        <v>350</v>
      </c>
      <c r="E230" s="43" t="s">
        <v>249</v>
      </c>
      <c r="F230" s="43" t="s">
        <v>695</v>
      </c>
      <c r="G230" s="43"/>
      <c r="H230" s="43"/>
      <c r="I230" s="43" t="s">
        <v>696</v>
      </c>
    </row>
    <row r="231" spans="2:9">
      <c r="B231" s="43" t="s">
        <v>982</v>
      </c>
      <c r="C231" s="43" t="s">
        <v>233</v>
      </c>
      <c r="D231" s="43" t="s">
        <v>351</v>
      </c>
      <c r="E231" s="43" t="s">
        <v>249</v>
      </c>
      <c r="F231" s="43" t="s">
        <v>695</v>
      </c>
      <c r="G231" s="43"/>
      <c r="H231" s="43"/>
      <c r="I231" s="43" t="s">
        <v>696</v>
      </c>
    </row>
    <row r="232" spans="2:9">
      <c r="B232" s="43" t="s">
        <v>982</v>
      </c>
      <c r="C232" s="43" t="s">
        <v>309</v>
      </c>
      <c r="D232" s="43" t="s">
        <v>349</v>
      </c>
      <c r="E232" s="43" t="s">
        <v>249</v>
      </c>
      <c r="F232" s="43" t="s">
        <v>695</v>
      </c>
      <c r="G232" s="43"/>
      <c r="H232" s="43"/>
      <c r="I232" s="43" t="s">
        <v>696</v>
      </c>
    </row>
    <row r="233" spans="2:9">
      <c r="B233" s="43" t="s">
        <v>982</v>
      </c>
      <c r="C233" s="43" t="s">
        <v>312</v>
      </c>
      <c r="D233" s="43" t="s">
        <v>354</v>
      </c>
      <c r="E233" s="43" t="s">
        <v>249</v>
      </c>
      <c r="F233" s="43" t="s">
        <v>695</v>
      </c>
      <c r="G233" s="43"/>
      <c r="H233" s="43"/>
      <c r="I233" s="43" t="s">
        <v>696</v>
      </c>
    </row>
    <row r="234" spans="2:9">
      <c r="B234" s="43" t="s">
        <v>982</v>
      </c>
      <c r="C234" s="43" t="s">
        <v>986</v>
      </c>
      <c r="D234" s="43" t="s">
        <v>987</v>
      </c>
      <c r="E234" s="43" t="s">
        <v>249</v>
      </c>
      <c r="F234" s="43" t="s">
        <v>695</v>
      </c>
      <c r="G234" s="43"/>
      <c r="H234" s="43"/>
      <c r="I234" s="43" t="s">
        <v>696</v>
      </c>
    </row>
    <row r="235" spans="2:9">
      <c r="B235" s="43" t="s">
        <v>982</v>
      </c>
      <c r="C235" s="43" t="s">
        <v>508</v>
      </c>
      <c r="D235" s="43" t="s">
        <v>66</v>
      </c>
      <c r="E235" s="43" t="s">
        <v>249</v>
      </c>
      <c r="F235" s="43" t="s">
        <v>695</v>
      </c>
      <c r="G235" s="43"/>
      <c r="H235" s="43"/>
      <c r="I235" s="43" t="s">
        <v>696</v>
      </c>
    </row>
    <row r="236" spans="2:9">
      <c r="B236" s="43" t="s">
        <v>982</v>
      </c>
      <c r="C236" s="43" t="s">
        <v>507</v>
      </c>
      <c r="D236" s="43" t="s">
        <v>65</v>
      </c>
      <c r="E236" s="43" t="s">
        <v>249</v>
      </c>
      <c r="F236" s="43" t="s">
        <v>695</v>
      </c>
      <c r="G236" s="43"/>
      <c r="H236" s="43"/>
      <c r="I236" s="43" t="s">
        <v>696</v>
      </c>
    </row>
    <row r="237" spans="2:9">
      <c r="B237" s="43" t="s">
        <v>982</v>
      </c>
      <c r="C237" s="43" t="s">
        <v>506</v>
      </c>
      <c r="D237" s="43" t="s">
        <v>64</v>
      </c>
      <c r="E237" s="43" t="s">
        <v>249</v>
      </c>
      <c r="F237" s="43" t="s">
        <v>695</v>
      </c>
      <c r="G237" s="43"/>
      <c r="H237" s="43"/>
      <c r="I237" s="43" t="s">
        <v>696</v>
      </c>
    </row>
    <row r="238" spans="2:9">
      <c r="B238" s="43" t="s">
        <v>982</v>
      </c>
      <c r="C238" s="43" t="s">
        <v>505</v>
      </c>
      <c r="D238" s="43" t="s">
        <v>63</v>
      </c>
      <c r="E238" s="43" t="s">
        <v>249</v>
      </c>
      <c r="F238" s="43" t="s">
        <v>695</v>
      </c>
      <c r="G238" s="43"/>
      <c r="H238" s="43"/>
      <c r="I238" s="43" t="s">
        <v>696</v>
      </c>
    </row>
    <row r="239" spans="2:9">
      <c r="B239" s="43" t="s">
        <v>982</v>
      </c>
      <c r="C239" s="43" t="s">
        <v>991</v>
      </c>
      <c r="D239" s="43" t="s">
        <v>990</v>
      </c>
      <c r="E239" s="43" t="s">
        <v>249</v>
      </c>
      <c r="F239" s="43" t="s">
        <v>695</v>
      </c>
      <c r="G239" s="43"/>
      <c r="H239" s="43"/>
      <c r="I239" s="43" t="s">
        <v>696</v>
      </c>
    </row>
    <row r="240" spans="2:9">
      <c r="B240" s="43" t="s">
        <v>982</v>
      </c>
      <c r="C240" s="43" t="s">
        <v>365</v>
      </c>
      <c r="D240" s="43" t="s">
        <v>552</v>
      </c>
      <c r="E240" s="43" t="s">
        <v>249</v>
      </c>
      <c r="F240" s="43" t="s">
        <v>695</v>
      </c>
      <c r="G240" s="43"/>
      <c r="H240" s="43"/>
      <c r="I240" s="43" t="s">
        <v>696</v>
      </c>
    </row>
    <row r="241" spans="2:9">
      <c r="B241" s="43" t="s">
        <v>982</v>
      </c>
      <c r="C241" s="43" t="s">
        <v>364</v>
      </c>
      <c r="D241" s="43" t="s">
        <v>551</v>
      </c>
      <c r="E241" s="43" t="s">
        <v>249</v>
      </c>
      <c r="F241" s="43" t="s">
        <v>695</v>
      </c>
      <c r="G241" s="43"/>
      <c r="H241" s="43"/>
      <c r="I241" s="43" t="s">
        <v>696</v>
      </c>
    </row>
    <row r="242" spans="2:9">
      <c r="B242" s="43" t="s">
        <v>982</v>
      </c>
      <c r="C242" s="43" t="s">
        <v>363</v>
      </c>
      <c r="D242" s="43" t="s">
        <v>68</v>
      </c>
      <c r="E242" s="43" t="s">
        <v>249</v>
      </c>
      <c r="F242" s="43" t="s">
        <v>695</v>
      </c>
      <c r="G242" s="43"/>
      <c r="H242" s="43"/>
      <c r="I242" s="43" t="s">
        <v>696</v>
      </c>
    </row>
    <row r="243" spans="2:9">
      <c r="B243" s="43" t="s">
        <v>982</v>
      </c>
      <c r="C243" s="43" t="s">
        <v>362</v>
      </c>
      <c r="D243" s="43" t="s">
        <v>67</v>
      </c>
      <c r="E243" s="43" t="s">
        <v>249</v>
      </c>
      <c r="F243" s="43" t="s">
        <v>695</v>
      </c>
      <c r="G243" s="43"/>
      <c r="H243" s="43"/>
      <c r="I243" s="43" t="s">
        <v>696</v>
      </c>
    </row>
    <row r="244" spans="2:9">
      <c r="B244" s="43" t="s">
        <v>982</v>
      </c>
      <c r="C244" s="43" t="s">
        <v>660</v>
      </c>
      <c r="D244" s="43" t="s">
        <v>60</v>
      </c>
      <c r="E244" s="43" t="s">
        <v>249</v>
      </c>
      <c r="F244" s="43" t="s">
        <v>695</v>
      </c>
      <c r="G244" s="43"/>
      <c r="H244" s="43"/>
      <c r="I244" s="43" t="s">
        <v>696</v>
      </c>
    </row>
    <row r="245" spans="2:9">
      <c r="B245" s="43" t="s">
        <v>982</v>
      </c>
      <c r="C245" s="43" t="s">
        <v>644</v>
      </c>
      <c r="D245" s="43" t="s">
        <v>358</v>
      </c>
      <c r="E245" s="43" t="s">
        <v>249</v>
      </c>
      <c r="F245" s="43" t="s">
        <v>695</v>
      </c>
      <c r="G245" s="43"/>
      <c r="H245" s="43"/>
      <c r="I245" s="43" t="s">
        <v>696</v>
      </c>
    </row>
    <row r="246" spans="2:9">
      <c r="B246" s="43" t="s">
        <v>982</v>
      </c>
      <c r="C246" s="43" t="s">
        <v>659</v>
      </c>
      <c r="D246" s="43" t="s">
        <v>366</v>
      </c>
      <c r="E246" s="43" t="s">
        <v>249</v>
      </c>
      <c r="F246" s="43" t="s">
        <v>695</v>
      </c>
      <c r="G246" s="43"/>
      <c r="H246" s="43"/>
      <c r="I246" s="43" t="s">
        <v>696</v>
      </c>
    </row>
    <row r="247" spans="2:9">
      <c r="B247" s="43" t="s">
        <v>982</v>
      </c>
      <c r="C247" s="43" t="s">
        <v>645</v>
      </c>
      <c r="D247" s="43" t="s">
        <v>61</v>
      </c>
      <c r="E247" s="43" t="s">
        <v>249</v>
      </c>
      <c r="F247" s="43" t="s">
        <v>695</v>
      </c>
      <c r="G247" s="43"/>
      <c r="H247" s="43"/>
      <c r="I247" s="43" t="s">
        <v>696</v>
      </c>
    </row>
    <row r="248" spans="2:9">
      <c r="B248" s="43" t="s">
        <v>982</v>
      </c>
      <c r="C248" s="43" t="s">
        <v>667</v>
      </c>
      <c r="D248" s="43" t="s">
        <v>62</v>
      </c>
      <c r="E248" s="43" t="s">
        <v>249</v>
      </c>
      <c r="F248" s="43" t="s">
        <v>695</v>
      </c>
      <c r="G248" s="43"/>
      <c r="H248" s="43"/>
      <c r="I248" s="43" t="s">
        <v>696</v>
      </c>
    </row>
    <row r="249" spans="2:9">
      <c r="B249" s="43" t="s">
        <v>982</v>
      </c>
      <c r="C249" s="43" t="s">
        <v>625</v>
      </c>
      <c r="D249" s="43" t="s">
        <v>549</v>
      </c>
      <c r="E249" s="43" t="s">
        <v>249</v>
      </c>
      <c r="F249" s="43" t="s">
        <v>695</v>
      </c>
      <c r="G249" s="43"/>
      <c r="H249" s="43"/>
      <c r="I249" s="43" t="s">
        <v>696</v>
      </c>
    </row>
    <row r="250" spans="2:9">
      <c r="B250" s="43" t="s">
        <v>982</v>
      </c>
      <c r="C250" s="43" t="s">
        <v>624</v>
      </c>
      <c r="D250" s="43" t="s">
        <v>548</v>
      </c>
      <c r="E250" s="43" t="s">
        <v>249</v>
      </c>
      <c r="F250" s="43" t="s">
        <v>695</v>
      </c>
      <c r="G250" s="43"/>
      <c r="H250" s="43"/>
      <c r="I250" s="43" t="s">
        <v>696</v>
      </c>
    </row>
    <row r="251" spans="2:9">
      <c r="B251" s="43" t="s">
        <v>983</v>
      </c>
      <c r="C251" s="43" t="s">
        <v>1123</v>
      </c>
      <c r="D251" s="43" t="s">
        <v>1121</v>
      </c>
      <c r="E251" s="43" t="s">
        <v>249</v>
      </c>
      <c r="F251" s="43" t="s">
        <v>695</v>
      </c>
      <c r="G251" s="43"/>
      <c r="H251" s="43"/>
      <c r="I251" s="43" t="s">
        <v>696</v>
      </c>
    </row>
    <row r="252" spans="2:9">
      <c r="B252" s="43" t="s">
        <v>983</v>
      </c>
      <c r="C252" s="43" t="s">
        <v>1124</v>
      </c>
      <c r="D252" s="43" t="s">
        <v>1122</v>
      </c>
      <c r="E252" s="43" t="s">
        <v>249</v>
      </c>
      <c r="F252" s="43" t="s">
        <v>695</v>
      </c>
      <c r="G252" s="43"/>
      <c r="H252" s="43"/>
      <c r="I252" s="43" t="s">
        <v>696</v>
      </c>
    </row>
    <row r="253" spans="2:9">
      <c r="B253" s="43" t="s">
        <v>983</v>
      </c>
      <c r="C253" s="43" t="s">
        <v>1125</v>
      </c>
      <c r="D253" s="43" t="s">
        <v>1127</v>
      </c>
      <c r="E253" s="43" t="s">
        <v>249</v>
      </c>
      <c r="F253" s="43" t="s">
        <v>695</v>
      </c>
      <c r="G253" s="43"/>
      <c r="H253" s="43"/>
      <c r="I253" s="43" t="s">
        <v>696</v>
      </c>
    </row>
    <row r="254" spans="2:9">
      <c r="B254" s="43" t="s">
        <v>983</v>
      </c>
      <c r="C254" s="43" t="s">
        <v>1064</v>
      </c>
      <c r="D254" s="43" t="s">
        <v>1061</v>
      </c>
      <c r="E254" s="43" t="s">
        <v>249</v>
      </c>
      <c r="F254" s="43" t="s">
        <v>695</v>
      </c>
      <c r="G254" s="43"/>
      <c r="H254" s="43"/>
      <c r="I254" s="43" t="s">
        <v>696</v>
      </c>
    </row>
    <row r="255" spans="2:9">
      <c r="B255" s="43" t="s">
        <v>983</v>
      </c>
      <c r="C255" s="43" t="s">
        <v>1073</v>
      </c>
      <c r="D255" s="43" t="s">
        <v>1074</v>
      </c>
      <c r="E255" s="43" t="s">
        <v>249</v>
      </c>
      <c r="F255" s="43" t="s">
        <v>695</v>
      </c>
      <c r="G255" s="43"/>
      <c r="H255" s="43"/>
      <c r="I255" s="43" t="s">
        <v>696</v>
      </c>
    </row>
    <row r="256" spans="2:9">
      <c r="B256" s="43" t="s">
        <v>983</v>
      </c>
      <c r="C256" s="43" t="s">
        <v>1078</v>
      </c>
      <c r="D256" s="43" t="s">
        <v>1079</v>
      </c>
      <c r="E256" s="43" t="s">
        <v>249</v>
      </c>
      <c r="F256" s="43" t="s">
        <v>695</v>
      </c>
      <c r="G256" s="43"/>
      <c r="H256" s="43"/>
      <c r="I256" s="43" t="s">
        <v>696</v>
      </c>
    </row>
    <row r="257" spans="2:9">
      <c r="B257" s="43" t="s">
        <v>983</v>
      </c>
      <c r="C257" s="43" t="s">
        <v>1067</v>
      </c>
      <c r="D257" s="43" t="s">
        <v>1103</v>
      </c>
      <c r="E257" s="43" t="s">
        <v>249</v>
      </c>
      <c r="F257" s="43" t="s">
        <v>695</v>
      </c>
      <c r="G257" s="43"/>
      <c r="H257" s="43" t="s">
        <v>1128</v>
      </c>
      <c r="I257" s="43" t="s">
        <v>1112</v>
      </c>
    </row>
    <row r="258" spans="2:9">
      <c r="B258" s="43" t="s">
        <v>983</v>
      </c>
      <c r="C258" s="43" t="s">
        <v>1081</v>
      </c>
      <c r="D258" s="43" t="s">
        <v>1104</v>
      </c>
      <c r="E258" s="43" t="s">
        <v>249</v>
      </c>
      <c r="F258" s="43" t="s">
        <v>695</v>
      </c>
      <c r="G258" s="43"/>
      <c r="H258" s="43" t="s">
        <v>1128</v>
      </c>
      <c r="I258" s="43" t="s">
        <v>1112</v>
      </c>
    </row>
    <row r="259" spans="2:9">
      <c r="B259" s="43" t="s">
        <v>983</v>
      </c>
      <c r="C259" s="43" t="s">
        <v>1082</v>
      </c>
      <c r="D259" s="43" t="s">
        <v>1105</v>
      </c>
      <c r="E259" s="43" t="s">
        <v>249</v>
      </c>
      <c r="F259" s="43" t="s">
        <v>695</v>
      </c>
      <c r="G259" s="43"/>
      <c r="H259" s="43" t="s">
        <v>1128</v>
      </c>
      <c r="I259" s="43" t="s">
        <v>1112</v>
      </c>
    </row>
    <row r="260" spans="2:9">
      <c r="B260" s="43" t="s">
        <v>983</v>
      </c>
      <c r="C260" s="43" t="s">
        <v>1083</v>
      </c>
      <c r="D260" s="43" t="s">
        <v>1136</v>
      </c>
      <c r="E260" s="43" t="s">
        <v>249</v>
      </c>
      <c r="F260" s="43" t="s">
        <v>695</v>
      </c>
      <c r="G260" s="43"/>
      <c r="H260" s="43" t="s">
        <v>1128</v>
      </c>
      <c r="I260" s="43" t="s">
        <v>1112</v>
      </c>
    </row>
    <row r="261" spans="2:9">
      <c r="B261" s="43" t="s">
        <v>983</v>
      </c>
      <c r="C261" s="43" t="s">
        <v>1135</v>
      </c>
      <c r="D261" s="43" t="s">
        <v>1137</v>
      </c>
      <c r="E261" s="43" t="s">
        <v>249</v>
      </c>
      <c r="F261" s="43" t="s">
        <v>695</v>
      </c>
      <c r="G261" s="43"/>
      <c r="H261" s="43" t="s">
        <v>1128</v>
      </c>
      <c r="I261" s="43" t="s">
        <v>1112</v>
      </c>
    </row>
    <row r="262" spans="2:9">
      <c r="B262" s="43" t="s">
        <v>983</v>
      </c>
      <c r="C262" s="43" t="s">
        <v>1077</v>
      </c>
      <c r="D262" s="43" t="s">
        <v>1106</v>
      </c>
      <c r="E262" s="43" t="s">
        <v>249</v>
      </c>
      <c r="F262" s="43" t="s">
        <v>695</v>
      </c>
      <c r="G262" s="43"/>
      <c r="H262" s="43" t="s">
        <v>1129</v>
      </c>
      <c r="I262" s="43" t="s">
        <v>1112</v>
      </c>
    </row>
    <row r="263" spans="2:9">
      <c r="B263" s="43" t="s">
        <v>983</v>
      </c>
      <c r="C263" s="43" t="s">
        <v>1084</v>
      </c>
      <c r="D263" s="43" t="s">
        <v>1107</v>
      </c>
      <c r="E263" s="43" t="s">
        <v>249</v>
      </c>
      <c r="F263" s="43" t="s">
        <v>695</v>
      </c>
      <c r="G263" s="43"/>
      <c r="H263" s="43" t="s">
        <v>1129</v>
      </c>
      <c r="I263" s="43" t="s">
        <v>1112</v>
      </c>
    </row>
    <row r="264" spans="2:9">
      <c r="B264" s="43" t="s">
        <v>983</v>
      </c>
      <c r="C264" s="43" t="s">
        <v>1085</v>
      </c>
      <c r="D264" s="43" t="s">
        <v>1108</v>
      </c>
      <c r="E264" s="43" t="s">
        <v>249</v>
      </c>
      <c r="F264" s="43" t="s">
        <v>695</v>
      </c>
      <c r="G264" s="43"/>
      <c r="H264" s="43" t="s">
        <v>1129</v>
      </c>
      <c r="I264" s="43" t="s">
        <v>1112</v>
      </c>
    </row>
    <row r="265" spans="2:9">
      <c r="B265" s="43" t="s">
        <v>983</v>
      </c>
      <c r="C265" s="43" t="s">
        <v>1086</v>
      </c>
      <c r="D265" s="43" t="s">
        <v>1138</v>
      </c>
      <c r="E265" s="43" t="s">
        <v>249</v>
      </c>
      <c r="F265" s="43" t="s">
        <v>695</v>
      </c>
      <c r="G265" s="43"/>
      <c r="H265" s="43" t="s">
        <v>1129</v>
      </c>
      <c r="I265" s="43" t="s">
        <v>1112</v>
      </c>
    </row>
    <row r="266" spans="2:9">
      <c r="B266" s="43" t="s">
        <v>983</v>
      </c>
      <c r="C266" s="43" t="s">
        <v>1134</v>
      </c>
      <c r="D266" s="43" t="s">
        <v>1139</v>
      </c>
      <c r="E266" s="43" t="s">
        <v>249</v>
      </c>
      <c r="F266" s="43" t="s">
        <v>695</v>
      </c>
      <c r="G266" s="43"/>
      <c r="H266" s="43" t="s">
        <v>1129</v>
      </c>
      <c r="I266" s="43" t="s">
        <v>1112</v>
      </c>
    </row>
    <row r="267" spans="2:9">
      <c r="B267" s="43" t="s">
        <v>983</v>
      </c>
      <c r="C267" s="43" t="s">
        <v>1080</v>
      </c>
      <c r="D267" s="43" t="s">
        <v>1109</v>
      </c>
      <c r="E267" s="43" t="s">
        <v>249</v>
      </c>
      <c r="F267" s="43" t="s">
        <v>695</v>
      </c>
      <c r="G267" s="43"/>
      <c r="H267" s="43" t="s">
        <v>1130</v>
      </c>
      <c r="I267" s="43" t="s">
        <v>1112</v>
      </c>
    </row>
    <row r="268" spans="2:9">
      <c r="B268" s="43" t="s">
        <v>983</v>
      </c>
      <c r="C268" s="43" t="s">
        <v>1087</v>
      </c>
      <c r="D268" s="43" t="s">
        <v>1110</v>
      </c>
      <c r="E268" s="43" t="s">
        <v>249</v>
      </c>
      <c r="F268" s="43" t="s">
        <v>695</v>
      </c>
      <c r="G268" s="43"/>
      <c r="H268" s="43" t="s">
        <v>1130</v>
      </c>
      <c r="I268" s="43" t="s">
        <v>1112</v>
      </c>
    </row>
    <row r="269" spans="2:9">
      <c r="B269" s="43" t="s">
        <v>983</v>
      </c>
      <c r="C269" s="43" t="s">
        <v>1089</v>
      </c>
      <c r="D269" s="43" t="s">
        <v>1111</v>
      </c>
      <c r="E269" s="43" t="s">
        <v>249</v>
      </c>
      <c r="F269" s="43" t="s">
        <v>695</v>
      </c>
      <c r="G269" s="43"/>
      <c r="H269" s="43" t="s">
        <v>1130</v>
      </c>
      <c r="I269" s="43" t="s">
        <v>1112</v>
      </c>
    </row>
    <row r="270" spans="2:9">
      <c r="B270" s="43" t="s">
        <v>983</v>
      </c>
      <c r="C270" s="43" t="s">
        <v>1088</v>
      </c>
      <c r="D270" s="43" t="s">
        <v>1140</v>
      </c>
      <c r="E270" s="43" t="s">
        <v>249</v>
      </c>
      <c r="F270" s="43" t="s">
        <v>695</v>
      </c>
      <c r="G270" s="43"/>
      <c r="H270" s="43" t="s">
        <v>1130</v>
      </c>
      <c r="I270" s="43" t="s">
        <v>1112</v>
      </c>
    </row>
    <row r="271" spans="2:9">
      <c r="B271" s="43" t="s">
        <v>983</v>
      </c>
      <c r="C271" s="43" t="s">
        <v>1133</v>
      </c>
      <c r="D271" s="43" t="s">
        <v>1141</v>
      </c>
      <c r="E271" s="43" t="s">
        <v>249</v>
      </c>
      <c r="F271" s="43" t="s">
        <v>695</v>
      </c>
      <c r="G271" s="43"/>
      <c r="H271" s="43" t="s">
        <v>1130</v>
      </c>
      <c r="I271" s="43" t="s">
        <v>1112</v>
      </c>
    </row>
    <row r="272" spans="2:9">
      <c r="B272" s="43" t="s">
        <v>983</v>
      </c>
      <c r="C272" s="43" t="s">
        <v>1142</v>
      </c>
      <c r="D272" s="43" t="s">
        <v>1153</v>
      </c>
      <c r="E272" s="43" t="s">
        <v>249</v>
      </c>
      <c r="F272" s="43" t="s">
        <v>695</v>
      </c>
      <c r="G272" s="43"/>
      <c r="H272" s="43" t="str">
        <f t="shared" ref="H272:H280" si="0">LEFT(C272,3)&amp;"-OLD"</f>
        <v>RH1-OLD</v>
      </c>
      <c r="I272" s="43" t="s">
        <v>696</v>
      </c>
    </row>
    <row r="273" spans="2:9">
      <c r="B273" s="43" t="s">
        <v>983</v>
      </c>
      <c r="C273" s="43" t="s">
        <v>1145</v>
      </c>
      <c r="D273" s="43" t="s">
        <v>1154</v>
      </c>
      <c r="E273" s="43" t="s">
        <v>249</v>
      </c>
      <c r="F273" s="43" t="s">
        <v>695</v>
      </c>
      <c r="G273" s="43"/>
      <c r="H273" s="43" t="str">
        <f t="shared" si="0"/>
        <v>RH1-OLD</v>
      </c>
      <c r="I273" s="43" t="s">
        <v>696</v>
      </c>
    </row>
    <row r="274" spans="2:9">
      <c r="B274" s="43" t="s">
        <v>983</v>
      </c>
      <c r="C274" s="43" t="s">
        <v>1146</v>
      </c>
      <c r="D274" s="43" t="s">
        <v>1155</v>
      </c>
      <c r="E274" s="43" t="s">
        <v>249</v>
      </c>
      <c r="F274" s="43" t="s">
        <v>695</v>
      </c>
      <c r="G274" s="43"/>
      <c r="H274" s="43" t="str">
        <f t="shared" si="0"/>
        <v>RH1-OLD</v>
      </c>
      <c r="I274" s="43" t="s">
        <v>696</v>
      </c>
    </row>
    <row r="275" spans="2:9">
      <c r="B275" s="43" t="s">
        <v>983</v>
      </c>
      <c r="C275" s="43" t="s">
        <v>1147</v>
      </c>
      <c r="D275" s="43" t="s">
        <v>1153</v>
      </c>
      <c r="E275" s="43" t="s">
        <v>249</v>
      </c>
      <c r="F275" s="43" t="s">
        <v>695</v>
      </c>
      <c r="G275" s="43"/>
      <c r="H275" s="43" t="str">
        <f t="shared" si="0"/>
        <v>RH2-OLD</v>
      </c>
      <c r="I275" s="43" t="s">
        <v>696</v>
      </c>
    </row>
    <row r="276" spans="2:9">
      <c r="B276" s="43" t="s">
        <v>983</v>
      </c>
      <c r="C276" s="43" t="s">
        <v>1148</v>
      </c>
      <c r="D276" s="43" t="s">
        <v>1154</v>
      </c>
      <c r="E276" s="43" t="s">
        <v>249</v>
      </c>
      <c r="F276" s="43" t="s">
        <v>695</v>
      </c>
      <c r="G276" s="43"/>
      <c r="H276" s="43" t="str">
        <f t="shared" si="0"/>
        <v>RH2-OLD</v>
      </c>
      <c r="I276" s="43" t="s">
        <v>696</v>
      </c>
    </row>
    <row r="277" spans="2:9">
      <c r="B277" s="43" t="s">
        <v>983</v>
      </c>
      <c r="C277" s="43" t="s">
        <v>1149</v>
      </c>
      <c r="D277" s="43" t="s">
        <v>1155</v>
      </c>
      <c r="E277" s="43" t="s">
        <v>249</v>
      </c>
      <c r="F277" s="43" t="s">
        <v>695</v>
      </c>
      <c r="G277" s="43"/>
      <c r="H277" s="43" t="str">
        <f t="shared" si="0"/>
        <v>RH2-OLD</v>
      </c>
      <c r="I277" s="43" t="s">
        <v>696</v>
      </c>
    </row>
    <row r="278" spans="2:9">
      <c r="B278" s="43" t="s">
        <v>983</v>
      </c>
      <c r="C278" s="43" t="s">
        <v>1150</v>
      </c>
      <c r="D278" s="43" t="s">
        <v>1153</v>
      </c>
      <c r="E278" s="43" t="s">
        <v>249</v>
      </c>
      <c r="F278" s="43" t="s">
        <v>695</v>
      </c>
      <c r="G278" s="43"/>
      <c r="H278" s="43" t="str">
        <f t="shared" si="0"/>
        <v>CH1-OLD</v>
      </c>
      <c r="I278" s="43" t="s">
        <v>696</v>
      </c>
    </row>
    <row r="279" spans="2:9">
      <c r="B279" s="43" t="s">
        <v>983</v>
      </c>
      <c r="C279" s="43" t="s">
        <v>1151</v>
      </c>
      <c r="D279" s="43" t="s">
        <v>1154</v>
      </c>
      <c r="E279" s="43" t="s">
        <v>249</v>
      </c>
      <c r="F279" s="43" t="s">
        <v>695</v>
      </c>
      <c r="G279" s="43"/>
      <c r="H279" s="43" t="str">
        <f t="shared" si="0"/>
        <v>CH1-OLD</v>
      </c>
      <c r="I279" s="43" t="s">
        <v>696</v>
      </c>
    </row>
    <row r="280" spans="2:9">
      <c r="B280" s="43" t="s">
        <v>983</v>
      </c>
      <c r="C280" s="43" t="s">
        <v>1152</v>
      </c>
      <c r="D280" s="43" t="s">
        <v>1155</v>
      </c>
      <c r="E280" s="43" t="s">
        <v>249</v>
      </c>
      <c r="F280" s="43" t="s">
        <v>695</v>
      </c>
      <c r="G280" s="43"/>
      <c r="H280" s="43" t="str">
        <f t="shared" si="0"/>
        <v>CH1-OLD</v>
      </c>
      <c r="I280" s="43" t="s">
        <v>696</v>
      </c>
    </row>
  </sheetData>
  <phoneticPr fontId="7" type="noConversion"/>
  <pageMargins left="0.75" right="0.75" top="1" bottom="1" header="0.5" footer="0.5"/>
  <pageSetup orientation="portrait" verticalDpi="0" r:id="rId1"/>
  <headerFooter alignWithMargins="0"/>
</worksheet>
</file>

<file path=xl/worksheets/sheet26.xml><?xml version="1.0" encoding="utf-8"?>
<worksheet xmlns="http://schemas.openxmlformats.org/spreadsheetml/2006/main" xmlns:r="http://schemas.openxmlformats.org/officeDocument/2006/relationships">
  <dimension ref="B1:AD81"/>
  <sheetViews>
    <sheetView topLeftCell="A43" zoomScale="80" workbookViewId="0">
      <selection activeCell="B73" sqref="B73"/>
    </sheetView>
  </sheetViews>
  <sheetFormatPr defaultRowHeight="12.75"/>
  <cols>
    <col min="2" max="2" width="11.5703125" customWidth="1"/>
    <col min="3" max="3" width="10.5703125" customWidth="1"/>
    <col min="4" max="4" width="10.28515625" customWidth="1"/>
    <col min="5" max="5" width="9.28515625" customWidth="1"/>
    <col min="6" max="6" width="6.28515625" customWidth="1"/>
    <col min="15" max="15" width="9.28515625" bestFit="1" customWidth="1"/>
    <col min="16" max="16" width="8.140625" customWidth="1"/>
    <col min="17" max="17" width="6" customWidth="1"/>
    <col min="18" max="18" width="7.42578125" customWidth="1"/>
    <col min="19" max="19" width="7.140625" customWidth="1"/>
    <col min="21" max="21" width="15.28515625" customWidth="1"/>
  </cols>
  <sheetData>
    <row r="1" spans="2:30">
      <c r="B1" s="620" t="s">
        <v>1256</v>
      </c>
      <c r="C1" s="279" t="str">
        <f ca="1">IF(RIGHT(CELL("FILENAME",$A$1),1)="2",2,T(0))</f>
        <v/>
      </c>
    </row>
    <row r="2" spans="2:30">
      <c r="B2" s="7" t="s">
        <v>776</v>
      </c>
      <c r="C2" s="294">
        <f ca="1">MATCH("TOT",OFFSET(INDIRECT(C4&amp;"!C5"),1,0,20),0)</f>
        <v>16</v>
      </c>
      <c r="D2" s="294">
        <f ca="1">MATCH("TOT",OFFSET(INDIRECT(D4&amp;"!C5"),1+C2,0,20),0)+C2</f>
        <v>30</v>
      </c>
      <c r="E2" s="294">
        <f ca="1">MATCH("TOT",OFFSET(INDIRECT(E4&amp;"!C5"),1,0,20),0)</f>
        <v>13</v>
      </c>
      <c r="F2" s="294">
        <f ca="1">MATCH("TOT",OFFSET(INDIRECT(F4&amp;"!C5"),1,0,20),0)</f>
        <v>7</v>
      </c>
      <c r="G2" s="294">
        <f ca="1">MATCH("TOT",OFFSET(INDIRECT(G4&amp;"!C5"),1,0,20),0)</f>
        <v>9</v>
      </c>
      <c r="J2" s="7" t="s">
        <v>776</v>
      </c>
      <c r="K2" s="294">
        <f ca="1">MATCH("TOT",OFFSET(INDIRECT(K4&amp;"!C5"),1,0,20),0)</f>
        <v>14</v>
      </c>
      <c r="L2" s="294">
        <v>0</v>
      </c>
      <c r="Q2" s="294">
        <f ca="1">MATCH("COE",OFFSET(INDIRECT(Q4&amp;"!C5"),1,0,20),0)</f>
        <v>5</v>
      </c>
      <c r="Y2" s="294" t="s">
        <v>1000</v>
      </c>
      <c r="Z2" s="294" t="s">
        <v>1000</v>
      </c>
      <c r="AA2" s="433" t="s">
        <v>44</v>
      </c>
      <c r="AB2" s="294" t="s">
        <v>1002</v>
      </c>
      <c r="AC2" s="294" t="s">
        <v>1003</v>
      </c>
    </row>
    <row r="3" spans="2:30">
      <c r="C3" s="294">
        <f ca="1">MATCH("TOT",OFFSET(INDIRECT(C5&amp;"!C5"),1,0,20),0)</f>
        <v>13</v>
      </c>
      <c r="D3" s="294">
        <f ca="1">MATCH("TOT",OFFSET(INDIRECT(D5&amp;"!C5"),1+C3,0,20),0)+C3</f>
        <v>25</v>
      </c>
      <c r="E3" s="294">
        <f ca="1">MATCH("TOT",OFFSET(INDIRECT(E5&amp;"!C5"),1+E2,0,20),0)+E2</f>
        <v>25</v>
      </c>
      <c r="F3" s="294">
        <f ca="1">MATCH("TOT",OFFSET(INDIRECT(F5&amp;"!C5"),1+F2,0,20),0)+F2</f>
        <v>13</v>
      </c>
      <c r="G3" s="294">
        <f ca="1">MATCH("TOT",OFFSET(INDIRECT(G5&amp;"!C5"),1+G2,0,20),0)+G2</f>
        <v>17</v>
      </c>
      <c r="K3" s="294">
        <f ca="1">MATCH("TOT",OFFSET(INDIRECT(K5&amp;"!C5"),1+K2,0,20),0)+K2</f>
        <v>27</v>
      </c>
      <c r="L3" s="294">
        <v>0</v>
      </c>
      <c r="M3" s="294">
        <f ca="1">MATCH(LEFT(M5,3),OFFSET(INDIRECT(M5&amp;"!C5"),1,0,20),0)</f>
        <v>12</v>
      </c>
      <c r="N3" s="294">
        <f ca="1">MATCH(LEFT(N5,3),OFFSET(INDIRECT(N5&amp;"!C5"),1,0,20),0)</f>
        <v>7</v>
      </c>
      <c r="O3" s="294">
        <f ca="1">MATCH(LEFT(O5,3),OFFSET(INDIRECT(O5&amp;"!C5"),1,0,20),0)</f>
        <v>6</v>
      </c>
      <c r="Q3" s="294">
        <f ca="1">MATCH("COT",OFFSET(INDIRECT(Q5&amp;"!C5"),1+Q2,0,20),0)+Q2</f>
        <v>9</v>
      </c>
      <c r="Y3" s="334" t="s">
        <v>44</v>
      </c>
      <c r="Z3" s="334" t="s">
        <v>44</v>
      </c>
      <c r="AA3" s="334" t="s">
        <v>44</v>
      </c>
      <c r="AB3" s="334" t="s">
        <v>1002</v>
      </c>
      <c r="AC3" s="334" t="s">
        <v>1003</v>
      </c>
    </row>
    <row r="4" spans="2:30">
      <c r="C4" s="294" t="str">
        <f t="shared" ref="C4:G5" ca="1" si="0">Y2&amp;$C$1</f>
        <v>RHT</v>
      </c>
      <c r="D4" s="294" t="str">
        <f t="shared" ca="1" si="0"/>
        <v>RHT</v>
      </c>
      <c r="E4" s="433" t="str">
        <f t="shared" ca="1" si="0"/>
        <v>RHW</v>
      </c>
      <c r="F4" s="294" t="str">
        <f t="shared" ca="1" si="0"/>
        <v>RLT</v>
      </c>
      <c r="G4" s="294" t="str">
        <f t="shared" ca="1" si="0"/>
        <v>RCK</v>
      </c>
      <c r="K4" s="433" t="str">
        <f t="shared" ref="K4:O5" ca="1" si="1">Y4&amp;$C$1</f>
        <v>CHT</v>
      </c>
      <c r="L4" s="433" t="str">
        <f t="shared" ca="1" si="1"/>
        <v>CH3</v>
      </c>
      <c r="M4" s="433" t="str">
        <f t="shared" ca="1" si="1"/>
        <v/>
      </c>
      <c r="N4" s="433" t="str">
        <f t="shared" ca="1" si="1"/>
        <v/>
      </c>
      <c r="O4" s="433" t="str">
        <f t="shared" ca="1" si="1"/>
        <v/>
      </c>
      <c r="Q4" s="433" t="str">
        <f ca="1">AD4&amp;$C$1</f>
        <v>COT</v>
      </c>
      <c r="Y4" s="433" t="s">
        <v>1004</v>
      </c>
      <c r="Z4" s="433" t="s">
        <v>239</v>
      </c>
      <c r="AA4" s="433"/>
      <c r="AB4" s="433"/>
      <c r="AC4" s="433"/>
      <c r="AD4" s="294" t="s">
        <v>215</v>
      </c>
    </row>
    <row r="5" spans="2:30">
      <c r="B5" t="s">
        <v>881</v>
      </c>
      <c r="C5" s="334" t="str">
        <f t="shared" ca="1" si="0"/>
        <v>RHW</v>
      </c>
      <c r="D5" s="334" t="str">
        <f t="shared" ca="1" si="0"/>
        <v>RHW</v>
      </c>
      <c r="E5" s="334" t="str">
        <f t="shared" ca="1" si="0"/>
        <v>RHW</v>
      </c>
      <c r="F5" s="334" t="str">
        <f t="shared" ca="1" si="0"/>
        <v>RLT</v>
      </c>
      <c r="G5" s="334" t="str">
        <f t="shared" ca="1" si="0"/>
        <v>RCK</v>
      </c>
      <c r="H5" s="147" t="s">
        <v>779</v>
      </c>
      <c r="J5" t="s">
        <v>881</v>
      </c>
      <c r="K5" s="334" t="str">
        <f t="shared" ca="1" si="1"/>
        <v>CHT</v>
      </c>
      <c r="L5" s="334" t="str">
        <f t="shared" ca="1" si="1"/>
        <v>CH3</v>
      </c>
      <c r="M5" s="334" t="str">
        <f t="shared" ca="1" si="1"/>
        <v>CHW</v>
      </c>
      <c r="N5" s="334" t="str">
        <f t="shared" ca="1" si="1"/>
        <v>CLA</v>
      </c>
      <c r="O5" s="334" t="str">
        <f t="shared" ca="1" si="1"/>
        <v>CCK</v>
      </c>
      <c r="P5" s="147"/>
      <c r="Q5" s="334" t="str">
        <f ca="1">AD5&amp;$C$1</f>
        <v>COT</v>
      </c>
      <c r="U5" s="334" t="s">
        <v>808</v>
      </c>
      <c r="Y5" s="334" t="s">
        <v>1004</v>
      </c>
      <c r="Z5" s="334" t="s">
        <v>239</v>
      </c>
      <c r="AA5" s="334" t="s">
        <v>235</v>
      </c>
      <c r="AB5" s="334" t="s">
        <v>103</v>
      </c>
      <c r="AC5" s="334" t="s">
        <v>71</v>
      </c>
      <c r="AD5" s="334" t="s">
        <v>215</v>
      </c>
    </row>
    <row r="6" spans="2:30">
      <c r="B6" s="76" t="s">
        <v>870</v>
      </c>
      <c r="C6" s="319">
        <f t="shared" ref="C6:C16" ca="1" si="2">SUMIF(OFFSET(INDIRECT(C$4&amp;"!H5"),1,0,C$2),$B6,OFFSET(INDIRECT(C$4&amp;"!L$5"),1,0,C$2))/OFFSET(HT_DD,0,1)+SUMIF(OFFSET(INDIRECT(C$5&amp;"!H5"),1,0,C$3),$B6,OFFSET(INDIRECT(C$5&amp;"!L$5"),1,0,C$3))</f>
        <v>7.0196530139705046E-2</v>
      </c>
      <c r="D6" s="320">
        <f t="shared" ref="D6:D16" ca="1" si="3">SUMIF(OFFSET(INDIRECT(D$4&amp;"!H5"),C$2,0,D$2),$B6,OFFSET(INDIRECT(D$4&amp;"!L$5"),C$2,0,D$2))/OFFSET(HT_DD,0,1)+SUMIF(OFFSET(INDIRECT(D$5&amp;"!H5"),C$3,0,D$2),$B6,OFFSET(INDIRECT(D$5&amp;"!L$5"),C$3,0,D$2))</f>
        <v>0.37826364326486145</v>
      </c>
      <c r="E6" s="320">
        <f t="shared" ref="E6:E16" ca="1" si="4">SUMIF(OFFSET(INDIRECT(E$4&amp;"!H5"),1,0,E$3),$B6,OFFSET(INDIRECT(E$4&amp;"!L$5"),1,0,E$3))</f>
        <v>0.1009510930907723</v>
      </c>
      <c r="F6" s="320">
        <f t="shared" ref="F6:G16" ca="1" si="5">SUMIF(OFFSET(INDIRECT(F$4&amp;"!H5"),1,0,F$3),$B6,OFFSET(INDIRECT(F$4&amp;"!K$5"),1,0,F$3))</f>
        <v>0</v>
      </c>
      <c r="G6" s="320">
        <f t="shared" ca="1" si="5"/>
        <v>6.0616111465957863E-2</v>
      </c>
      <c r="H6" s="321">
        <f t="shared" ref="H6:H16" ca="1" si="6">SUM(C6:D6)</f>
        <v>0.44846017340456651</v>
      </c>
      <c r="J6" s="76" t="s">
        <v>870</v>
      </c>
      <c r="K6" s="319">
        <f t="shared" ref="K6:K16" ca="1" si="7">SUMIF(OFFSET(INDIRECT(K$4&amp;"!H5"),1,0,K$3),$B6,OFFSET(INDIRECT(K$4&amp;"!L$5"),1,0,K$3))/OFFSET(HT_DD,0,1)</f>
        <v>1.0516835238312618</v>
      </c>
      <c r="L6" s="320">
        <v>0</v>
      </c>
      <c r="M6" s="320">
        <f t="shared" ref="M6:M16" ca="1" si="8">SUMIF(OFFSET(INDIRECT(M$5&amp;"!H5"),1,0,M$3),$J6,OFFSET(INDIRECT(M$5&amp;"!L$5"),1,0,M$3))</f>
        <v>0.24714562810034651</v>
      </c>
      <c r="N6" s="320">
        <f t="shared" ref="N6:O16" ca="1" si="9">SUMIF(OFFSET(INDIRECT(N$5&amp;"!H5"),1,0,N$3),$J6,OFFSET(INDIRECT(N$5&amp;"!K$5"),1,0,N$3))</f>
        <v>0</v>
      </c>
      <c r="O6" s="321">
        <f t="shared" ca="1" si="9"/>
        <v>0.16440013439999998</v>
      </c>
      <c r="P6" s="321">
        <f t="shared" ref="P6:P16" ca="1" si="10">SUM(K6:L6)</f>
        <v>1.0516835238312618</v>
      </c>
      <c r="Q6" s="348">
        <f t="shared" ref="Q6:Q16" ca="1" si="11">SUMIF(OFFSET(INDIRECT(Q$5&amp;"!H5"),1+Q$2,0,Q$3),$J6,OFFSET(INDIRECT(Q$5&amp;"!K$5"),1+Q$2,0,Q$3))</f>
        <v>0</v>
      </c>
      <c r="T6" t="s">
        <v>427</v>
      </c>
      <c r="U6" s="332">
        <f ca="1">AGR!H16</f>
        <v>1.4070458524978983E-2</v>
      </c>
      <c r="V6">
        <v>620.36938894533364</v>
      </c>
    </row>
    <row r="7" spans="2:30">
      <c r="B7" s="76" t="s">
        <v>871</v>
      </c>
      <c r="C7" s="319">
        <f t="shared" ca="1" si="2"/>
        <v>9.5817713540789278</v>
      </c>
      <c r="D7" s="320">
        <f t="shared" ca="1" si="3"/>
        <v>1.2507706665288012</v>
      </c>
      <c r="E7" s="320">
        <f t="shared" ca="1" si="4"/>
        <v>2.2310177454787619</v>
      </c>
      <c r="F7" s="320">
        <f t="shared" ca="1" si="5"/>
        <v>0</v>
      </c>
      <c r="G7" s="320">
        <f t="shared" ca="1" si="5"/>
        <v>0</v>
      </c>
      <c r="H7" s="321">
        <f t="shared" ca="1" si="6"/>
        <v>10.832542020607729</v>
      </c>
      <c r="J7" s="76" t="s">
        <v>871</v>
      </c>
      <c r="K7" s="319">
        <f t="shared" ca="1" si="7"/>
        <v>5.6308409786974014</v>
      </c>
      <c r="L7" s="320">
        <v>0</v>
      </c>
      <c r="M7" s="320">
        <f t="shared" ca="1" si="8"/>
        <v>1.2728476715838699</v>
      </c>
      <c r="N7" s="320">
        <f t="shared" ca="1" si="9"/>
        <v>0</v>
      </c>
      <c r="O7" s="321">
        <f t="shared" ca="1" si="9"/>
        <v>0</v>
      </c>
      <c r="P7" s="321">
        <f t="shared" ca="1" si="10"/>
        <v>5.6308409786974014</v>
      </c>
      <c r="Q7" s="321">
        <f t="shared" ca="1" si="11"/>
        <v>0.27777187424938904</v>
      </c>
      <c r="T7" t="s">
        <v>428</v>
      </c>
      <c r="U7" s="332">
        <f ca="1">AGR!H17</f>
        <v>2.1363945781778035</v>
      </c>
      <c r="V7">
        <v>444.03947104608</v>
      </c>
    </row>
    <row r="8" spans="2:30">
      <c r="B8" s="76" t="s">
        <v>872</v>
      </c>
      <c r="C8" s="319">
        <f t="shared" ca="1" si="2"/>
        <v>0</v>
      </c>
      <c r="D8" s="320">
        <f t="shared" ca="1" si="3"/>
        <v>9.5138442822643568E-2</v>
      </c>
      <c r="E8" s="320">
        <f t="shared" ca="1" si="4"/>
        <v>2.0803918024506169E-2</v>
      </c>
      <c r="F8" s="320">
        <f t="shared" ca="1" si="5"/>
        <v>0</v>
      </c>
      <c r="G8" s="320">
        <f t="shared" ca="1" si="5"/>
        <v>0</v>
      </c>
      <c r="H8" s="321">
        <f t="shared" ca="1" si="6"/>
        <v>9.5138442822643568E-2</v>
      </c>
      <c r="J8" s="76" t="s">
        <v>872</v>
      </c>
      <c r="K8" s="319">
        <f t="shared" ca="1" si="7"/>
        <v>0.9473756486032302</v>
      </c>
      <c r="L8" s="320">
        <v>0</v>
      </c>
      <c r="M8" s="320">
        <f t="shared" ca="1" si="8"/>
        <v>0.20793304902023418</v>
      </c>
      <c r="N8" s="320">
        <f t="shared" ca="1" si="9"/>
        <v>0</v>
      </c>
      <c r="O8" s="321">
        <f t="shared" ca="1" si="9"/>
        <v>0</v>
      </c>
      <c r="P8" s="321">
        <f t="shared" ca="1" si="10"/>
        <v>0.9473756486032302</v>
      </c>
      <c r="Q8" s="348">
        <f t="shared" ca="1" si="11"/>
        <v>0</v>
      </c>
      <c r="T8" t="s">
        <v>583</v>
      </c>
      <c r="U8" s="332">
        <f ca="1">AGR!H18</f>
        <v>0.26368737370266632</v>
      </c>
      <c r="V8">
        <v>27.853943040000004</v>
      </c>
    </row>
    <row r="9" spans="2:30">
      <c r="B9" s="76" t="s">
        <v>873</v>
      </c>
      <c r="C9" s="319">
        <f t="shared" ca="1" si="2"/>
        <v>0</v>
      </c>
      <c r="D9" s="320">
        <f t="shared" ca="1" si="3"/>
        <v>0</v>
      </c>
      <c r="E9" s="320">
        <f t="shared" ca="1" si="4"/>
        <v>0</v>
      </c>
      <c r="F9" s="320">
        <f t="shared" ca="1" si="5"/>
        <v>0</v>
      </c>
      <c r="G9" s="320">
        <f t="shared" ca="1" si="5"/>
        <v>0</v>
      </c>
      <c r="H9" s="321">
        <f t="shared" ca="1" si="6"/>
        <v>0</v>
      </c>
      <c r="J9" s="76" t="s">
        <v>873</v>
      </c>
      <c r="K9" s="319">
        <f t="shared" ca="1" si="7"/>
        <v>0</v>
      </c>
      <c r="L9" s="320">
        <v>0</v>
      </c>
      <c r="M9" s="320">
        <f t="shared" ca="1" si="8"/>
        <v>0</v>
      </c>
      <c r="N9" s="320">
        <f t="shared" ca="1" si="9"/>
        <v>0</v>
      </c>
      <c r="O9" s="321">
        <f t="shared" ca="1" si="9"/>
        <v>0</v>
      </c>
      <c r="P9" s="321">
        <f t="shared" ca="1" si="10"/>
        <v>0</v>
      </c>
      <c r="Q9" s="348">
        <f t="shared" ca="1" si="11"/>
        <v>0</v>
      </c>
      <c r="T9" t="s">
        <v>584</v>
      </c>
      <c r="U9" s="332">
        <f ca="1">AGR!H19</f>
        <v>0</v>
      </c>
      <c r="V9">
        <v>0.4720575132</v>
      </c>
    </row>
    <row r="10" spans="2:30">
      <c r="B10" s="76" t="s">
        <v>1026</v>
      </c>
      <c r="C10" s="319">
        <f t="shared" ca="1" si="2"/>
        <v>9.4054775266727147E-2</v>
      </c>
      <c r="D10" s="320">
        <f t="shared" ca="1" si="3"/>
        <v>1.3030364933865743E-2</v>
      </c>
      <c r="E10" s="320">
        <f t="shared" ca="1" si="4"/>
        <v>2.0638366922617425E-2</v>
      </c>
      <c r="F10" s="320">
        <f t="shared" ca="1" si="5"/>
        <v>0</v>
      </c>
      <c r="G10" s="320">
        <f t="shared" ca="1" si="5"/>
        <v>0</v>
      </c>
      <c r="H10" s="321">
        <f t="shared" ca="1" si="6"/>
        <v>0.10708514020059288</v>
      </c>
      <c r="J10" s="76" t="s">
        <v>1026</v>
      </c>
      <c r="K10" s="319">
        <f t="shared" ca="1" si="7"/>
        <v>5.5112265132648039E-2</v>
      </c>
      <c r="L10" s="320">
        <v>0</v>
      </c>
      <c r="M10" s="320">
        <f t="shared" ca="1" si="8"/>
        <v>1.275408795962585E-2</v>
      </c>
      <c r="N10" s="320">
        <f t="shared" ca="1" si="9"/>
        <v>0</v>
      </c>
      <c r="O10" s="321">
        <f t="shared" ca="1" si="9"/>
        <v>0</v>
      </c>
      <c r="P10" s="321">
        <f t="shared" ca="1" si="10"/>
        <v>5.5112265132648039E-2</v>
      </c>
      <c r="Q10" s="348">
        <f t="shared" ca="1" si="11"/>
        <v>0</v>
      </c>
      <c r="T10" t="s">
        <v>1018</v>
      </c>
      <c r="U10" s="332">
        <f ca="1">AGR!H20</f>
        <v>1.4265598615699411</v>
      </c>
      <c r="V10">
        <v>13.838420700000004</v>
      </c>
    </row>
    <row r="11" spans="2:30">
      <c r="B11" s="76" t="s">
        <v>405</v>
      </c>
      <c r="C11" s="319">
        <f t="shared" ca="1" si="2"/>
        <v>9.8188628270751976E-2</v>
      </c>
      <c r="D11" s="320">
        <f t="shared" ca="1" si="3"/>
        <v>0</v>
      </c>
      <c r="E11" s="320">
        <f t="shared" ca="1" si="4"/>
        <v>4.0422085587457308E-2</v>
      </c>
      <c r="F11" s="320">
        <f t="shared" ca="1" si="5"/>
        <v>0</v>
      </c>
      <c r="G11" s="320">
        <f t="shared" ca="1" si="5"/>
        <v>5.2955269710067421E-2</v>
      </c>
      <c r="H11" s="321">
        <f t="shared" ca="1" si="6"/>
        <v>9.8188628270751976E-2</v>
      </c>
      <c r="J11" s="76" t="s">
        <v>405</v>
      </c>
      <c r="K11" s="319">
        <f t="shared" ca="1" si="7"/>
        <v>0</v>
      </c>
      <c r="L11" s="320">
        <v>0</v>
      </c>
      <c r="M11" s="320">
        <f t="shared" ca="1" si="8"/>
        <v>0</v>
      </c>
      <c r="N11" s="320">
        <f t="shared" ca="1" si="9"/>
        <v>0</v>
      </c>
      <c r="O11" s="321">
        <f t="shared" ca="1" si="9"/>
        <v>0</v>
      </c>
      <c r="P11" s="321">
        <f t="shared" ca="1" si="10"/>
        <v>0</v>
      </c>
      <c r="Q11" s="348">
        <f t="shared" ca="1" si="11"/>
        <v>0</v>
      </c>
      <c r="T11" t="s">
        <v>430</v>
      </c>
      <c r="U11" s="332">
        <f ca="1">AGR!H21</f>
        <v>8.9701914971760138E-2</v>
      </c>
      <c r="V11">
        <v>7.6288729499999999</v>
      </c>
    </row>
    <row r="12" spans="2:30">
      <c r="B12" s="76" t="s">
        <v>874</v>
      </c>
      <c r="C12" s="319">
        <f t="shared" ca="1" si="2"/>
        <v>31.105746463970231</v>
      </c>
      <c r="D12" s="320">
        <f t="shared" ca="1" si="3"/>
        <v>0.62781968759754814</v>
      </c>
      <c r="E12" s="320">
        <f t="shared" ca="1" si="4"/>
        <v>5.0877773760334364</v>
      </c>
      <c r="F12" s="320">
        <f t="shared" ca="1" si="5"/>
        <v>0</v>
      </c>
      <c r="G12" s="320">
        <f t="shared" ca="1" si="5"/>
        <v>0.35393336680923859</v>
      </c>
      <c r="H12" s="321">
        <f t="shared" ca="1" si="6"/>
        <v>31.733566151567778</v>
      </c>
      <c r="J12" s="76" t="s">
        <v>874</v>
      </c>
      <c r="K12" s="319">
        <f t="shared" ca="1" si="7"/>
        <v>2.0749282645589577</v>
      </c>
      <c r="L12" s="320">
        <v>0</v>
      </c>
      <c r="M12" s="320">
        <f t="shared" ca="1" si="8"/>
        <v>0</v>
      </c>
      <c r="N12" s="320">
        <f t="shared" ca="1" si="9"/>
        <v>0</v>
      </c>
      <c r="O12" s="321">
        <f t="shared" ca="1" si="9"/>
        <v>0</v>
      </c>
      <c r="P12" s="321">
        <f t="shared" ca="1" si="10"/>
        <v>2.0749282645589577</v>
      </c>
      <c r="Q12" s="348">
        <f t="shared" ca="1" si="11"/>
        <v>0</v>
      </c>
      <c r="T12" t="s">
        <v>431</v>
      </c>
      <c r="U12" s="332">
        <f ca="1">AGR!H22</f>
        <v>3.9273716640339811</v>
      </c>
      <c r="V12">
        <v>31.543927303680004</v>
      </c>
    </row>
    <row r="13" spans="2:30">
      <c r="B13" s="76" t="s">
        <v>106</v>
      </c>
      <c r="C13" s="319">
        <f t="shared" ca="1" si="2"/>
        <v>51.125483504459659</v>
      </c>
      <c r="D13" s="320">
        <f t="shared" ca="1" si="3"/>
        <v>11.073650549065947</v>
      </c>
      <c r="E13" s="320">
        <f t="shared" ca="1" si="4"/>
        <v>14.475875367087305</v>
      </c>
      <c r="F13" s="320">
        <f t="shared" ca="1" si="5"/>
        <v>12.485527838792809</v>
      </c>
      <c r="G13" s="320">
        <f t="shared" ca="1" si="5"/>
        <v>1.6327171298038781</v>
      </c>
      <c r="H13" s="321">
        <f t="shared" ca="1" si="6"/>
        <v>62.199134053525604</v>
      </c>
      <c r="J13" s="76" t="s">
        <v>106</v>
      </c>
      <c r="K13" s="319">
        <f t="shared" ca="1" si="7"/>
        <v>6.4619372136951414</v>
      </c>
      <c r="L13" s="320">
        <v>0</v>
      </c>
      <c r="M13" s="320">
        <f t="shared" ca="1" si="8"/>
        <v>1.2814855093384432</v>
      </c>
      <c r="N13" s="320">
        <f t="shared" ca="1" si="9"/>
        <v>64.602395245121215</v>
      </c>
      <c r="O13" s="321">
        <f t="shared" ca="1" si="9"/>
        <v>1.8668230506109365</v>
      </c>
      <c r="P13" s="321">
        <f t="shared" ca="1" si="10"/>
        <v>6.4619372136951414</v>
      </c>
      <c r="Q13" s="321">
        <f t="shared" ca="1" si="11"/>
        <v>16.959598334385355</v>
      </c>
      <c r="T13" t="s">
        <v>432</v>
      </c>
      <c r="U13" s="332">
        <f ca="1">AGR!H23</f>
        <v>3.206469623112</v>
      </c>
      <c r="V13">
        <v>0</v>
      </c>
    </row>
    <row r="14" spans="2:30">
      <c r="B14" s="76" t="s">
        <v>573</v>
      </c>
      <c r="C14" s="319">
        <f t="shared" ca="1" si="2"/>
        <v>6.6147470168886997</v>
      </c>
      <c r="D14" s="320">
        <f t="shared" ca="1" si="3"/>
        <v>40.037952109790524</v>
      </c>
      <c r="E14" s="320">
        <f t="shared" ca="1" si="4"/>
        <v>10.653154797959223</v>
      </c>
      <c r="F14" s="320">
        <f t="shared" ca="1" si="5"/>
        <v>0</v>
      </c>
      <c r="G14" s="320">
        <f t="shared" ca="1" si="5"/>
        <v>0</v>
      </c>
      <c r="H14" s="321">
        <f t="shared" ca="1" si="6"/>
        <v>46.652699126679224</v>
      </c>
      <c r="J14" s="76" t="s">
        <v>573</v>
      </c>
      <c r="K14" s="319">
        <f t="shared" ca="1" si="7"/>
        <v>24.117569359404477</v>
      </c>
      <c r="L14" s="320">
        <v>0</v>
      </c>
      <c r="M14" s="320">
        <f t="shared" ca="1" si="8"/>
        <v>5.689870091930584</v>
      </c>
      <c r="N14" s="320">
        <f t="shared" ca="1" si="9"/>
        <v>0</v>
      </c>
      <c r="O14" s="321">
        <f t="shared" ca="1" si="9"/>
        <v>0</v>
      </c>
      <c r="P14" s="321">
        <f t="shared" ca="1" si="10"/>
        <v>24.117569359404477</v>
      </c>
      <c r="Q14" s="348">
        <f t="shared" ca="1" si="11"/>
        <v>0</v>
      </c>
      <c r="T14" t="s">
        <v>433</v>
      </c>
      <c r="U14" s="332">
        <f ca="1">AGR!H24</f>
        <v>0.48272627119508221</v>
      </c>
      <c r="V14">
        <v>516.84933032706169</v>
      </c>
    </row>
    <row r="15" spans="2:30">
      <c r="B15" s="76" t="s">
        <v>579</v>
      </c>
      <c r="C15" s="319">
        <f t="shared" ca="1" si="2"/>
        <v>0</v>
      </c>
      <c r="D15" s="320">
        <f t="shared" ca="1" si="3"/>
        <v>0</v>
      </c>
      <c r="E15" s="320">
        <f t="shared" ca="1" si="4"/>
        <v>0</v>
      </c>
      <c r="F15" s="320">
        <f t="shared" ca="1" si="5"/>
        <v>0</v>
      </c>
      <c r="G15" s="320">
        <f t="shared" ca="1" si="5"/>
        <v>0</v>
      </c>
      <c r="H15" s="321">
        <f t="shared" ca="1" si="6"/>
        <v>0</v>
      </c>
      <c r="J15" s="76" t="s">
        <v>579</v>
      </c>
      <c r="K15" s="319">
        <f t="shared" ca="1" si="7"/>
        <v>0</v>
      </c>
      <c r="L15" s="320">
        <v>0</v>
      </c>
      <c r="M15" s="320">
        <f t="shared" ca="1" si="8"/>
        <v>0</v>
      </c>
      <c r="N15" s="320">
        <f t="shared" ca="1" si="9"/>
        <v>0</v>
      </c>
      <c r="O15" s="321">
        <f t="shared" ca="1" si="9"/>
        <v>0</v>
      </c>
      <c r="P15" s="321">
        <f t="shared" ca="1" si="10"/>
        <v>0</v>
      </c>
      <c r="Q15" s="348">
        <f t="shared" ca="1" si="11"/>
        <v>0</v>
      </c>
      <c r="T15" t="s">
        <v>150</v>
      </c>
      <c r="U15" s="332">
        <f ca="1">AGR!H25</f>
        <v>0</v>
      </c>
      <c r="V15">
        <v>2.5221141874566002</v>
      </c>
    </row>
    <row r="16" spans="2:30">
      <c r="B16" s="76" t="s">
        <v>580</v>
      </c>
      <c r="C16" s="319">
        <f t="shared" ca="1" si="2"/>
        <v>0</v>
      </c>
      <c r="D16" s="320">
        <f t="shared" ca="1" si="3"/>
        <v>0</v>
      </c>
      <c r="E16" s="320">
        <f t="shared" ca="1" si="4"/>
        <v>0</v>
      </c>
      <c r="F16" s="320">
        <f t="shared" ca="1" si="5"/>
        <v>0</v>
      </c>
      <c r="G16" s="320">
        <f t="shared" ca="1" si="5"/>
        <v>0</v>
      </c>
      <c r="H16" s="321">
        <f t="shared" ca="1" si="6"/>
        <v>0</v>
      </c>
      <c r="J16" s="76" t="s">
        <v>580</v>
      </c>
      <c r="K16" s="319">
        <f t="shared" ca="1" si="7"/>
        <v>0</v>
      </c>
      <c r="L16" s="320">
        <v>0</v>
      </c>
      <c r="M16" s="320">
        <f t="shared" ca="1" si="8"/>
        <v>0</v>
      </c>
      <c r="N16" s="320">
        <f t="shared" ca="1" si="9"/>
        <v>0</v>
      </c>
      <c r="O16" s="321">
        <f t="shared" ca="1" si="9"/>
        <v>0</v>
      </c>
      <c r="P16" s="321">
        <f t="shared" ca="1" si="10"/>
        <v>0</v>
      </c>
      <c r="Q16" s="348">
        <f t="shared" ca="1" si="11"/>
        <v>0</v>
      </c>
      <c r="T16" t="s">
        <v>151</v>
      </c>
      <c r="U16" s="333">
        <f ca="1">AGR!H26</f>
        <v>0</v>
      </c>
      <c r="V16">
        <v>0</v>
      </c>
    </row>
    <row r="17" spans="2:21">
      <c r="C17" s="322">
        <f t="shared" ref="C17:H17" ca="1" si="12">SUM(C6:C16)</f>
        <v>98.690188273074696</v>
      </c>
      <c r="D17" s="322">
        <f t="shared" ca="1" si="12"/>
        <v>53.476625464004186</v>
      </c>
      <c r="E17" s="322">
        <f t="shared" ca="1" si="12"/>
        <v>32.630640750184078</v>
      </c>
      <c r="F17" s="322">
        <f t="shared" ca="1" si="12"/>
        <v>12.485527838792809</v>
      </c>
      <c r="G17" s="322">
        <f t="shared" ca="1" si="12"/>
        <v>2.1002218777891422</v>
      </c>
      <c r="H17" s="322">
        <f t="shared" ca="1" si="12"/>
        <v>152.16681373707888</v>
      </c>
      <c r="K17" s="322">
        <f t="shared" ref="K17:Q17" ca="1" si="13">SUM(K6:K16)</f>
        <v>40.339447253923112</v>
      </c>
      <c r="L17" s="322">
        <f t="shared" si="13"/>
        <v>0</v>
      </c>
      <c r="M17" s="322">
        <f t="shared" ca="1" si="13"/>
        <v>8.7120360379331032</v>
      </c>
      <c r="N17" s="322">
        <f t="shared" ca="1" si="13"/>
        <v>64.602395245121215</v>
      </c>
      <c r="O17" s="322">
        <f t="shared" ca="1" si="13"/>
        <v>2.0312231850109366</v>
      </c>
      <c r="P17" s="322">
        <f t="shared" ca="1" si="13"/>
        <v>40.339447253923112</v>
      </c>
      <c r="Q17" s="322">
        <f t="shared" ca="1" si="13"/>
        <v>17.237370208634744</v>
      </c>
      <c r="U17" s="331">
        <f ca="1">SUM(U6:U16)</f>
        <v>11.546981745288212</v>
      </c>
    </row>
    <row r="22" spans="2:21">
      <c r="I22" s="76"/>
      <c r="J22" s="76"/>
      <c r="K22" s="316" t="s">
        <v>759</v>
      </c>
      <c r="L22" s="317">
        <v>0.5</v>
      </c>
    </row>
    <row r="23" spans="2:21">
      <c r="I23" s="76"/>
      <c r="J23" s="76"/>
      <c r="K23" s="316" t="s">
        <v>760</v>
      </c>
      <c r="L23" s="317">
        <v>0.99</v>
      </c>
    </row>
    <row r="24" spans="2:21" ht="18">
      <c r="B24" s="150" t="s">
        <v>761</v>
      </c>
      <c r="C24" s="131"/>
      <c r="D24" s="131"/>
      <c r="E24" s="245" t="str">
        <f>"~FI_T: FLO_MARK~"&amp;Region</f>
        <v>~FI_T: FLO_MARK~FIN</v>
      </c>
    </row>
    <row r="25" spans="2:21" ht="22.5">
      <c r="B25" s="323" t="s">
        <v>57</v>
      </c>
      <c r="C25" s="323" t="s">
        <v>384</v>
      </c>
      <c r="D25" s="323" t="s">
        <v>385</v>
      </c>
      <c r="E25" s="323" t="s">
        <v>762</v>
      </c>
      <c r="F25" s="327">
        <v>0</v>
      </c>
      <c r="G25" s="323">
        <f ca="1">AuxYear</f>
        <v>2017</v>
      </c>
      <c r="H25" s="323">
        <f ca="1">BaseYear-5</f>
        <v>2005</v>
      </c>
      <c r="I25" s="323">
        <f ca="1">CEILING(AuxYear+2,5)</f>
        <v>2020</v>
      </c>
      <c r="J25" s="323">
        <f ca="1">CEILING(AuxYear+12,5)</f>
        <v>2030</v>
      </c>
      <c r="K25" s="323">
        <f ca="1">BaseYear+30</f>
        <v>2040</v>
      </c>
      <c r="L25" s="323">
        <v>2050</v>
      </c>
      <c r="M25" s="323">
        <v>2070</v>
      </c>
      <c r="N25" s="323">
        <v>2100</v>
      </c>
      <c r="O25" s="324" t="s">
        <v>782</v>
      </c>
      <c r="Q25" s="324" t="s">
        <v>763</v>
      </c>
      <c r="R25" s="324" t="s">
        <v>783</v>
      </c>
      <c r="S25" s="324" t="s">
        <v>941</v>
      </c>
      <c r="T25" s="324" t="s">
        <v>764</v>
      </c>
      <c r="U25" s="325" t="s">
        <v>765</v>
      </c>
    </row>
    <row r="26" spans="2:21">
      <c r="B26" s="318" t="s">
        <v>883</v>
      </c>
      <c r="C26" s="318"/>
      <c r="D26" s="318"/>
      <c r="E26" s="318"/>
      <c r="F26" s="328">
        <v>0</v>
      </c>
      <c r="G26" s="576">
        <f t="shared" ref="G26:N26" si="14">RIGHT(G25,4)*1</f>
        <v>2017</v>
      </c>
      <c r="H26" s="576">
        <f t="shared" si="14"/>
        <v>2005</v>
      </c>
      <c r="I26" s="576">
        <f t="shared" si="14"/>
        <v>2020</v>
      </c>
      <c r="J26" s="576">
        <f t="shared" si="14"/>
        <v>2030</v>
      </c>
      <c r="K26" s="576">
        <f t="shared" si="14"/>
        <v>2040</v>
      </c>
      <c r="L26" s="576">
        <f t="shared" si="14"/>
        <v>2050</v>
      </c>
      <c r="M26" s="576">
        <f t="shared" si="14"/>
        <v>2070</v>
      </c>
      <c r="N26" s="576">
        <f t="shared" si="14"/>
        <v>2100</v>
      </c>
      <c r="O26" s="328">
        <f ca="1">AuxYear</f>
        <v>2017</v>
      </c>
      <c r="Q26" s="326"/>
      <c r="R26" s="318"/>
      <c r="S26" s="318"/>
      <c r="T26" s="318"/>
      <c r="U26" s="318"/>
    </row>
    <row r="27" spans="2:21">
      <c r="B27" s="293" t="s">
        <v>227</v>
      </c>
      <c r="C27" s="293" t="s">
        <v>884</v>
      </c>
      <c r="D27" s="293"/>
      <c r="E27" s="293" t="s">
        <v>767</v>
      </c>
      <c r="F27" s="314"/>
      <c r="G27" s="577"/>
      <c r="H27" s="528"/>
      <c r="I27" s="577">
        <f ca="1">MAX(0.005*($Q27&gt;0),IF(O27&gt;0,MAX(0.001,$T27/(1+($T27/O27-1)*(1+$Q27)^(O$26-I$26)))),$T27-($T27-O27)*(1-$R27)^(I$26-O$26),MIN($T27,O27+$S27*(I$26-O$26)*($T27-O27)/$T27))</f>
        <v>0.52475322976450811</v>
      </c>
      <c r="J27" s="577">
        <f ca="1">MAX(0.005*($Q27&gt;0),IF(I27&gt;0,MAX(0.001,$T27/(1+($T27/I27-1)*(1+$Q27)^(I$26-J$26)))),$T27-($T27-I27)*(1-$R27)^(J$26-I$26),MIN($T27,I27+$S27*(J$26-I$26)*($T27-I27)/$T27))</f>
        <v>0.54599693734814747</v>
      </c>
      <c r="K27" s="577">
        <f ca="1">MAX(0.005*($Q27&gt;0),IF(J27&gt;0,MAX(0.001,$T27/(1+($T27/J27-1)*(1+$Q27)^(J$26-K$26)))),$T27-($T27-J27)*(1-$R27)^(K$26-J$26),MIN($T27,J27+$S27*(K$26-J$26)*($T27-J27)/$T27))</f>
        <v>0.56560104308827364</v>
      </c>
      <c r="L27" s="577">
        <f ca="1">MAX(0.005*($Q27&gt;0),IF(K27&gt;0,MAX(0.001,$T27/(1+($T27/K27-1)*(1+$Q27)^(K$26-L$26)))),$T27-($T27-K27)*(1-$R27)^(L$26-K$26),MIN($T27,K27+$S27*(L$26-K$26)*($T27-K27)/$T27))</f>
        <v>0.58369209241932485</v>
      </c>
      <c r="M27" s="577">
        <f ca="1">MAX(0.005*($Q27&gt;0),IF(L27&gt;0,MAX(0.001,$T27/(1+($T27/L27-1)*(1+$Q27)^(L$26-M$26)))),$T27-($T27-L27)*(1-$R27)^(M$26-L$26),MIN($T27,L27+$S27*(M$26-L$26)*($T27-L27)/$T27))</f>
        <v>0.61579312314804224</v>
      </c>
      <c r="N27" s="577">
        <f ca="1">MAX(0.005*($Q27&gt;0),IF(M27&gt;0,MAX(0.001,$T27/(1+($T27/M27-1)*(1+$Q27)^(M$26-N$26)))),$T27-($T27-M27)*(1-$R27)^(N$26-M$26),MIN($T27,M27+$S27*(N$26-M$26)*($T27-M27)/$T27))</f>
        <v>0.65523752355122022</v>
      </c>
      <c r="O27" s="578">
        <f ca="1">IF(C13&gt;0,C13/C$17)</f>
        <v>0.51804018615301439</v>
      </c>
      <c r="Q27" s="582">
        <v>0</v>
      </c>
      <c r="R27" s="583">
        <v>8.0000000000000002E-3</v>
      </c>
      <c r="S27" s="579">
        <v>6.9999999999999999E-4</v>
      </c>
      <c r="T27" s="583">
        <f ca="1">MIN(MAX(0.8,O27*1.05+0.01),MAX(O27^IF(R27,0.25,0.25),0.1))</f>
        <v>0.8</v>
      </c>
      <c r="U27" s="293" t="s">
        <v>777</v>
      </c>
    </row>
    <row r="28" spans="2:21">
      <c r="B28" s="293" t="s">
        <v>230</v>
      </c>
      <c r="C28" s="293" t="s">
        <v>884</v>
      </c>
      <c r="D28" s="293"/>
      <c r="E28" s="293" t="s">
        <v>767</v>
      </c>
      <c r="F28" s="314">
        <f ca="1">IF(G28&gt;0,BaseYear,"")</f>
        <v>2010</v>
      </c>
      <c r="G28" s="577">
        <f ca="1">MAX(0,O28-0.001)</f>
        <v>6.602537640910934E-2</v>
      </c>
      <c r="H28" s="293">
        <v>0</v>
      </c>
      <c r="I28" s="577">
        <f>-Q28</f>
        <v>-5.0000000000000001E-3</v>
      </c>
      <c r="J28" s="577"/>
      <c r="K28" s="577"/>
      <c r="L28" s="577">
        <f>-Q28</f>
        <v>-5.0000000000000001E-3</v>
      </c>
      <c r="M28" s="577"/>
      <c r="N28" s="577">
        <f>-T28</f>
        <v>-5.0000000000000001E-3</v>
      </c>
      <c r="O28" s="578">
        <f ca="1">IF(C14&gt;0,C14/C$17,0)</f>
        <v>6.7025376409109341E-2</v>
      </c>
      <c r="Q28" s="582">
        <v>5.0000000000000001E-3</v>
      </c>
      <c r="R28" s="295"/>
      <c r="S28" s="293"/>
      <c r="T28" s="295">
        <v>5.0000000000000001E-3</v>
      </c>
      <c r="U28" s="293" t="s">
        <v>780</v>
      </c>
    </row>
    <row r="29" spans="2:21">
      <c r="B29" s="293" t="s">
        <v>230</v>
      </c>
      <c r="C29" s="293" t="s">
        <v>884</v>
      </c>
      <c r="D29" s="293"/>
      <c r="E29" s="293" t="s">
        <v>766</v>
      </c>
      <c r="F29" s="314">
        <v>1</v>
      </c>
      <c r="G29" s="577"/>
      <c r="H29" s="293"/>
      <c r="I29" s="577">
        <f ca="1">MAX(0.005*($Q29&gt;0),IF(O29&gt;0,MAX(0.001,$T29/(1+($T29/O29-1)*(1+$Q29)^(O$26-I$26)))),$T29-($T29-O29)*(1-$R29)^(I$26-O$26),MIN($T29,O29+$S29*(I$26-O$26)*($T29-O29)/$T29))</f>
        <v>6.9667785889699713E-2</v>
      </c>
      <c r="J29" s="577">
        <f t="shared" ref="J29:N30" ca="1" si="15">MAX(0.005*($Q29&gt;0),IF(I29&gt;0,MAX(0.001,$T29/(1+($T29/I29-1)*(1+$Q29)^(I$26-J$26)))),$T29-($T29-I29)*(1-$R29)^(J$26-I$26),MIN($T29,I29+$S29*(J$26-I$26)*($T29-I29)/$T29))</f>
        <v>7.911327972025127E-2</v>
      </c>
      <c r="K29" s="577">
        <f t="shared" ca="1" si="15"/>
        <v>8.9578163026781954E-2</v>
      </c>
      <c r="L29" s="577">
        <f t="shared" ca="1" si="15"/>
        <v>0.10110161725674978</v>
      </c>
      <c r="M29" s="577">
        <f t="shared" ca="1" si="15"/>
        <v>0.12738951412348798</v>
      </c>
      <c r="N29" s="577">
        <f t="shared" ca="1" si="15"/>
        <v>0.17451733348256715</v>
      </c>
      <c r="O29" s="578">
        <f ca="1">O28</f>
        <v>6.7025376409109341E-2</v>
      </c>
      <c r="Q29" s="582">
        <v>1.4999999999999999E-2</v>
      </c>
      <c r="R29" s="295">
        <v>0</v>
      </c>
      <c r="S29" s="293">
        <v>1E-3</v>
      </c>
      <c r="T29" s="584">
        <f ca="1">MIN(MAX(0.8,O29+0.01),MAX(O29^IF(R29,0.2,0.25),0.1))</f>
        <v>0.50881489392605783</v>
      </c>
      <c r="U29" s="293" t="s">
        <v>784</v>
      </c>
    </row>
    <row r="30" spans="2:21">
      <c r="B30" s="293" t="s">
        <v>1032</v>
      </c>
      <c r="C30" s="293" t="s">
        <v>884</v>
      </c>
      <c r="D30" s="293"/>
      <c r="E30" s="293" t="s">
        <v>766</v>
      </c>
      <c r="F30" s="314">
        <v>1</v>
      </c>
      <c r="G30" s="577"/>
      <c r="H30" s="579"/>
      <c r="I30" s="577">
        <f ca="1">MAX(0.005*($Q30&gt;0),IF(O30&gt;0,MAX(0.001,$T30/(1+($T30/O30-1)*(1+$Q30)^(O$26-I$26)))),$T30-($T30-O30)*(1-$R30)^(I$26-O$26),MIN($T30,O30+$S30*(I$26-O$26)*($T30-O30)/$T30))</f>
        <v>3.0289821159692198E-3</v>
      </c>
      <c r="J30" s="577">
        <f t="shared" ca="1" si="15"/>
        <v>9.8240474878667217E-3</v>
      </c>
      <c r="K30" s="577">
        <f t="shared" ca="1" si="15"/>
        <v>1.6431230515996459E-2</v>
      </c>
      <c r="L30" s="577">
        <f t="shared" ca="1" si="15"/>
        <v>2.2855726113603203E-2</v>
      </c>
      <c r="M30" s="577">
        <f t="shared" ca="1" si="15"/>
        <v>3.5176720449687282E-2</v>
      </c>
      <c r="N30" s="577">
        <f t="shared" ca="1" si="15"/>
        <v>5.240987927545987E-2</v>
      </c>
      <c r="O30" s="578">
        <f ca="1">C10/C$17</f>
        <v>9.5303066001331961E-4</v>
      </c>
      <c r="Q30" s="585">
        <v>0</v>
      </c>
      <c r="R30" s="583">
        <v>2.8E-3</v>
      </c>
      <c r="S30" s="293"/>
      <c r="T30" s="584">
        <f ca="1">MIN(MAX(0.8,O30+0.01),MAX(O30^IF(R30,0.2,0.25),0.1))</f>
        <v>0.24878338608185038</v>
      </c>
      <c r="U30" s="293" t="s">
        <v>781</v>
      </c>
    </row>
    <row r="31" spans="2:21">
      <c r="B31" s="293" t="s">
        <v>223</v>
      </c>
      <c r="C31" s="293" t="s">
        <v>884</v>
      </c>
      <c r="D31" s="293"/>
      <c r="E31" s="293" t="s">
        <v>767</v>
      </c>
      <c r="F31" s="314">
        <f ca="1">IF(G31&gt;0,BaseYear,"")</f>
        <v>2010</v>
      </c>
      <c r="G31" s="577">
        <f ca="1">MAX(0,O31-0.001)</f>
        <v>9.6089401912642716E-2</v>
      </c>
      <c r="H31" s="579"/>
      <c r="I31" s="577">
        <f>-Q31</f>
        <v>-4.4999999999999998E-2</v>
      </c>
      <c r="J31" s="577"/>
      <c r="K31" s="577"/>
      <c r="L31" s="577">
        <f>-Q31</f>
        <v>-4.4999999999999998E-2</v>
      </c>
      <c r="M31" s="577"/>
      <c r="N31" s="577"/>
      <c r="O31" s="578">
        <f ca="1">C7/C$17</f>
        <v>9.7089401912642717E-2</v>
      </c>
      <c r="Q31" s="585">
        <v>4.4999999999999998E-2</v>
      </c>
      <c r="R31" s="583"/>
      <c r="S31" s="293"/>
      <c r="T31" s="584">
        <f ca="1">MIN(MAX(0.8,O31+0.01),MAX(O31^IF(R31,0.2,0.25),0.1))</f>
        <v>0.55820401567274969</v>
      </c>
      <c r="U31" s="293" t="s">
        <v>960</v>
      </c>
    </row>
    <row r="32" spans="2:21">
      <c r="B32" s="293" t="s">
        <v>222</v>
      </c>
      <c r="C32" s="293" t="s">
        <v>884</v>
      </c>
      <c r="D32" s="293"/>
      <c r="E32" s="293" t="s">
        <v>766</v>
      </c>
      <c r="F32" s="314">
        <v>1</v>
      </c>
      <c r="G32" s="577"/>
      <c r="H32" s="579"/>
      <c r="I32" s="577">
        <f ca="1">MAX(0.005*($Q32&gt;0),IF(O32&gt;0,MAX(0.001,$T32/(1+($T32/O32-1)*(1+$Q32)^(O$26-I$26)))),$T32-($T32-O32)*(1-$R32)^(I$26-O$26),MIN($T32,O32+$S32*(I$26-O$26)*($T32-O32)/$T32))</f>
        <v>7.6592994458753727E-3</v>
      </c>
      <c r="J32" s="577">
        <f t="shared" ref="J32:N33" ca="1" si="16">MAX(0.005*($Q32&gt;0),IF(I32&gt;0,MAX(0.001,$T32/(1+($T32/I32-1)*(1+$Q32)^(I$26-J$26)))),$T32-($T32-I32)*(1-$R32)^(J$26-I$26),MIN($T32,I32+$S32*(J$26-I$26)*($T32-I32)/$T32))</f>
        <v>2.9363047659493574E-2</v>
      </c>
      <c r="K32" s="577">
        <f t="shared" ca="1" si="16"/>
        <v>4.8991528504394255E-2</v>
      </c>
      <c r="L32" s="577">
        <f t="shared" ca="1" si="16"/>
        <v>6.6743174740176103E-2</v>
      </c>
      <c r="M32" s="577">
        <f t="shared" ca="1" si="16"/>
        <v>9.7316640007732408E-2</v>
      </c>
      <c r="N32" s="577">
        <f t="shared" ca="1" si="16"/>
        <v>0.13306274303078192</v>
      </c>
      <c r="O32" s="578">
        <f ca="1">C6/C$17</f>
        <v>7.1128175321210252E-4</v>
      </c>
      <c r="Q32" s="585">
        <v>0</v>
      </c>
      <c r="R32" s="295">
        <v>0.01</v>
      </c>
      <c r="S32" s="293"/>
      <c r="T32" s="584">
        <f ca="1">MIN(MAX(0.8,O32+0.01),MAX(O32^IF(R32,0.2,0.25),0.1))</f>
        <v>0.2346433949030467</v>
      </c>
      <c r="U32" s="293" t="s">
        <v>925</v>
      </c>
    </row>
    <row r="33" spans="2:21">
      <c r="B33" s="293" t="s">
        <v>226</v>
      </c>
      <c r="C33" s="293" t="s">
        <v>884</v>
      </c>
      <c r="D33" s="293"/>
      <c r="E33" s="293" t="s">
        <v>766</v>
      </c>
      <c r="F33" s="314">
        <v>1</v>
      </c>
      <c r="G33" s="577"/>
      <c r="H33" s="293"/>
      <c r="I33" s="577">
        <f ca="1">MAX(0.005*($Q33&gt;0),IF(O33&gt;0,MAX(0.001,$T33/(1+($T33/O33-1)*(1+$Q33)^(O$26-I$26)))),$T33-($T33-O33)*(1-$R33)^(I$26-O$26),MIN($T33,O33+$S33*(I$26-O$26)*($T33-O33)/$T33))</f>
        <v>0.32940124683569982</v>
      </c>
      <c r="J33" s="577">
        <f t="shared" ca="1" si="16"/>
        <v>0.3738064826803198</v>
      </c>
      <c r="K33" s="577">
        <f t="shared" ca="1" si="16"/>
        <v>0.41396578201473255</v>
      </c>
      <c r="L33" s="577">
        <f t="shared" ca="1" si="16"/>
        <v>0.45028513247768842</v>
      </c>
      <c r="M33" s="577">
        <f t="shared" ca="1" si="16"/>
        <v>0.51283755072502524</v>
      </c>
      <c r="N33" s="577">
        <f t="shared" ca="1" si="16"/>
        <v>0.58597303495758846</v>
      </c>
      <c r="O33" s="578">
        <f ca="1">C12/C$17</f>
        <v>0.3151858052788486</v>
      </c>
      <c r="Q33" s="582">
        <v>0.01</v>
      </c>
      <c r="R33" s="295">
        <v>0.01</v>
      </c>
      <c r="S33" s="293">
        <v>4.0000000000000001E-3</v>
      </c>
      <c r="T33" s="584">
        <f ca="1">MIN(MAX(0.8,O33+0.01),MAX(O33^IF(R33,0.2,0.25),0.1))</f>
        <v>0.79380408603879604</v>
      </c>
      <c r="U33" s="293" t="s">
        <v>785</v>
      </c>
    </row>
    <row r="34" spans="2:21">
      <c r="B34" s="318" t="s">
        <v>793</v>
      </c>
      <c r="C34" s="318"/>
      <c r="D34" s="318"/>
      <c r="E34" s="318"/>
      <c r="F34" s="328"/>
      <c r="G34" s="318"/>
      <c r="H34" s="318"/>
      <c r="I34" s="318"/>
      <c r="J34" s="318"/>
      <c r="K34" s="318"/>
      <c r="L34" s="318"/>
      <c r="M34" s="318"/>
      <c r="N34" s="318"/>
      <c r="O34" s="326"/>
      <c r="Q34" s="326"/>
      <c r="R34" s="318"/>
      <c r="S34" s="318"/>
      <c r="T34" s="318"/>
      <c r="U34" s="318"/>
    </row>
    <row r="35" spans="2:21">
      <c r="B35" s="293" t="s">
        <v>653</v>
      </c>
      <c r="C35" s="293" t="s">
        <v>885</v>
      </c>
      <c r="D35" s="293"/>
      <c r="E35" s="293" t="s">
        <v>767</v>
      </c>
      <c r="F35" s="314">
        <f ca="1">IF(G35&gt;0,BaseYear,"")</f>
        <v>2010</v>
      </c>
      <c r="G35" s="577">
        <f ca="1">MAX(0,O35-0.001)</f>
        <v>0.20607459479693171</v>
      </c>
      <c r="H35" s="528">
        <v>0</v>
      </c>
      <c r="I35" s="577">
        <f>-Q35</f>
        <v>0</v>
      </c>
      <c r="J35" s="577"/>
      <c r="K35" s="577"/>
      <c r="L35" s="577">
        <f>-Q35</f>
        <v>0</v>
      </c>
      <c r="M35" s="577"/>
      <c r="N35" s="577">
        <f>-T35</f>
        <v>0</v>
      </c>
      <c r="O35" s="578">
        <f ca="1">IF(D13&gt;0,D13/D$17)</f>
        <v>0.20707459479693172</v>
      </c>
      <c r="Q35" s="582">
        <v>0</v>
      </c>
      <c r="R35" s="295"/>
      <c r="S35" s="293"/>
      <c r="T35" s="295">
        <v>0</v>
      </c>
      <c r="U35" s="293" t="s">
        <v>777</v>
      </c>
    </row>
    <row r="36" spans="2:21">
      <c r="B36" s="293" t="s">
        <v>155</v>
      </c>
      <c r="C36" s="293" t="s">
        <v>885</v>
      </c>
      <c r="D36" s="293"/>
      <c r="E36" s="293" t="s">
        <v>767</v>
      </c>
      <c r="F36" s="314">
        <f ca="1">IF(G36&gt;0,BaseYear,"")</f>
        <v>2010</v>
      </c>
      <c r="G36" s="577">
        <f ca="1">MAX(0,O36-0.001)</f>
        <v>0.74770004908482102</v>
      </c>
      <c r="H36" s="293">
        <v>0</v>
      </c>
      <c r="I36" s="577">
        <f>-Q36</f>
        <v>-5.0000000000000001E-3</v>
      </c>
      <c r="J36" s="577"/>
      <c r="K36" s="577"/>
      <c r="L36" s="577">
        <f>-Q36</f>
        <v>-5.0000000000000001E-3</v>
      </c>
      <c r="M36" s="577"/>
      <c r="N36" s="577">
        <f>-T36</f>
        <v>-5.0000000000000001E-3</v>
      </c>
      <c r="O36" s="578">
        <f ca="1">IF(D14&gt;0,D14/D$17,0)</f>
        <v>0.74870004908482102</v>
      </c>
      <c r="Q36" s="582">
        <v>5.0000000000000001E-3</v>
      </c>
      <c r="R36" s="295"/>
      <c r="S36" s="293"/>
      <c r="T36" s="295">
        <v>5.0000000000000001E-3</v>
      </c>
      <c r="U36" s="293" t="s">
        <v>780</v>
      </c>
    </row>
    <row r="37" spans="2:21">
      <c r="B37" s="293" t="s">
        <v>155</v>
      </c>
      <c r="C37" s="293" t="s">
        <v>885</v>
      </c>
      <c r="D37" s="293"/>
      <c r="E37" s="293" t="s">
        <v>766</v>
      </c>
      <c r="F37" s="314">
        <v>1</v>
      </c>
      <c r="G37" s="577"/>
      <c r="H37" s="293"/>
      <c r="I37" s="577">
        <f ca="1">MAX(0.005*($Q37&gt;0),IF(O37&gt;0,MAX(0.001,$T37/(1+($T37/O37-1)*(1+$Q37)^(O$26-I$26)))),$T37-($T37-O37)*(1-$R37)^(I$26-O$26),MIN($T37,O37+$S37*(I$26-O$26)*($T37-O37)/$T37))</f>
        <v>0.7572218937258216</v>
      </c>
      <c r="J37" s="577">
        <f t="shared" ref="J37:N40" ca="1" si="17">MAX(0.005*($Q37&gt;0),IF(I37&gt;0,MAX(0.001,$T37/(1+($T37/I37-1)*(1+$Q37)^(I$26-J$26)))),$T37-($T37-I37)*(1-$R37)^(J$26-I$26),MIN($T37,I37+$S37*(J$26-I$26)*($T37-I37)/$T37))</f>
        <v>0.78339340517434297</v>
      </c>
      <c r="K37" s="577">
        <f t="shared" ca="1" si="17"/>
        <v>0.80625336511127854</v>
      </c>
      <c r="L37" s="577">
        <f t="shared" ca="1" si="17"/>
        <v>0.82602707316241664</v>
      </c>
      <c r="M37" s="577">
        <f t="shared" ca="1" si="17"/>
        <v>0.85742984235187025</v>
      </c>
      <c r="N37" s="577">
        <f t="shared" ca="1" si="17"/>
        <v>0.88856736475419751</v>
      </c>
      <c r="O37" s="578">
        <f ca="1">O36</f>
        <v>0.74870004908482102</v>
      </c>
      <c r="Q37" s="582">
        <v>0.02</v>
      </c>
      <c r="R37" s="295">
        <v>0</v>
      </c>
      <c r="S37" s="293">
        <v>1E-3</v>
      </c>
      <c r="T37" s="531">
        <f ca="1">MIN(MAX(0.99,O37*1.05+0.01),MAX(O37^IF(R37,0.2,0.25),0.1))</f>
        <v>0.93020134985678571</v>
      </c>
      <c r="U37" s="293" t="s">
        <v>784</v>
      </c>
    </row>
    <row r="38" spans="2:21">
      <c r="B38" s="293" t="s">
        <v>1033</v>
      </c>
      <c r="C38" s="293" t="s">
        <v>885</v>
      </c>
      <c r="D38" s="293"/>
      <c r="E38" s="293" t="s">
        <v>766</v>
      </c>
      <c r="F38" s="314">
        <v>1</v>
      </c>
      <c r="G38" s="577"/>
      <c r="H38" s="579"/>
      <c r="I38" s="577">
        <f ca="1">MAX(0.005*($Q38&gt;0),IF(O38&gt;0,MAX(0.001,$T38/(1+($T38/O38-1)*(1+$Q38)^(O$26-I$26)))),$T38-($T38-O38)*(1-$R38)^(I$26-O$26),MIN($T38,O38+$S38*(I$26-O$26)*($T38-O38)/$T38))</f>
        <v>5.0000000000000001E-3</v>
      </c>
      <c r="J38" s="577">
        <f t="shared" ca="1" si="17"/>
        <v>1.0098368323304907E-2</v>
      </c>
      <c r="K38" s="577">
        <f t="shared" ca="1" si="17"/>
        <v>1.5055767673163967E-2</v>
      </c>
      <c r="L38" s="577">
        <f t="shared" ca="1" si="17"/>
        <v>1.9876095816512424E-2</v>
      </c>
      <c r="M38" s="577">
        <f t="shared" ca="1" si="17"/>
        <v>2.9120593668513051E-2</v>
      </c>
      <c r="N38" s="577">
        <f t="shared" ca="1" si="17"/>
        <v>4.2050710784261508E-2</v>
      </c>
      <c r="O38" s="578">
        <f ca="1">IF(D10&gt;0,D10/D$17,0)</f>
        <v>2.4366468192045236E-4</v>
      </c>
      <c r="Q38" s="586">
        <f ca="1">Tiny</f>
        <v>1.0000000000000001E-9</v>
      </c>
      <c r="R38" s="583">
        <v>2.8E-3</v>
      </c>
      <c r="S38" s="293"/>
      <c r="T38" s="584">
        <f ca="1">MIN(MAX(0.8,O38+0.01),MAX(O38^IF(R38,0.2,0.25),0.1))</f>
        <v>0.18939064231437219</v>
      </c>
      <c r="U38" s="293" t="s">
        <v>781</v>
      </c>
    </row>
    <row r="39" spans="2:21">
      <c r="B39" s="293" t="s">
        <v>648</v>
      </c>
      <c r="C39" s="293" t="s">
        <v>885</v>
      </c>
      <c r="D39" s="293"/>
      <c r="E39" s="293" t="s">
        <v>766</v>
      </c>
      <c r="F39" s="314">
        <v>1</v>
      </c>
      <c r="G39" s="577"/>
      <c r="H39" s="579"/>
      <c r="I39" s="577">
        <f ca="1">MAX(0.005*($Q39&gt;0),IF(O39&gt;0,MAX(0.001,$T39/(1+($T39/O39-1)*(1+$Q39)^(O$26-I$26)))),$T39-($T39-O39)*(1-$R39)^(I$26-O$26),MIN($T39,O39+$S39*(I$26-O$26)*($T39-O39)/$T39))</f>
        <v>1.7896441520965922E-2</v>
      </c>
      <c r="J39" s="577">
        <f t="shared" ca="1" si="17"/>
        <v>5.1704605806336679E-2</v>
      </c>
      <c r="K39" s="577">
        <f t="shared" ca="1" si="17"/>
        <v>8.2280103574978836E-2</v>
      </c>
      <c r="L39" s="577">
        <f t="shared" ca="1" si="17"/>
        <v>0.10993203569141047</v>
      </c>
      <c r="M39" s="577">
        <f t="shared" ca="1" si="17"/>
        <v>0.15755665455286863</v>
      </c>
      <c r="N39" s="577">
        <f t="shared" ca="1" si="17"/>
        <v>0.21323874741859561</v>
      </c>
      <c r="O39" s="578">
        <f ca="1">IF(D6&gt;0,D6/D$17,0)</f>
        <v>7.0734389087336045E-3</v>
      </c>
      <c r="Q39" s="585">
        <v>0</v>
      </c>
      <c r="R39" s="295">
        <v>0.01</v>
      </c>
      <c r="S39" s="293"/>
      <c r="T39" s="584">
        <f ca="1">MIN(MAX(0.8,O39+0.01),MAX(O39^IF(R39,0.2,0.25),0.1))</f>
        <v>0.37147203196055917</v>
      </c>
      <c r="U39" s="293" t="s">
        <v>925</v>
      </c>
    </row>
    <row r="40" spans="2:21">
      <c r="B40" s="293" t="s">
        <v>652</v>
      </c>
      <c r="C40" s="293" t="s">
        <v>885</v>
      </c>
      <c r="D40" s="293"/>
      <c r="E40" s="293" t="s">
        <v>766</v>
      </c>
      <c r="F40" s="314">
        <v>1</v>
      </c>
      <c r="G40" s="577"/>
      <c r="H40" s="293"/>
      <c r="I40" s="577">
        <f ca="1">MAX(0.005*($Q40&gt;0),IF(O40&gt;0,MAX(0.001,$T40/(1+($T40/O40-1)*(1+$Q40)^(O$26-I$26)))),$T40-($T40-O40)*(1-$R40)^(I$26-O$26),MIN($T40,O40+$S40*(I$26-O$26)*($T40-O40)/$T40))</f>
        <v>2.3601092210482177E-2</v>
      </c>
      <c r="J40" s="577">
        <f t="shared" ca="1" si="17"/>
        <v>6.0651730877457177E-2</v>
      </c>
      <c r="K40" s="577">
        <f t="shared" ca="1" si="17"/>
        <v>9.4159664355497497E-2</v>
      </c>
      <c r="L40" s="577">
        <f t="shared" ca="1" si="17"/>
        <v>0.12446363876362454</v>
      </c>
      <c r="M40" s="577">
        <f t="shared" ca="1" si="17"/>
        <v>0.17665584092503619</v>
      </c>
      <c r="N40" s="577">
        <f t="shared" ca="1" si="17"/>
        <v>0.23767829353662948</v>
      </c>
      <c r="O40" s="578">
        <f ca="1">IF(D12&gt;0,D12/D$17,0)</f>
        <v>1.174007675596774E-2</v>
      </c>
      <c r="Q40" s="582">
        <v>0.01</v>
      </c>
      <c r="R40" s="295">
        <v>0.01</v>
      </c>
      <c r="S40" s="293">
        <v>2E-3</v>
      </c>
      <c r="T40" s="584">
        <f ca="1">MIN(MAX(0.8,O40+0.01),MAX(O40^IF(R40,0.2,0.25),0.1))</f>
        <v>0.41108742043174978</v>
      </c>
      <c r="U40" s="293" t="s">
        <v>785</v>
      </c>
    </row>
    <row r="41" spans="2:21">
      <c r="B41" s="318" t="s">
        <v>915</v>
      </c>
      <c r="C41" s="318"/>
      <c r="D41" s="318"/>
      <c r="E41" s="318"/>
      <c r="F41" s="328"/>
      <c r="G41" s="318"/>
      <c r="H41" s="318"/>
      <c r="I41" s="318"/>
      <c r="J41" s="318"/>
      <c r="K41" s="318"/>
      <c r="L41" s="318"/>
      <c r="M41" s="318"/>
      <c r="N41" s="318"/>
      <c r="O41" s="326"/>
      <c r="Q41" s="326"/>
      <c r="R41" s="318"/>
      <c r="S41" s="318"/>
      <c r="T41" s="318"/>
      <c r="U41" s="318"/>
    </row>
    <row r="42" spans="2:21">
      <c r="B42" s="293" t="s">
        <v>916</v>
      </c>
      <c r="C42" s="293" t="s">
        <v>884</v>
      </c>
      <c r="D42" s="293"/>
      <c r="E42" s="293" t="s">
        <v>766</v>
      </c>
      <c r="F42" s="314">
        <v>1</v>
      </c>
      <c r="G42" s="577"/>
      <c r="H42" s="528"/>
      <c r="I42" s="577">
        <f ca="1">MAX(0.005*($Q42&gt;0),IF(O42&gt;0,MAX(0.001,$T42/(1+($T42/O42-1)*(1+$Q42)^(O$26-I$26)))),$T42-($T42-O42)*(1-$R42)^(I$26-O$26),MIN($T42,O42+$S42*(I$26-O$26)*($T42-O42)/$T42))</f>
        <v>0.13775471843196249</v>
      </c>
      <c r="J42" s="577">
        <f ca="1">MAX(0.005*($Q42&gt;0),IF(I42&gt;0,MAX(0.001,$T42/(1+($T42/I42-1)*(1+$Q42)^(I$26-J$26)))),$T42-($T42-I42)*(1-$R42)^(J$26-I$26),MIN($T42,I42+$S42*(J$26-I$26)*($T42-I42)/$T42))</f>
        <v>0.13775471843196249</v>
      </c>
      <c r="K42" s="577">
        <f ca="1">MAX(0.005*($Q42&gt;0),IF(J42&gt;0,MAX(0.001,$T42/(1+($T42/J42-1)*(1+$Q42)^(J$26-K$26)))),$T42-($T42-J42)*(1-$R42)^(K$26-J$26),MIN($T42,J42+$S42*(K$26-J$26)*($T42-J42)/$T42))</f>
        <v>0.13775471843196249</v>
      </c>
      <c r="L42" s="577">
        <f ca="1">MAX(0.005*($Q42&gt;0),IF(K42&gt;0,MAX(0.001,$T42/(1+($T42/K42-1)*(1+$Q42)^(K$26-L$26)))),$T42-($T42-K42)*(1-$R42)^(L$26-K$26),MIN($T42,K42+$S42*(L$26-K$26)*($T42-K42)/$T42))</f>
        <v>0.13775471843196249</v>
      </c>
      <c r="M42" s="577">
        <f ca="1">MAX(0.005*($Q42&gt;0),IF(L42&gt;0,MAX(0.001,$T42/(1+($T42/L42-1)*(1+$Q42)^(L$26-M$26)))),$T42-($T42-L42)*(1-$R42)^(M$26-L$26),MIN($T42,L42+$S42*(M$26-L$26)*($T42-L42)/$T42))</f>
        <v>0.13775471843196249</v>
      </c>
      <c r="N42" s="577">
        <f ca="1">MAX(0.005*($Q42&gt;0),IF(M42&gt;0,MAX(0.001,$T42/(1+($T42/M42-1)*(1+$Q42)^(M$26-N$26)))),$T42-($T42-M42)*(1-$R42)^(N$26-M$26),MIN($T42,M42+$S42*(N$26-M$26)*($T42-M42)/$T42))</f>
        <v>0.13775471843196249</v>
      </c>
      <c r="O42" s="578">
        <f ca="1">RHT!L16/C17</f>
        <v>0.13775471843196249</v>
      </c>
      <c r="Q42" s="582">
        <v>0</v>
      </c>
      <c r="R42" s="295"/>
      <c r="S42" s="293"/>
      <c r="T42" s="295">
        <v>0.1</v>
      </c>
      <c r="U42" s="293" t="s">
        <v>785</v>
      </c>
    </row>
    <row r="43" spans="2:21">
      <c r="B43" s="293" t="s">
        <v>894</v>
      </c>
      <c r="C43" s="293" t="s">
        <v>909</v>
      </c>
      <c r="D43" s="293"/>
      <c r="E43" s="293" t="s">
        <v>767</v>
      </c>
      <c r="F43" s="314" t="str">
        <f ca="1">IF(G43&gt;0,BaseYear,"")</f>
        <v/>
      </c>
      <c r="G43" s="577">
        <f ca="1">MAX(0,O43-0.001)</f>
        <v>0</v>
      </c>
      <c r="H43" s="293">
        <v>0</v>
      </c>
      <c r="I43" s="577">
        <f>-Q43</f>
        <v>0</v>
      </c>
      <c r="J43" s="577"/>
      <c r="K43" s="577"/>
      <c r="L43" s="577">
        <f>-Q43</f>
        <v>0</v>
      </c>
      <c r="M43" s="577"/>
      <c r="N43" s="577">
        <f>-T43</f>
        <v>0</v>
      </c>
      <c r="O43" s="580">
        <f ca="1">SUMIF(OFFSET(INDIRECT(E$4&amp;"!H5"),1,0,E$2),$B13,OFFSET(INDIRECT(E$4&amp;"!X$5"),1,0,E$2))</f>
        <v>0</v>
      </c>
      <c r="Q43" s="587">
        <v>0</v>
      </c>
      <c r="R43" s="293"/>
      <c r="S43" s="293"/>
      <c r="T43" s="295">
        <v>0</v>
      </c>
      <c r="U43" s="293" t="s">
        <v>777</v>
      </c>
    </row>
    <row r="44" spans="2:21">
      <c r="B44" s="318" t="s">
        <v>768</v>
      </c>
      <c r="C44" s="318"/>
      <c r="D44" s="318"/>
      <c r="E44" s="318"/>
      <c r="F44" s="328"/>
      <c r="G44" s="318"/>
      <c r="H44" s="318"/>
      <c r="I44" s="318"/>
      <c r="J44" s="318"/>
      <c r="K44" s="318"/>
      <c r="L44" s="318"/>
      <c r="M44" s="318"/>
      <c r="N44" s="318"/>
      <c r="O44" s="326"/>
      <c r="Q44" s="326"/>
      <c r="R44" s="318"/>
      <c r="S44" s="318"/>
      <c r="T44" s="318"/>
      <c r="U44" s="318"/>
    </row>
    <row r="45" spans="2:21">
      <c r="B45" s="293" t="s">
        <v>505</v>
      </c>
      <c r="C45" s="293" t="s">
        <v>787</v>
      </c>
      <c r="D45" s="293"/>
      <c r="E45" s="293" t="s">
        <v>766</v>
      </c>
      <c r="F45" s="314">
        <v>1</v>
      </c>
      <c r="G45" s="577"/>
      <c r="H45" s="293"/>
      <c r="I45" s="577">
        <f ca="1">MAX(0.005*($Q45&gt;0),IF(O45&gt;0,MAX(0.001,$T45/(1+($T45/O45-1)*(1+$Q45)^(O$26-I$26)))),$T45-($T45-O45)*(1-$R45)^(I$26-O$26),MIN($T45,O45+$S45*(I$26-O$26)*($T45-O45)/$T45))</f>
        <v>0</v>
      </c>
      <c r="J45" s="577">
        <f ca="1">MAX(0.005*($Q45&gt;0),IF(I45&gt;0,MAX(0.001,$T45/(1+($T45/I45-1)*(1+$Q45)^(I$26-J$26)))),$T45-($T45-I45)*(1-$R45)^(J$26-I$26),MIN($T45,I45+$S45*(J$26-I$26)*($T45-I45)/$T45))</f>
        <v>0</v>
      </c>
      <c r="K45" s="577">
        <f ca="1">MAX(0.005*($Q45&gt;0),IF(J45&gt;0,MAX(0.001,$T45/(1+($T45/J45-1)*(1+$Q45)^(J$26-K$26)))),$T45-($T45-J45)*(1-$R45)^(K$26-J$26),MIN($T45,J45+$S45*(K$26-J$26)*($T45-J45)/$T45))</f>
        <v>0</v>
      </c>
      <c r="L45" s="577">
        <f ca="1">MAX(0.005*($Q45&gt;0),IF(K45&gt;0,MAX(0.001,$T45/(1+($T45/K45-1)*(1+$Q45)^(K$26-L$26)))),$T45-($T45-K45)*(1-$R45)^(L$26-K$26),MIN($T45,K45+$S45*(L$26-K$26)*($T45-K45)/$T45))</f>
        <v>0</v>
      </c>
      <c r="M45" s="577">
        <f ca="1">MAX(0.005*($Q45&gt;0),IF(L45&gt;0,MAX(0.001,$T45/(1+($T45/L45-1)*(1+$Q45)^(L$26-M$26)))),$T45-($T45-L45)*(1-$R45)^(M$26-L$26),MIN($T45,L45+$S45*(M$26-L$26)*($T45-L45)/$T45))</f>
        <v>0</v>
      </c>
      <c r="N45" s="577">
        <f ca="1">MAX(0.005*($Q45&gt;0),IF(M45&gt;0,MAX(0.001,$T45/(1+($T45/M45-1)*(1+$Q45)^(M$26-N$26)))),$T45-($T45-M45)*(1-$R45)^(N$26-M$26),MIN($T45,M45+$S45*(N$26-M$26)*($T45-M45)/$T45))</f>
        <v>0</v>
      </c>
      <c r="O45" s="578">
        <f ca="1">SUM(RLT!K7,RLT!K13)/F$17</f>
        <v>0</v>
      </c>
      <c r="Q45" s="582">
        <v>-0.01</v>
      </c>
      <c r="R45" s="295">
        <v>-1</v>
      </c>
      <c r="S45" s="295">
        <v>-1</v>
      </c>
      <c r="T45" s="584">
        <f ca="1">MIN(MAX(0.8,O45+0.01),MAX(O45^IF(R45,0.2,0.25),0.1))</f>
        <v>0.1</v>
      </c>
      <c r="U45" s="405" t="s">
        <v>801</v>
      </c>
    </row>
    <row r="46" spans="2:21">
      <c r="B46" s="293" t="s">
        <v>506</v>
      </c>
      <c r="C46" s="293" t="s">
        <v>787</v>
      </c>
      <c r="D46" s="293"/>
      <c r="E46" s="293" t="s">
        <v>767</v>
      </c>
      <c r="F46" s="314">
        <f ca="1">IF(G46&gt;0,BaseYear,"")</f>
        <v>2010</v>
      </c>
      <c r="G46" s="577">
        <f ca="1">MAX(0,O46-0.001)</f>
        <v>0.19627403156384507</v>
      </c>
      <c r="H46" s="528">
        <v>0</v>
      </c>
      <c r="I46" s="577">
        <f>-Q46</f>
        <v>-7.4999999999999997E-2</v>
      </c>
      <c r="J46" s="577"/>
      <c r="K46" s="577"/>
      <c r="L46" s="577">
        <f>-Q46</f>
        <v>-7.4999999999999997E-2</v>
      </c>
      <c r="M46" s="577"/>
      <c r="N46" s="577">
        <f ca="1">-MAX(0,1-($T46/(O46*(1-$Q46)^(L$26-O$26)))^(1/(N$26-L$26)))</f>
        <v>0</v>
      </c>
      <c r="O46" s="578">
        <f ca="1">SUM(RLT!K8,RLT!K14)/F$17</f>
        <v>0.19727403156384507</v>
      </c>
      <c r="Q46" s="582">
        <v>7.4999999999999997E-2</v>
      </c>
      <c r="R46" s="293"/>
      <c r="S46" s="293"/>
      <c r="T46" s="295">
        <v>0.03</v>
      </c>
      <c r="U46" s="293" t="s">
        <v>806</v>
      </c>
    </row>
    <row r="47" spans="2:21">
      <c r="B47" s="318" t="s">
        <v>769</v>
      </c>
      <c r="C47" s="318"/>
      <c r="D47" s="318"/>
      <c r="E47" s="318"/>
      <c r="F47" s="328"/>
      <c r="G47" s="318"/>
      <c r="H47" s="318"/>
      <c r="I47" s="318"/>
      <c r="J47" s="318"/>
      <c r="K47" s="318"/>
      <c r="L47" s="318"/>
      <c r="M47" s="318"/>
      <c r="N47" s="318"/>
      <c r="O47" s="326"/>
      <c r="Q47" s="326"/>
      <c r="R47" s="318"/>
      <c r="S47" s="318"/>
      <c r="T47" s="318"/>
      <c r="U47" s="318"/>
    </row>
    <row r="48" spans="2:21">
      <c r="B48" s="293" t="s">
        <v>306</v>
      </c>
      <c r="C48" s="293" t="s">
        <v>788</v>
      </c>
      <c r="D48" s="293"/>
      <c r="E48" s="293" t="s">
        <v>767</v>
      </c>
      <c r="F48" s="314">
        <f ca="1">IF(G48&gt;0,BaseYear,"")</f>
        <v>2010</v>
      </c>
      <c r="G48" s="577">
        <f ca="1">MAX(0,O48-0.001)</f>
        <v>0.7764022102477115</v>
      </c>
      <c r="H48" s="528">
        <v>0</v>
      </c>
      <c r="I48" s="577">
        <f>-Q48</f>
        <v>0</v>
      </c>
      <c r="J48" s="577"/>
      <c r="K48" s="577"/>
      <c r="L48" s="577">
        <f ca="1">(0.85+0.15/$G48)^(1/(L$25-I$25))-1</f>
        <v>1.4107205424707114E-3</v>
      </c>
      <c r="M48" s="577"/>
      <c r="N48" s="577">
        <f ca="1">(0.85+0.15/($G48*(1+L48)^(L$25-I$25)))^(1/(N$25-L$25))-1</f>
        <v>6.9210280655385148E-4</v>
      </c>
      <c r="O48" s="578">
        <f ca="1">SUM(G13)/G$17</f>
        <v>0.7774022102477115</v>
      </c>
      <c r="Q48" s="582">
        <v>0</v>
      </c>
      <c r="R48" s="295"/>
      <c r="S48" s="293"/>
      <c r="T48" s="295">
        <v>0</v>
      </c>
      <c r="U48" s="293" t="s">
        <v>777</v>
      </c>
    </row>
    <row r="49" spans="2:21">
      <c r="B49" s="293" t="s">
        <v>304</v>
      </c>
      <c r="C49" s="293" t="s">
        <v>788</v>
      </c>
      <c r="D49" s="293"/>
      <c r="E49" s="293" t="s">
        <v>766</v>
      </c>
      <c r="F49" s="314">
        <v>1</v>
      </c>
      <c r="G49" s="577"/>
      <c r="H49" s="528"/>
      <c r="I49" s="577">
        <f ca="1">MAX(0.005*($Q49&gt;0),IF(O49&gt;0,MAX(0.001,$T49/(1+($T49/O49-1)*(1+$Q49)^(O$26-I$26)))),$T49-($T49-O49)*(1-$R49)^(I$26-O$26),0*MIN($T49,O49+$S49*(I$26-O$26)*($T49-O49)/$T49))</f>
        <v>5.2621261459051979E-2</v>
      </c>
      <c r="J49" s="577">
        <f t="shared" ref="J49:N51" ca="1" si="18">MAX(0.005*($Q49&gt;0),IF(I49&gt;0,MAX(0.001,$T49/(1+($T49/I49-1)*(1+$Q49)^(I$26-J$26)))),$T49-($T49-I49)*(1-$R49)^(J$26-I$26),MIN($T49,I49+$S49*(J$26-I$26)*($T49-I49)/$T49))</f>
        <v>4.8022784722994864E-2</v>
      </c>
      <c r="K49" s="577">
        <f t="shared" ca="1" si="18"/>
        <v>4.3791336841168475E-2</v>
      </c>
      <c r="L49" s="577">
        <f t="shared" ca="1" si="18"/>
        <v>3.9903559799120719E-2</v>
      </c>
      <c r="M49" s="577">
        <f t="shared" ca="1" si="18"/>
        <v>3.3068036748127021E-2</v>
      </c>
      <c r="N49" s="577">
        <f t="shared" ca="1" si="18"/>
        <v>2.4843702694183685E-2</v>
      </c>
      <c r="O49" s="578">
        <f ca="1">SUM(G6,G7,G9,G11)/G$17</f>
        <v>5.4075896636016092E-2</v>
      </c>
      <c r="Q49" s="582">
        <v>-0.01</v>
      </c>
      <c r="R49" s="295">
        <v>-1</v>
      </c>
      <c r="S49" s="295">
        <v>-1</v>
      </c>
      <c r="T49" s="584">
        <f ca="1">MIN(MAX(0.8,O49+0.01),MAX(O49^IF(R49,0.2,0.2),0.1))</f>
        <v>0.55795701970379474</v>
      </c>
      <c r="U49" s="293" t="s">
        <v>791</v>
      </c>
    </row>
    <row r="50" spans="2:21">
      <c r="B50" s="293" t="s">
        <v>25</v>
      </c>
      <c r="C50" s="293" t="s">
        <v>788</v>
      </c>
      <c r="D50" s="293"/>
      <c r="E50" s="293" t="s">
        <v>766</v>
      </c>
      <c r="F50" s="314">
        <v>1</v>
      </c>
      <c r="G50" s="577"/>
      <c r="H50" s="293"/>
      <c r="I50" s="577">
        <f ca="1">MAX(0.005*($Q50&gt;0),IF(O50&gt;0,MAX(0.001,$T50/(1+($T50/O50-1)*(1+$Q50)^(O$26-I$26)))),$T50-($T50-O50)*(1-$R50)^(I$26-O$26),MIN($T50,O50+$S50*(I$26-O$26)*($T50-O50)/$T50))</f>
        <v>0.15710655184223193</v>
      </c>
      <c r="J50" s="577">
        <f t="shared" ca="1" si="18"/>
        <v>0.12310509453974242</v>
      </c>
      <c r="K50" s="577">
        <f t="shared" ca="1" si="18"/>
        <v>9.517319155089099E-2</v>
      </c>
      <c r="L50" s="577">
        <f t="shared" ca="1" si="18"/>
        <v>7.2779873328698272E-2</v>
      </c>
      <c r="M50" s="577">
        <f t="shared" ca="1" si="18"/>
        <v>4.1546888686272626E-2</v>
      </c>
      <c r="N50" s="577">
        <f t="shared" ca="1" si="18"/>
        <v>1.7274403257876842E-2</v>
      </c>
      <c r="O50" s="578">
        <f ca="1">SUM(G10,G12)/G$17</f>
        <v>0.16852189311627233</v>
      </c>
      <c r="Q50" s="582">
        <v>-0.03</v>
      </c>
      <c r="R50" s="295">
        <v>-1</v>
      </c>
      <c r="S50" s="295">
        <v>-1</v>
      </c>
      <c r="T50" s="584">
        <f ca="1">MIN(MAX(0.8,O50+0.01),MAX(O50^IF(R50,0.2,0.2),0.1))</f>
        <v>0.7003760165708236</v>
      </c>
      <c r="U50" s="293" t="s">
        <v>789</v>
      </c>
    </row>
    <row r="51" spans="2:21">
      <c r="B51" s="293" t="s">
        <v>307</v>
      </c>
      <c r="C51" s="293" t="s">
        <v>788</v>
      </c>
      <c r="D51" s="293"/>
      <c r="E51" s="293" t="s">
        <v>766</v>
      </c>
      <c r="F51" s="314">
        <v>1</v>
      </c>
      <c r="G51" s="577"/>
      <c r="H51" s="293"/>
      <c r="I51" s="577">
        <f ca="1">MAX(0.005*($Q51&gt;0),IF(O51&gt;0,MAX(0.001,$T51/(1+($T51/O51-1)*(1+$Q51)^(O$26-I$26)))),$T51-($T51-O51)*(1-$R51)^(I$26-O$26),MIN($T51,O51+$S51*(I$26-O$26)*($T51-O51)/$T51))</f>
        <v>0</v>
      </c>
      <c r="J51" s="577">
        <f t="shared" ca="1" si="18"/>
        <v>0</v>
      </c>
      <c r="K51" s="577">
        <f t="shared" ca="1" si="18"/>
        <v>0</v>
      </c>
      <c r="L51" s="577">
        <f t="shared" ca="1" si="18"/>
        <v>0</v>
      </c>
      <c r="M51" s="577">
        <f t="shared" ca="1" si="18"/>
        <v>0</v>
      </c>
      <c r="N51" s="577">
        <f t="shared" ca="1" si="18"/>
        <v>0</v>
      </c>
      <c r="O51" s="578">
        <f ca="1">SUM(G16)/G$17</f>
        <v>0</v>
      </c>
      <c r="Q51" s="555">
        <v>0</v>
      </c>
      <c r="R51" s="295">
        <v>0</v>
      </c>
      <c r="S51" s="295"/>
      <c r="T51" s="584">
        <f ca="1">MIN(MAX(0.8,O51+0.01),MAX(O51^IF(R51,0.2,0.2),0.1))</f>
        <v>0.1</v>
      </c>
      <c r="U51" s="293" t="s">
        <v>790</v>
      </c>
    </row>
    <row r="52" spans="2:21">
      <c r="B52" s="318" t="s">
        <v>770</v>
      </c>
      <c r="C52" s="318"/>
      <c r="D52" s="318"/>
      <c r="E52" s="318"/>
      <c r="F52" s="328"/>
      <c r="G52" s="318"/>
      <c r="H52" s="318"/>
      <c r="I52" s="318"/>
      <c r="J52" s="318"/>
      <c r="K52" s="318"/>
      <c r="L52" s="318"/>
      <c r="M52" s="318"/>
      <c r="N52" s="318"/>
      <c r="O52" s="326"/>
      <c r="Q52" s="326"/>
      <c r="R52" s="318"/>
      <c r="S52" s="318"/>
      <c r="T52" s="318"/>
      <c r="U52" s="318"/>
    </row>
    <row r="53" spans="2:21">
      <c r="B53" s="293" t="s">
        <v>73</v>
      </c>
      <c r="C53" s="293" t="s">
        <v>792</v>
      </c>
      <c r="D53" s="293"/>
      <c r="E53" s="293" t="s">
        <v>767</v>
      </c>
      <c r="F53" s="314">
        <f ca="1">IF(G53&gt;0,BaseYear,"")</f>
        <v>2010</v>
      </c>
      <c r="G53" s="577">
        <f ca="1">MAX(0,O53-0.001)</f>
        <v>0.15918903712337559</v>
      </c>
      <c r="H53" s="528">
        <v>0</v>
      </c>
      <c r="I53" s="577">
        <f>-Q53</f>
        <v>0</v>
      </c>
      <c r="J53" s="577"/>
      <c r="K53" s="577"/>
      <c r="L53" s="577">
        <f>-Q53</f>
        <v>0</v>
      </c>
      <c r="M53" s="577"/>
      <c r="N53" s="577">
        <f>-T53</f>
        <v>0</v>
      </c>
      <c r="O53" s="578">
        <f ca="1">IF(P13&gt;0,P13/P$17)</f>
        <v>0.16018903712337559</v>
      </c>
      <c r="Q53" s="582">
        <v>0</v>
      </c>
      <c r="R53" s="295"/>
      <c r="S53" s="293"/>
      <c r="T53" s="295">
        <v>0</v>
      </c>
      <c r="U53" s="293" t="s">
        <v>777</v>
      </c>
    </row>
    <row r="54" spans="2:21">
      <c r="B54" s="293" t="s">
        <v>635</v>
      </c>
      <c r="C54" s="293" t="s">
        <v>792</v>
      </c>
      <c r="D54" s="293"/>
      <c r="E54" s="293" t="s">
        <v>767</v>
      </c>
      <c r="F54" s="314">
        <f ca="1">IF(G54&gt;0,BaseYear,"")</f>
        <v>2010</v>
      </c>
      <c r="G54" s="577">
        <f ca="1">MAX(0,O54-0.001)</f>
        <v>0.59686563776128543</v>
      </c>
      <c r="H54" s="293">
        <v>0</v>
      </c>
      <c r="I54" s="577">
        <f>-Q54</f>
        <v>-5.0000000000000001E-3</v>
      </c>
      <c r="J54" s="577"/>
      <c r="K54" s="577"/>
      <c r="L54" s="577">
        <f>-Q54</f>
        <v>-5.0000000000000001E-3</v>
      </c>
      <c r="M54" s="577"/>
      <c r="N54" s="577">
        <f>-T54</f>
        <v>-5.0000000000000001E-3</v>
      </c>
      <c r="O54" s="578">
        <f ca="1">IF(P14&gt;0,P14/P$17)</f>
        <v>0.59786563776128543</v>
      </c>
      <c r="Q54" s="582">
        <v>5.0000000000000001E-3</v>
      </c>
      <c r="R54" s="295"/>
      <c r="S54" s="293"/>
      <c r="T54" s="295">
        <v>5.0000000000000001E-3</v>
      </c>
      <c r="U54" s="293" t="s">
        <v>780</v>
      </c>
    </row>
    <row r="55" spans="2:21">
      <c r="B55" s="293" t="s">
        <v>635</v>
      </c>
      <c r="C55" s="293" t="s">
        <v>792</v>
      </c>
      <c r="D55" s="293"/>
      <c r="E55" s="293" t="s">
        <v>766</v>
      </c>
      <c r="F55" s="314">
        <v>1</v>
      </c>
      <c r="G55" s="577"/>
      <c r="H55" s="293"/>
      <c r="I55" s="577">
        <f ca="1">MAX(0.005*($Q55&gt;0),IF(O55&gt;0,MAX(0.001,$T55/(1+($T55/O55-1)*(1+$Q55)^(O$26-I$26)))),$T55-($T55-O55)*(1-$R55)^(I$26-O$26),MIN($T55,O55+$S55*(I$26-O$26)*($T55-O55)/$T55))</f>
        <v>0.60911100220856074</v>
      </c>
      <c r="J55" s="577">
        <f t="shared" ref="J55:N57" ca="1" si="19">MAX(0.005*($Q55&gt;0),IF(I55&gt;0,MAX(0.001,$T55/(1+($T55/I55-1)*(1+$Q55)^(I$26-J$26)))),$T55-($T55-I55)*(1-$R55)^(J$26-I$26),MIN($T55,I55+$S55*(J$26-I$26)*($T55-I55)/$T55))</f>
        <v>0.64470303553284958</v>
      </c>
      <c r="K55" s="577">
        <f t="shared" ca="1" si="19"/>
        <v>0.677162985704167</v>
      </c>
      <c r="L55" s="577">
        <f t="shared" ca="1" si="19"/>
        <v>0.70633715283439769</v>
      </c>
      <c r="M55" s="577">
        <f t="shared" ca="1" si="19"/>
        <v>0.75490517676330215</v>
      </c>
      <c r="N55" s="577">
        <f t="shared" ca="1" si="19"/>
        <v>0.80598951912409955</v>
      </c>
      <c r="O55" s="578">
        <f ca="1">O54</f>
        <v>0.59786563776128543</v>
      </c>
      <c r="Q55" s="582">
        <v>0.02</v>
      </c>
      <c r="R55" s="295">
        <v>0</v>
      </c>
      <c r="S55" s="293">
        <v>2E-3</v>
      </c>
      <c r="T55" s="531">
        <f ca="1">MIN(MAX(0.99,O55*1.05+0.01),MAX(O55^IF(R55,0.2,0.25),0.1))</f>
        <v>0.87932799166266318</v>
      </c>
      <c r="U55" s="293" t="s">
        <v>784</v>
      </c>
    </row>
    <row r="56" spans="2:21">
      <c r="B56" s="293" t="s">
        <v>1022</v>
      </c>
      <c r="C56" s="293" t="s">
        <v>792</v>
      </c>
      <c r="D56" s="293"/>
      <c r="E56" s="293" t="s">
        <v>766</v>
      </c>
      <c r="F56" s="314">
        <v>1</v>
      </c>
      <c r="G56" s="577"/>
      <c r="H56" s="579"/>
      <c r="I56" s="577">
        <f ca="1">MAX(0.005*($Q56&gt;0),IF(O56&gt;0,MAX(0.001,$T56/(1+($T56/O56-1)*(1+$Q56)^(O$26-I$26)))),$T56-($T56-O56)*(1-$R56)^(I$26-O$26),MIN($T56,O56+$S56*(I$26-O$26)*($T56-O56)/$T56))</f>
        <v>3.59434746703996E-3</v>
      </c>
      <c r="J56" s="577">
        <f t="shared" ca="1" si="19"/>
        <v>1.0887543730757787E-2</v>
      </c>
      <c r="K56" s="577">
        <f t="shared" ca="1" si="19"/>
        <v>1.7979084420527397E-2</v>
      </c>
      <c r="L56" s="577">
        <f t="shared" ca="1" si="19"/>
        <v>2.4874545276947824E-2</v>
      </c>
      <c r="M56" s="577">
        <f t="shared" ca="1" si="19"/>
        <v>3.8098763873703423E-2</v>
      </c>
      <c r="N56" s="577">
        <f t="shared" ca="1" si="19"/>
        <v>5.6595246641916064E-2</v>
      </c>
      <c r="O56" s="578">
        <f ca="1">P10/P$17</f>
        <v>1.3662126995874549E-3</v>
      </c>
      <c r="Q56" s="585">
        <v>0</v>
      </c>
      <c r="R56" s="583">
        <v>2.8E-3</v>
      </c>
      <c r="S56" s="293"/>
      <c r="T56" s="531">
        <f ca="1">MIN(MAX(0.8,O56*1.05+0.01),MAX(O56^IF(R56,0.2,0.25),0.1))</f>
        <v>0.26736445160890238</v>
      </c>
      <c r="U56" s="293" t="s">
        <v>781</v>
      </c>
    </row>
    <row r="57" spans="2:21">
      <c r="B57" s="293" t="s">
        <v>634</v>
      </c>
      <c r="C57" s="293" t="s">
        <v>792</v>
      </c>
      <c r="D57" s="293"/>
      <c r="E57" s="293" t="s">
        <v>766</v>
      </c>
      <c r="F57" s="314">
        <v>1</v>
      </c>
      <c r="G57" s="577"/>
      <c r="H57" s="293"/>
      <c r="I57" s="577">
        <f ca="1">MAX(0.005*($Q57&gt;0),IF(O57&gt;0,MAX(0.001,$T57/(1+($T57/O57-1)*(1+$Q57)^(O$26-I$26)))),$T57-($T57-O57)*(1-$R57)^(I$26-O$26),MIN($T57,O57+$S57*(I$26-O$26)*($T57-O57)/$T57))</f>
        <v>6.6315852439069178E-2</v>
      </c>
      <c r="J57" s="577">
        <f t="shared" ca="1" si="19"/>
        <v>0.11279432661224725</v>
      </c>
      <c r="K57" s="577">
        <f t="shared" ca="1" si="19"/>
        <v>0.15482862552822918</v>
      </c>
      <c r="L57" s="577">
        <f t="shared" ca="1" si="19"/>
        <v>0.19284369200340523</v>
      </c>
      <c r="M57" s="577">
        <f t="shared" ca="1" si="19"/>
        <v>0.25831662330708893</v>
      </c>
      <c r="N57" s="577">
        <f t="shared" ca="1" si="19"/>
        <v>0.33486673390531702</v>
      </c>
      <c r="O57" s="578">
        <f ca="1">P12/P$17</f>
        <v>5.1436705403968219E-2</v>
      </c>
      <c r="Q57" s="586">
        <f ca="1">Tiny</f>
        <v>1.0000000000000001E-9</v>
      </c>
      <c r="R57" s="295">
        <v>0.01</v>
      </c>
      <c r="S57" s="293">
        <v>1E-3</v>
      </c>
      <c r="T57" s="531">
        <f ca="1">MIN(MAX(0.8,O57*1.05+0.01),MAX(O57^IF(R57,0.2,0.25),0.1))</f>
        <v>0.5524012195651361</v>
      </c>
      <c r="U57" s="293" t="s">
        <v>785</v>
      </c>
    </row>
    <row r="58" spans="2:21">
      <c r="B58" s="318" t="s">
        <v>794</v>
      </c>
      <c r="C58" s="318"/>
      <c r="D58" s="318"/>
      <c r="E58" s="318"/>
      <c r="F58" s="328"/>
      <c r="G58" s="318"/>
      <c r="H58" s="318"/>
      <c r="I58" s="318"/>
      <c r="J58" s="318"/>
      <c r="K58" s="318"/>
      <c r="L58" s="318"/>
      <c r="M58" s="318"/>
      <c r="N58" s="318"/>
      <c r="O58" s="326"/>
      <c r="Q58" s="326"/>
      <c r="R58" s="318"/>
      <c r="S58" s="318"/>
      <c r="T58" s="318"/>
      <c r="U58" s="318"/>
    </row>
    <row r="59" spans="2:21">
      <c r="B59" s="293" t="str">
        <f>IF(L$17&gt;0,C59&amp;"HET000","\I:")</f>
        <v>\I:</v>
      </c>
      <c r="C59" s="293" t="s">
        <v>238</v>
      </c>
      <c r="D59" s="293"/>
      <c r="E59" s="293" t="s">
        <v>766</v>
      </c>
      <c r="F59" s="314">
        <v>1</v>
      </c>
      <c r="G59" s="577"/>
      <c r="H59" s="293"/>
      <c r="I59" s="577">
        <f>MAX(0.005*($Q59&gt;0),IF(O59&gt;0,MAX(0.001,$T59/(1+($T59/O59-1)*(1+$Q59)^(O$26-I$26)))),$T59-($T59-O59)*(1-$R59)^(I$26-O$26),MIN($T59,O59+$S59*(I$26-O$26)*($T59-O59)/$T59))</f>
        <v>6.0000000000000001E-3</v>
      </c>
      <c r="J59" s="577">
        <f>MAX(0.005*($Q59&gt;0),IF(I59&gt;0,MAX(0.001,$T59/(1+($T59/I59-1)*(1+$Q59)^(I$26-J$26)))),$T59-($T59-I59)*(1-$R59)^(J$26-I$26),MIN($T59,I59+$S59*(J$26-I$26)*($T59-I59)/$T59))</f>
        <v>2.4799999999999996E-2</v>
      </c>
      <c r="K59" s="577">
        <f>MAX(0.005*($Q59&gt;0),IF(J59&gt;0,MAX(0.001,$T59/(1+($T59/J59-1)*(1+$Q59)^(J$26-K$26)))),$T59-($T59-J59)*(1-$R59)^(K$26-J$26),MIN($T59,J59+$S59*(K$26-J$26)*($T59-J59)/$T59))</f>
        <v>3.984E-2</v>
      </c>
      <c r="L59" s="577">
        <f>MAX(0.005*($Q59&gt;0),IF(K59&gt;0,MAX(0.001,$T59/(1+($T59/K59-1)*(1+$Q59)^(K$26-L$26)))),$T59-($T59-K59)*(1-$R59)^(L$26-K$26),MIN($T59,K59+$S59*(L$26-K$26)*($T59-K59)/$T59))</f>
        <v>5.1872000000000001E-2</v>
      </c>
      <c r="M59" s="577">
        <f>MAX(0.005*($Q59&gt;0),IF(L59&gt;0,MAX(0.001,$T59/(1+($T59/L59-1)*(1+$Q59)^(L$26-M$26)))),$T59-($T59-L59)*(1-$R59)^(M$26-L$26),MIN($T59,L59+$S59*(M$26-L$26)*($T59-L59)/$T59))</f>
        <v>7.1123199999999998E-2</v>
      </c>
      <c r="N59" s="577">
        <f>MAX(0.005*($Q59&gt;0),IF(M59&gt;0,MAX(0.001,$T59/(1+($T59/M59-1)*(1+$Q59)^(M$26-N$26)))),$T59-($T59-M59)*(1-$R59)^(N$26-M$26),MIN($T59,M59+$S59*(N$26-M$26)*($T59-M59)/$T59))</f>
        <v>8.8449280000000005E-2</v>
      </c>
      <c r="O59" s="578">
        <f>IF(L17&gt;0,L14/L$17,0)</f>
        <v>0</v>
      </c>
      <c r="Q59" s="582">
        <f>Q55</f>
        <v>0.02</v>
      </c>
      <c r="R59" s="295">
        <v>0</v>
      </c>
      <c r="S59" s="293">
        <v>2E-3</v>
      </c>
      <c r="T59" s="531">
        <f>MIN(MAX(0.8,O59*1.05+0.01),MAX(O59^IF(R59,0.2,0.25),0.1))</f>
        <v>0.1</v>
      </c>
      <c r="U59" s="293" t="s">
        <v>784</v>
      </c>
    </row>
    <row r="60" spans="2:21">
      <c r="B60" s="293" t="s">
        <v>786</v>
      </c>
      <c r="C60" s="293"/>
      <c r="D60" s="293"/>
      <c r="E60" s="293"/>
      <c r="F60" s="314"/>
      <c r="G60" s="577"/>
      <c r="H60" s="293"/>
      <c r="I60" s="577"/>
      <c r="J60" s="577"/>
      <c r="K60" s="577"/>
      <c r="L60" s="577"/>
      <c r="M60" s="577"/>
      <c r="N60" s="577"/>
      <c r="O60" s="578"/>
      <c r="Q60" s="582"/>
      <c r="R60" s="295"/>
      <c r="S60" s="293"/>
      <c r="T60" s="584"/>
      <c r="U60" s="293"/>
    </row>
    <row r="61" spans="2:21">
      <c r="B61" s="318" t="s">
        <v>771</v>
      </c>
      <c r="C61" s="318"/>
      <c r="D61" s="318"/>
      <c r="E61" s="318"/>
      <c r="F61" s="328"/>
      <c r="G61" s="318"/>
      <c r="H61" s="318"/>
      <c r="I61" s="318"/>
      <c r="J61" s="318"/>
      <c r="K61" s="318"/>
      <c r="L61" s="318"/>
      <c r="M61" s="318"/>
      <c r="N61" s="318"/>
      <c r="O61" s="326"/>
      <c r="Q61" s="326"/>
      <c r="R61" s="318"/>
      <c r="S61" s="318"/>
      <c r="T61" s="318"/>
      <c r="U61" s="318"/>
    </row>
    <row r="62" spans="2:21">
      <c r="B62" s="293" t="s">
        <v>343</v>
      </c>
      <c r="C62" s="293" t="s">
        <v>235</v>
      </c>
      <c r="D62" s="293"/>
      <c r="E62" s="293" t="s">
        <v>767</v>
      </c>
      <c r="F62" s="581">
        <f ca="1">IF(G62&gt;0,BaseYear,"")</f>
        <v>2010</v>
      </c>
      <c r="G62" s="577">
        <f ca="1">MAX(0,O62-0.001)</f>
        <v>0.14609368783126275</v>
      </c>
      <c r="H62" s="528">
        <v>0</v>
      </c>
      <c r="I62" s="577">
        <f>-Q62</f>
        <v>0</v>
      </c>
      <c r="J62" s="577"/>
      <c r="K62" s="577"/>
      <c r="L62" s="577">
        <f>-Q62</f>
        <v>0</v>
      </c>
      <c r="M62" s="577"/>
      <c r="N62" s="577">
        <f>-T62</f>
        <v>0</v>
      </c>
      <c r="O62" s="578">
        <f ca="1">IF(M$17&gt;0,M13/M$17)</f>
        <v>0.14709368783126275</v>
      </c>
      <c r="Q62" s="582">
        <v>0</v>
      </c>
      <c r="R62" s="295"/>
      <c r="S62" s="293"/>
      <c r="T62" s="295">
        <v>0</v>
      </c>
      <c r="U62" s="293" t="s">
        <v>777</v>
      </c>
    </row>
    <row r="63" spans="2:21">
      <c r="B63" s="293" t="s">
        <v>786</v>
      </c>
      <c r="C63" s="293"/>
      <c r="D63" s="293"/>
      <c r="E63" s="293"/>
      <c r="F63" s="314"/>
      <c r="G63" s="577"/>
      <c r="H63" s="293"/>
      <c r="I63" s="577"/>
      <c r="J63" s="577"/>
      <c r="K63" s="577"/>
      <c r="L63" s="577"/>
      <c r="M63" s="577"/>
      <c r="N63" s="577"/>
      <c r="O63" s="578"/>
      <c r="Q63" s="585"/>
      <c r="R63" s="293"/>
      <c r="S63" s="293"/>
      <c r="T63" s="293"/>
      <c r="U63" s="293"/>
    </row>
    <row r="64" spans="2:21">
      <c r="B64" s="318" t="s">
        <v>772</v>
      </c>
      <c r="C64" s="318"/>
      <c r="D64" s="318"/>
      <c r="E64" s="318"/>
      <c r="F64" s="328"/>
      <c r="G64" s="318"/>
      <c r="H64" s="318"/>
      <c r="I64" s="318"/>
      <c r="J64" s="318"/>
      <c r="K64" s="318"/>
      <c r="L64" s="318"/>
      <c r="M64" s="318"/>
      <c r="N64" s="318"/>
      <c r="O64" s="326"/>
      <c r="Q64" s="326"/>
      <c r="R64" s="318"/>
      <c r="S64" s="318"/>
      <c r="T64" s="318"/>
      <c r="U64" s="318"/>
    </row>
    <row r="65" spans="2:21">
      <c r="B65" s="293" t="s">
        <v>302</v>
      </c>
      <c r="C65" s="293" t="s">
        <v>103</v>
      </c>
      <c r="D65" s="293"/>
      <c r="E65" s="293" t="s">
        <v>766</v>
      </c>
      <c r="F65" s="314">
        <v>1</v>
      </c>
      <c r="G65" s="577"/>
      <c r="H65" s="293"/>
      <c r="I65" s="577">
        <f ca="1">MAX(0.005*($Q65&gt;0),IF(O65&gt;0,MAX(0.001,$T65/(1+($T65/O65-1)*(1+$Q65)^(O$26-I$26)))),$T65-($T65-O65)*(1-$R65)^(I$26-O$26),MIN($T65,O65+$S65*(I$26-O$26)*($T65-O65)/$T65))</f>
        <v>0</v>
      </c>
      <c r="J65" s="577">
        <f ca="1">MAX(0.005*($Q65&gt;0),IF(I65&gt;0,MAX(0.001,$T65/(1+($T65/I65-1)*(1+$Q65)^(I$26-J$26)))),$T65-($T65-I65)*(1-$R65)^(J$26-I$26),MIN($T65,I65+$S65*(J$26-I$26)*($T65-I65)/$T65))</f>
        <v>0</v>
      </c>
      <c r="K65" s="577">
        <f ca="1">MAX(0.005*($Q65&gt;0),IF(J65&gt;0,MAX(0.001,$T65/(1+($T65/J65-1)*(1+$Q65)^(J$26-K$26)))),$T65-($T65-J65)*(1-$R65)^(K$26-J$26),MIN($T65,J65+$S65*(K$26-J$26)*($T65-J65)/$T65))</f>
        <v>0</v>
      </c>
      <c r="L65" s="577">
        <f ca="1">MAX(0.005*($Q65&gt;0),IF(K65&gt;0,MAX(0.001,$T65/(1+($T65/K65-1)*(1+$Q65)^(K$26-L$26)))),$T65-($T65-K65)*(1-$R65)^(L$26-K$26),MIN($T65,K65+$S65*(L$26-K$26)*($T65-K65)/$T65))</f>
        <v>0</v>
      </c>
      <c r="M65" s="577">
        <f ca="1">MAX(0.005*($Q65&gt;0),IF(L65&gt;0,MAX(0.001,$T65/(1+($T65/L65-1)*(1+$Q65)^(L$26-M$26)))),$T65-($T65-L65)*(1-$R65)^(M$26-L$26),MIN($T65,L65+$S65*(M$26-L$26)*($T65-L65)/$T65))</f>
        <v>0</v>
      </c>
      <c r="N65" s="577">
        <f ca="1">MAX(0.005*($Q65&gt;0),IF(M65&gt;0,MAX(0.001,$T65/(1+($T65/M65-1)*(1+$Q65)^(M$26-N$26)))),$T65-($T65-M65)*(1-$R65)^(N$26-M$26),MIN($T65,M65+$S65*(N$26-M$26)*($T65-M65)/$T65))</f>
        <v>0</v>
      </c>
      <c r="O65" s="578">
        <f ca="1">CLA!K6/N$17</f>
        <v>0</v>
      </c>
      <c r="Q65" s="582">
        <v>-0.01</v>
      </c>
      <c r="R65" s="295">
        <v>-1</v>
      </c>
      <c r="S65" s="295">
        <v>-1</v>
      </c>
      <c r="T65" s="584">
        <f ca="1">MIN(MAX(0.8,O65+0.01),MAX(O65^IF(R65,0.2,0.25),0.1))</f>
        <v>0.1</v>
      </c>
      <c r="U65" s="405" t="s">
        <v>801</v>
      </c>
    </row>
    <row r="66" spans="2:21">
      <c r="B66" s="293" t="s">
        <v>145</v>
      </c>
      <c r="C66" s="293" t="s">
        <v>103</v>
      </c>
      <c r="D66" s="293"/>
      <c r="E66" s="293" t="s">
        <v>767</v>
      </c>
      <c r="F66" s="314">
        <f ca="1">IF(G66&gt;0,BaseYear,"")</f>
        <v>2010</v>
      </c>
      <c r="G66" s="577">
        <f ca="1">MAX(0,O66-0.001)</f>
        <v>6.8973346495557761E-3</v>
      </c>
      <c r="H66" s="528">
        <v>0</v>
      </c>
      <c r="I66" s="577">
        <f>-Q66</f>
        <v>-7.4999999999999997E-2</v>
      </c>
      <c r="J66" s="577"/>
      <c r="K66" s="577"/>
      <c r="L66" s="577">
        <f>-Q66</f>
        <v>-7.4999999999999997E-2</v>
      </c>
      <c r="M66" s="577"/>
      <c r="N66" s="577">
        <f ca="1">-MAX(0,1-($T66/(O66*(1-$Q66)^(L$26-O$26)))^(1/(N$26-L$26)))</f>
        <v>0</v>
      </c>
      <c r="O66" s="578">
        <f ca="1">CLA!K7/N$17</f>
        <v>7.8973346495557761E-3</v>
      </c>
      <c r="Q66" s="582">
        <v>7.4999999999999997E-2</v>
      </c>
      <c r="R66" s="295"/>
      <c r="S66" s="293"/>
      <c r="T66" s="295">
        <v>0.02</v>
      </c>
      <c r="U66" s="293" t="s">
        <v>806</v>
      </c>
    </row>
    <row r="67" spans="2:21">
      <c r="B67" s="318" t="s">
        <v>773</v>
      </c>
      <c r="C67" s="318"/>
      <c r="D67" s="318"/>
      <c r="E67" s="318"/>
      <c r="F67" s="328"/>
      <c r="G67" s="318"/>
      <c r="H67" s="318"/>
      <c r="I67" s="318"/>
      <c r="J67" s="318"/>
      <c r="K67" s="318"/>
      <c r="L67" s="318"/>
      <c r="M67" s="318"/>
      <c r="N67" s="318"/>
      <c r="O67" s="326"/>
      <c r="Q67" s="326"/>
      <c r="R67" s="318"/>
      <c r="S67" s="318"/>
      <c r="T67" s="318"/>
      <c r="U67" s="318"/>
    </row>
    <row r="68" spans="2:21">
      <c r="B68" s="293" t="s">
        <v>486</v>
      </c>
      <c r="C68" s="293" t="s">
        <v>71</v>
      </c>
      <c r="D68" s="293"/>
      <c r="E68" s="293" t="s">
        <v>766</v>
      </c>
      <c r="F68" s="314">
        <v>1</v>
      </c>
      <c r="G68" s="577"/>
      <c r="H68" s="528"/>
      <c r="I68" s="577">
        <f ca="1">MAX(0.005*($Q68&gt;0),IF(O68&gt;0,MAX(0.001,$T68/(1+($T68/O68-1)*(1+$Q68)^(O$26-I$26)))),$T68-($T68-O68)*(1-$R68)^(I$26-O$26),MIN($T68,O68+$S68*(I$26-O$26)*($T68-O68)/$T68))</f>
        <v>7.8846000134949454E-2</v>
      </c>
      <c r="J68" s="577">
        <f t="shared" ref="J68:N69" ca="1" si="20">MAX(0.005*($Q68&gt;0),IF(I68&gt;0,MAX(0.001,$T68/(1+($T68/I68-1)*(1+$Q68)^(I$26-J$26)))),$T68-($T68-I68)*(1-$R68)^(J$26-I$26),MIN($T68,I68+$S68*(J$26-I$26)*($T68-I68)/$T68))</f>
        <v>7.2206964447700542E-2</v>
      </c>
      <c r="K68" s="577">
        <f t="shared" ca="1" si="20"/>
        <v>6.6056745671351474E-2</v>
      </c>
      <c r="L68" s="577">
        <f t="shared" ca="1" si="20"/>
        <v>6.0370994360641403E-2</v>
      </c>
      <c r="M68" s="577">
        <f t="shared" ca="1" si="20"/>
        <v>5.0291950046528297E-2</v>
      </c>
      <c r="N68" s="577">
        <f t="shared" ca="1" si="20"/>
        <v>3.8023975753623533E-2</v>
      </c>
      <c r="O68" s="578">
        <f ca="1">SUM(O6,O7,O9,O11)/O$17</f>
        <v>8.0936519242770857E-2</v>
      </c>
      <c r="Q68" s="582">
        <v>-0.01</v>
      </c>
      <c r="R68" s="295">
        <v>-1</v>
      </c>
      <c r="S68" s="295">
        <v>-1</v>
      </c>
      <c r="T68" s="584">
        <f ca="1">MIN(MAX(0.8,O68+0.01),MAX(O68^IF(R68,0.2,0.2),0.1))</f>
        <v>0.60482384482598495</v>
      </c>
      <c r="U68" s="293" t="s">
        <v>791</v>
      </c>
    </row>
    <row r="69" spans="2:21">
      <c r="B69" s="293" t="s">
        <v>567</v>
      </c>
      <c r="C69" s="293" t="s">
        <v>71</v>
      </c>
      <c r="D69" s="293"/>
      <c r="E69" s="293" t="s">
        <v>766</v>
      </c>
      <c r="F69" s="314">
        <v>1</v>
      </c>
      <c r="G69" s="577"/>
      <c r="H69" s="293"/>
      <c r="I69" s="577">
        <f ca="1">MAX(0.005*($Q69&gt;0),IF(O69&gt;0,MAX(0.001,$T69/(1+($T69/O69-1)*(1+$Q69)^(O$26-I$26)))),$T69-($T69-O69)*(1-$R69)^(I$26-O$26),MIN($T69,O69+$S69*(I$26-O$26)*($T69-O69)/$T69))</f>
        <v>0</v>
      </c>
      <c r="J69" s="577">
        <f t="shared" ca="1" si="20"/>
        <v>0</v>
      </c>
      <c r="K69" s="577">
        <f t="shared" ca="1" si="20"/>
        <v>0</v>
      </c>
      <c r="L69" s="577">
        <f t="shared" ca="1" si="20"/>
        <v>0</v>
      </c>
      <c r="M69" s="577">
        <f t="shared" ca="1" si="20"/>
        <v>0</v>
      </c>
      <c r="N69" s="577">
        <f t="shared" ca="1" si="20"/>
        <v>0</v>
      </c>
      <c r="O69" s="578">
        <f ca="1">O16/O$17</f>
        <v>0</v>
      </c>
      <c r="Q69" s="555">
        <v>0</v>
      </c>
      <c r="R69" s="531">
        <v>0</v>
      </c>
      <c r="S69" s="295"/>
      <c r="T69" s="332">
        <f ca="1">MIN(MAX(0.8,O69+0.01),MAX(O69^IF(R69,0.2,0.25),0.1))</f>
        <v>0.1</v>
      </c>
      <c r="U69" s="293" t="s">
        <v>790</v>
      </c>
    </row>
    <row r="70" spans="2:21">
      <c r="B70" s="318" t="s">
        <v>928</v>
      </c>
      <c r="C70" s="318"/>
      <c r="D70" s="318"/>
      <c r="E70" s="318"/>
      <c r="F70" s="328"/>
      <c r="G70" s="318"/>
      <c r="H70" s="318"/>
      <c r="I70" s="318"/>
      <c r="J70" s="318"/>
      <c r="K70" s="318"/>
      <c r="L70" s="318"/>
      <c r="M70" s="318"/>
      <c r="N70" s="318"/>
      <c r="O70" s="326"/>
      <c r="Q70" s="326"/>
      <c r="R70" s="318"/>
      <c r="S70" s="318"/>
      <c r="T70" s="318"/>
      <c r="U70" s="318"/>
    </row>
    <row r="71" spans="2:21">
      <c r="B71" s="293" t="str">
        <f ca="1">COT!$B$11</f>
        <v>COTELC000</v>
      </c>
      <c r="C71" s="293" t="s">
        <v>215</v>
      </c>
      <c r="D71" s="293"/>
      <c r="E71" s="293" t="s">
        <v>767</v>
      </c>
      <c r="F71" s="314">
        <f ca="1">IF(G71&gt;0,BaseYear,"")</f>
        <v>2010</v>
      </c>
      <c r="G71" s="577">
        <f ca="1">MAX(0,O71-0.001)</f>
        <v>0.98288548421903454</v>
      </c>
      <c r="H71" s="528">
        <v>0</v>
      </c>
      <c r="I71" s="577">
        <f>-Q71</f>
        <v>0</v>
      </c>
      <c r="J71" s="577"/>
      <c r="K71" s="577"/>
      <c r="L71" s="577">
        <f>-Q71</f>
        <v>0</v>
      </c>
      <c r="M71" s="577"/>
      <c r="N71" s="577">
        <f>-T71</f>
        <v>0</v>
      </c>
      <c r="O71" s="578">
        <f ca="1">IF(Q13&gt;0,Q13/Q$17)</f>
        <v>0.98388548421903455</v>
      </c>
      <c r="Q71" s="582">
        <v>0</v>
      </c>
      <c r="R71" s="295"/>
      <c r="S71" s="293"/>
      <c r="T71" s="295">
        <v>0</v>
      </c>
      <c r="U71" s="293" t="s">
        <v>777</v>
      </c>
    </row>
    <row r="72" spans="2:21">
      <c r="B72" s="318" t="s">
        <v>813</v>
      </c>
      <c r="C72" s="318"/>
      <c r="D72" s="318"/>
      <c r="E72" s="318"/>
      <c r="F72" s="328"/>
      <c r="G72" s="318"/>
      <c r="H72" s="318"/>
      <c r="I72" s="318"/>
      <c r="J72" s="318"/>
      <c r="K72" s="318"/>
      <c r="L72" s="318"/>
      <c r="M72" s="318"/>
      <c r="N72" s="318"/>
      <c r="O72" s="326"/>
      <c r="Q72" s="326"/>
      <c r="R72" s="318"/>
      <c r="S72" s="318"/>
      <c r="T72" s="318"/>
      <c r="U72" s="318"/>
    </row>
    <row r="73" spans="2:21">
      <c r="B73" s="293" t="s">
        <v>816</v>
      </c>
      <c r="C73" s="293" t="s">
        <v>808</v>
      </c>
      <c r="D73" s="293"/>
      <c r="E73" s="293" t="s">
        <v>767</v>
      </c>
      <c r="F73" s="314">
        <f ca="1">IF(G73&gt;0,BaseYear,"")</f>
        <v>2010</v>
      </c>
      <c r="G73" s="577">
        <f ca="1">MAX(0,O73-0.001)</f>
        <v>0.27668898348006926</v>
      </c>
      <c r="H73" s="528">
        <v>0</v>
      </c>
      <c r="I73" s="577">
        <f>-Q73</f>
        <v>0</v>
      </c>
      <c r="J73" s="577"/>
      <c r="K73" s="577"/>
      <c r="L73" s="577">
        <f>-Q73</f>
        <v>0</v>
      </c>
      <c r="M73" s="577"/>
      <c r="N73" s="577">
        <f>-T73</f>
        <v>0</v>
      </c>
      <c r="O73" s="578">
        <f ca="1">IF(U13&gt;0,U13/U$17)</f>
        <v>0.27768898348006926</v>
      </c>
      <c r="Q73" s="582">
        <v>0</v>
      </c>
      <c r="R73" s="295"/>
      <c r="S73" s="293"/>
      <c r="T73" s="584">
        <v>0</v>
      </c>
      <c r="U73" s="293" t="s">
        <v>777</v>
      </c>
    </row>
    <row r="74" spans="2:21">
      <c r="B74" s="293" t="s">
        <v>817</v>
      </c>
      <c r="C74" s="293" t="s">
        <v>808</v>
      </c>
      <c r="D74" s="293"/>
      <c r="E74" s="293" t="s">
        <v>766</v>
      </c>
      <c r="F74" s="314">
        <v>1</v>
      </c>
      <c r="G74" s="577"/>
      <c r="H74" s="528"/>
      <c r="I74" s="577">
        <f ca="1">MAX(0.005,$T74-($T74-O74)*(1-$Q74)^(I$26-H$26))</f>
        <v>2.366935262670003E-2</v>
      </c>
      <c r="J74" s="577">
        <f t="shared" ref="J74:N76" ca="1" si="21">$T74-($T74-I74)*(1-$Q74)^(J$26-I$26)</f>
        <v>3.7549328102040841E-2</v>
      </c>
      <c r="K74" s="577">
        <f t="shared" ca="1" si="21"/>
        <v>5.0618634590678058E-2</v>
      </c>
      <c r="L74" s="577">
        <f t="shared" ca="1" si="21"/>
        <v>6.2924619741544507E-2</v>
      </c>
      <c r="M74" s="577">
        <f t="shared" ca="1" si="21"/>
        <v>8.5422351287930465E-2</v>
      </c>
      <c r="N74" s="577">
        <f t="shared" ca="1" si="21"/>
        <v>0.11447710221294083</v>
      </c>
      <c r="O74" s="578">
        <f ca="1">U6/U$17</f>
        <v>1.2185399470922768E-3</v>
      </c>
      <c r="Q74" s="582">
        <v>6.0000000000000001E-3</v>
      </c>
      <c r="R74" s="295">
        <v>1</v>
      </c>
      <c r="S74" s="293"/>
      <c r="T74" s="584">
        <f ca="1">MIN(MAX(0.8,O74+0.01),MAX(O74^IF(R74,0.2,0.2),0.1))</f>
        <v>0.26131717480310468</v>
      </c>
      <c r="U74" s="293" t="s">
        <v>814</v>
      </c>
    </row>
    <row r="75" spans="2:21">
      <c r="B75" s="293" t="s">
        <v>818</v>
      </c>
      <c r="C75" s="293" t="s">
        <v>808</v>
      </c>
      <c r="D75" s="293"/>
      <c r="E75" s="293" t="s">
        <v>766</v>
      </c>
      <c r="F75" s="314">
        <v>1</v>
      </c>
      <c r="G75" s="577"/>
      <c r="H75" s="293"/>
      <c r="I75" s="577">
        <f ca="1">MAX(0.005,$T75-($T75-O75)*(1-$Q75)^(I$26-H$26))</f>
        <v>6.6815270564150431E-2</v>
      </c>
      <c r="J75" s="577">
        <f t="shared" ca="1" si="21"/>
        <v>8.2772538843317922E-2</v>
      </c>
      <c r="K75" s="577">
        <f t="shared" ca="1" si="21"/>
        <v>9.8180017577465695E-2</v>
      </c>
      <c r="L75" s="577">
        <f t="shared" ca="1" si="21"/>
        <v>0.11305664914059688</v>
      </c>
      <c r="M75" s="577">
        <f t="shared" ca="1" si="21"/>
        <v>0.14128989954586929</v>
      </c>
      <c r="N75" s="577">
        <f t="shared" ca="1" si="21"/>
        <v>0.18009563555384561</v>
      </c>
      <c r="O75" s="578">
        <f ca="1">U14/U$17</f>
        <v>4.1805406975035743E-2</v>
      </c>
      <c r="Q75" s="580">
        <v>3.5000000000000001E-3</v>
      </c>
      <c r="R75" s="295">
        <v>1</v>
      </c>
      <c r="S75" s="293"/>
      <c r="T75" s="584">
        <f ca="1">MIN(MAX(0.8,O75+0.01),MAX(O75^IF(R75,0.2,0.2),0.1))</f>
        <v>0.52996414860289343</v>
      </c>
      <c r="U75" s="293" t="s">
        <v>784</v>
      </c>
    </row>
    <row r="76" spans="2:21">
      <c r="B76" s="293" t="s">
        <v>819</v>
      </c>
      <c r="C76" s="293" t="s">
        <v>808</v>
      </c>
      <c r="D76" s="293"/>
      <c r="E76" s="293" t="s">
        <v>766</v>
      </c>
      <c r="F76" s="314">
        <v>1</v>
      </c>
      <c r="G76" s="577"/>
      <c r="H76" s="293"/>
      <c r="I76" s="577">
        <f ca="1">MAX(0.005,$T76-($T76-O76)*(1-$Q76)^(I$26-H$26))</f>
        <v>0.51073229077110183</v>
      </c>
      <c r="J76" s="577">
        <f t="shared" ca="1" si="21"/>
        <v>0.5383914688945256</v>
      </c>
      <c r="K76" s="577">
        <f t="shared" ca="1" si="21"/>
        <v>0.56340593379882575</v>
      </c>
      <c r="L76" s="577">
        <f t="shared" ca="1" si="21"/>
        <v>0.58602856747421161</v>
      </c>
      <c r="M76" s="577">
        <f t="shared" ca="1" si="21"/>
        <v>0.62499128088953992</v>
      </c>
      <c r="N76" s="577">
        <f t="shared" ca="1" si="21"/>
        <v>0.67054598512778807</v>
      </c>
      <c r="O76" s="578">
        <f ca="1">SUM(U10,U12)/U$17</f>
        <v>0.46366502032348095</v>
      </c>
      <c r="Q76" s="582">
        <v>0.01</v>
      </c>
      <c r="R76" s="295">
        <v>1</v>
      </c>
      <c r="S76" s="293"/>
      <c r="T76" s="531">
        <f ca="1">MIN(MAX(0.8,O76*1.05+0.01),MAX(O76^IF(R76,0.25,0.25),0.1))</f>
        <v>0.8</v>
      </c>
      <c r="U76" s="293" t="s">
        <v>789</v>
      </c>
    </row>
    <row r="77" spans="2:21">
      <c r="B77" s="293" t="s">
        <v>820</v>
      </c>
      <c r="C77" s="293" t="s">
        <v>808</v>
      </c>
      <c r="D77" s="293"/>
      <c r="E77" s="293" t="s">
        <v>767</v>
      </c>
      <c r="F77" s="314">
        <f ca="1">IF(G77&gt;0,BaseYear,"")</f>
        <v>2010</v>
      </c>
      <c r="G77" s="577">
        <f ca="1">MAX(0,O77-0.001)</f>
        <v>0.21584058922141414</v>
      </c>
      <c r="H77" s="293"/>
      <c r="I77" s="577">
        <f>-Q77</f>
        <v>-3.4099999999999998E-2</v>
      </c>
      <c r="J77" s="577"/>
      <c r="K77" s="577"/>
      <c r="L77" s="577">
        <f>-Q77</f>
        <v>-3.4099999999999998E-2</v>
      </c>
      <c r="M77" s="577"/>
      <c r="N77" s="577">
        <f>-T77</f>
        <v>-0.03</v>
      </c>
      <c r="O77" s="578">
        <f ca="1">SUM(U6:U9,U11)/$U$17</f>
        <v>0.21684058922141414</v>
      </c>
      <c r="Q77" s="582">
        <v>3.4099999999999998E-2</v>
      </c>
      <c r="R77" s="295"/>
      <c r="S77" s="293"/>
      <c r="T77" s="295">
        <v>0.03</v>
      </c>
      <c r="U77" s="293" t="s">
        <v>959</v>
      </c>
    </row>
    <row r="78" spans="2:21">
      <c r="B78" s="318" t="s">
        <v>1097</v>
      </c>
      <c r="C78" s="318"/>
      <c r="D78" s="318"/>
      <c r="E78" s="318"/>
      <c r="F78" s="328"/>
      <c r="G78" s="318"/>
      <c r="H78" s="318"/>
      <c r="I78" s="318"/>
      <c r="J78" s="318"/>
      <c r="K78" s="318"/>
      <c r="L78" s="318"/>
      <c r="M78" s="318"/>
      <c r="N78" s="318"/>
      <c r="O78" s="326"/>
      <c r="Q78" s="326"/>
      <c r="R78" s="318"/>
      <c r="S78" s="318"/>
      <c r="T78" s="318"/>
      <c r="U78" s="318"/>
    </row>
    <row r="79" spans="2:21">
      <c r="B79" s="293" t="s">
        <v>913</v>
      </c>
      <c r="C79" s="293" t="s">
        <v>1128</v>
      </c>
      <c r="D79" s="293"/>
      <c r="E79" s="293" t="s">
        <v>767</v>
      </c>
      <c r="F79" s="314">
        <v>5</v>
      </c>
      <c r="G79" s="293">
        <v>0.2</v>
      </c>
      <c r="H79" s="293"/>
      <c r="I79" s="293"/>
      <c r="J79" s="293"/>
      <c r="K79" s="293"/>
      <c r="L79" s="293">
        <f>G79*0.95</f>
        <v>0.19</v>
      </c>
      <c r="M79" s="293"/>
      <c r="N79" s="293"/>
      <c r="O79" s="582"/>
      <c r="Q79" s="588"/>
      <c r="R79" s="589"/>
      <c r="S79" s="589"/>
      <c r="T79" s="589"/>
      <c r="U79" s="589" t="s">
        <v>1098</v>
      </c>
    </row>
    <row r="80" spans="2:21">
      <c r="B80" s="293" t="s">
        <v>914</v>
      </c>
      <c r="C80" s="293" t="s">
        <v>1129</v>
      </c>
      <c r="D80" s="293"/>
      <c r="E80" s="293" t="s">
        <v>767</v>
      </c>
      <c r="F80" s="314">
        <v>5</v>
      </c>
      <c r="G80" s="293">
        <v>0.2</v>
      </c>
      <c r="H80" s="293"/>
      <c r="I80" s="293"/>
      <c r="J80" s="293"/>
      <c r="K80" s="293"/>
      <c r="L80" s="293">
        <f>G80*0.95</f>
        <v>0.19</v>
      </c>
      <c r="M80" s="293"/>
      <c r="N80" s="293"/>
      <c r="O80" s="582"/>
      <c r="Q80" s="582"/>
      <c r="R80" s="528"/>
      <c r="S80" s="528"/>
      <c r="T80" s="528"/>
      <c r="U80" s="528" t="s">
        <v>1098</v>
      </c>
    </row>
    <row r="81" spans="2:21">
      <c r="B81" s="293" t="s">
        <v>1114</v>
      </c>
      <c r="C81" s="293" t="s">
        <v>1130</v>
      </c>
      <c r="D81" s="293"/>
      <c r="E81" s="293" t="s">
        <v>767</v>
      </c>
      <c r="F81" s="314">
        <v>5</v>
      </c>
      <c r="G81" s="293">
        <v>0.2</v>
      </c>
      <c r="H81" s="293"/>
      <c r="I81" s="293"/>
      <c r="J81" s="293"/>
      <c r="K81" s="293"/>
      <c r="L81" s="293">
        <f>G81*0.95</f>
        <v>0.19</v>
      </c>
      <c r="M81" s="293"/>
      <c r="N81" s="293"/>
      <c r="O81" s="582"/>
      <c r="Q81" s="582"/>
      <c r="R81" s="528"/>
      <c r="S81" s="528"/>
      <c r="T81" s="528"/>
      <c r="U81" s="528" t="s">
        <v>1098</v>
      </c>
    </row>
  </sheetData>
  <phoneticPr fontId="35" type="noConversion"/>
  <pageMargins left="0.75" right="0.75" top="1" bottom="1" header="0.5" footer="0.5"/>
  <headerFooter alignWithMargins="0"/>
  <legacyDrawing r:id="rId1"/>
</worksheet>
</file>

<file path=xl/worksheets/sheet27.xml><?xml version="1.0" encoding="utf-8"?>
<worksheet xmlns="http://schemas.openxmlformats.org/spreadsheetml/2006/main" xmlns:r="http://schemas.openxmlformats.org/officeDocument/2006/relationships">
  <sheetPr codeName="Sheet3">
    <pageSetUpPr fitToPage="1"/>
  </sheetPr>
  <dimension ref="A1:BN244"/>
  <sheetViews>
    <sheetView showZeros="0" topLeftCell="A160" zoomScale="75" workbookViewId="0">
      <selection activeCell="B190" sqref="B190:C212"/>
    </sheetView>
  </sheetViews>
  <sheetFormatPr defaultColWidth="11.42578125" defaultRowHeight="12.75"/>
  <cols>
    <col min="1" max="1" width="17.85546875" customWidth="1"/>
    <col min="2" max="7" width="8.7109375" customWidth="1"/>
    <col min="8" max="8" width="13.28515625" customWidth="1"/>
    <col min="9" max="9" width="8.7109375" customWidth="1"/>
    <col min="10" max="10" width="10" customWidth="1"/>
    <col min="11" max="14" width="9.140625" customWidth="1"/>
    <col min="15" max="15" width="11" customWidth="1"/>
    <col min="16" max="16" width="9.85546875" customWidth="1"/>
  </cols>
  <sheetData>
    <row r="1" spans="1:22" ht="15.75">
      <c r="A1" s="194" t="s">
        <v>395</v>
      </c>
      <c r="B1" s="195"/>
      <c r="C1" s="195"/>
      <c r="D1" s="195"/>
      <c r="E1" s="204" t="s">
        <v>370</v>
      </c>
      <c r="F1" s="59" t="s">
        <v>115</v>
      </c>
      <c r="G1" s="195"/>
      <c r="H1" s="204" t="s">
        <v>373</v>
      </c>
      <c r="I1" s="59" t="s">
        <v>380</v>
      </c>
      <c r="J1" s="195"/>
      <c r="K1" s="195"/>
      <c r="L1" s="49" t="s">
        <v>396</v>
      </c>
      <c r="M1" s="49"/>
      <c r="N1" s="195"/>
      <c r="O1" s="195"/>
      <c r="P1" s="297" t="s">
        <v>714</v>
      </c>
      <c r="Q1" s="297" t="str">
        <f ca="1">MID(CELL("filename",P1),FIND("VT_",CELL("filename",P1))+3,3)</f>
        <v>FI_</v>
      </c>
      <c r="R1" s="297" t="s">
        <v>715</v>
      </c>
      <c r="S1" s="298">
        <v>1.0000000000000001E-9</v>
      </c>
    </row>
    <row r="2" spans="1:22">
      <c r="A2" s="195"/>
      <c r="B2" s="195"/>
      <c r="C2" s="195"/>
      <c r="D2" s="195"/>
      <c r="E2" s="204" t="s">
        <v>371</v>
      </c>
      <c r="F2" s="18">
        <v>2010</v>
      </c>
      <c r="G2" s="195"/>
      <c r="H2" s="204" t="s">
        <v>425</v>
      </c>
      <c r="I2" s="59">
        <v>1</v>
      </c>
      <c r="J2" s="195"/>
      <c r="K2" s="195"/>
      <c r="L2" s="50" t="s">
        <v>397</v>
      </c>
      <c r="M2" s="50"/>
      <c r="N2" s="195"/>
      <c r="O2" s="195"/>
      <c r="P2" s="303" t="s">
        <v>719</v>
      </c>
      <c r="Q2" s="297">
        <f ca="1">MATCH("RH1",OFFSET(CalibData2!$C$3,1,0,200),0)-3</f>
        <v>73</v>
      </c>
    </row>
    <row r="3" spans="1:22">
      <c r="A3" s="195"/>
      <c r="B3" s="195"/>
      <c r="C3" s="195"/>
      <c r="D3" s="195"/>
      <c r="E3" s="204" t="s">
        <v>372</v>
      </c>
      <c r="F3" s="18">
        <v>4.1868000000000002E-2</v>
      </c>
      <c r="G3" s="195"/>
      <c r="H3" s="204" t="s">
        <v>424</v>
      </c>
      <c r="I3" s="59">
        <v>1</v>
      </c>
      <c r="J3" s="195"/>
      <c r="K3" s="195"/>
      <c r="L3" s="51" t="s">
        <v>398</v>
      </c>
      <c r="M3" s="51"/>
      <c r="N3" s="195"/>
      <c r="O3" s="195"/>
      <c r="P3" s="195"/>
    </row>
    <row r="4" spans="1:22">
      <c r="A4" s="195"/>
      <c r="B4" s="195"/>
      <c r="C4" s="195"/>
      <c r="D4" s="195"/>
      <c r="E4" s="195"/>
      <c r="F4" s="195"/>
      <c r="G4" s="195"/>
      <c r="H4" s="204" t="s">
        <v>48</v>
      </c>
      <c r="I4" s="18">
        <v>1</v>
      </c>
      <c r="J4" s="195"/>
      <c r="K4" s="195"/>
      <c r="L4" s="263" t="s">
        <v>399</v>
      </c>
      <c r="M4" s="263"/>
      <c r="N4" s="195"/>
      <c r="O4" s="195"/>
      <c r="P4" s="195"/>
    </row>
    <row r="5" spans="1:22">
      <c r="A5" s="203"/>
      <c r="B5" s="195"/>
      <c r="C5" s="195"/>
      <c r="D5" s="195"/>
      <c r="E5" s="195"/>
      <c r="F5" s="195"/>
      <c r="G5" s="206"/>
      <c r="H5" s="195"/>
      <c r="I5" s="195"/>
      <c r="J5" s="195"/>
      <c r="K5" s="195"/>
      <c r="L5" s="12" t="s">
        <v>400</v>
      </c>
      <c r="M5" s="12"/>
      <c r="N5" s="195"/>
      <c r="O5" s="195"/>
      <c r="P5" s="195"/>
    </row>
    <row r="6" spans="1:22" ht="15.75">
      <c r="A6" s="194" t="s">
        <v>518</v>
      </c>
      <c r="B6" s="195"/>
      <c r="C6" s="195"/>
      <c r="D6" s="195"/>
      <c r="E6" s="195"/>
      <c r="F6" s="195"/>
      <c r="G6" s="206"/>
      <c r="H6" s="195"/>
      <c r="I6" s="195"/>
      <c r="J6" s="195"/>
      <c r="K6" s="195"/>
      <c r="L6" s="48" t="s">
        <v>401</v>
      </c>
      <c r="M6" s="48"/>
      <c r="N6" s="195"/>
      <c r="O6" s="195"/>
      <c r="P6" s="195"/>
    </row>
    <row r="7" spans="1:22" ht="18">
      <c r="A7" s="204"/>
      <c r="B7" s="131" t="s">
        <v>231</v>
      </c>
      <c r="C7" s="98"/>
      <c r="D7" s="136"/>
      <c r="E7" s="195" t="s">
        <v>250</v>
      </c>
      <c r="F7" s="195"/>
      <c r="H7" s="195"/>
      <c r="I7" s="195"/>
      <c r="J7" s="195"/>
      <c r="K7" s="195"/>
      <c r="L7" s="264" t="s">
        <v>402</v>
      </c>
      <c r="M7" s="264"/>
      <c r="N7" s="195"/>
      <c r="O7" s="195"/>
      <c r="P7" s="195"/>
    </row>
    <row r="8" spans="1:22" ht="18">
      <c r="A8" s="196" t="s">
        <v>374</v>
      </c>
      <c r="B8" s="200" t="s">
        <v>368</v>
      </c>
      <c r="C8" s="196"/>
      <c r="D8" s="196"/>
      <c r="F8" s="201" t="s">
        <v>232</v>
      </c>
      <c r="G8" s="131"/>
      <c r="H8" s="131"/>
      <c r="I8" s="288" t="s">
        <v>377</v>
      </c>
      <c r="J8" s="195"/>
      <c r="K8" s="195"/>
      <c r="L8" s="195"/>
      <c r="M8" s="195"/>
      <c r="N8" s="195"/>
      <c r="O8" s="195"/>
      <c r="P8" s="195"/>
    </row>
    <row r="9" spans="1:22">
      <c r="A9" s="195" t="s">
        <v>403</v>
      </c>
      <c r="B9" s="47">
        <v>0.54720000000000002</v>
      </c>
      <c r="C9" s="202">
        <v>0.54720000000000002</v>
      </c>
      <c r="D9" s="75" t="s">
        <v>436</v>
      </c>
      <c r="E9" s="195"/>
      <c r="F9" s="43" t="s">
        <v>244</v>
      </c>
      <c r="G9" s="44">
        <f>B9+B10+B11+B24</f>
        <v>0.54720000000000002</v>
      </c>
      <c r="H9" s="76" t="s">
        <v>415</v>
      </c>
      <c r="I9" s="202">
        <f>G9+G190</f>
        <v>0.60120000000000007</v>
      </c>
      <c r="J9" s="195"/>
      <c r="K9" s="195"/>
      <c r="L9" s="195"/>
      <c r="M9" s="195"/>
      <c r="N9" s="195"/>
      <c r="O9" s="195"/>
      <c r="P9" s="195"/>
    </row>
    <row r="10" spans="1:22">
      <c r="A10" s="205" t="s">
        <v>182</v>
      </c>
      <c r="B10" s="47">
        <v>0</v>
      </c>
      <c r="C10" s="202">
        <v>0</v>
      </c>
      <c r="D10" s="75" t="s">
        <v>440</v>
      </c>
      <c r="E10" s="195"/>
      <c r="F10" s="43" t="s">
        <v>413</v>
      </c>
      <c r="G10" s="44">
        <f>B12+B15+B16+B23</f>
        <v>1.770170057259391</v>
      </c>
      <c r="H10" s="76" t="s">
        <v>416</v>
      </c>
      <c r="I10" s="202">
        <f>G10+G191</f>
        <v>1.8241700572593911</v>
      </c>
      <c r="J10" s="195"/>
      <c r="K10" s="195"/>
      <c r="L10" s="195"/>
      <c r="M10" s="195"/>
      <c r="N10" s="195"/>
      <c r="O10" s="195"/>
      <c r="P10" s="195"/>
    </row>
    <row r="11" spans="1:22">
      <c r="A11" s="205" t="s">
        <v>183</v>
      </c>
      <c r="B11" s="47">
        <v>0</v>
      </c>
      <c r="C11" s="202">
        <v>0</v>
      </c>
      <c r="D11" s="75" t="s">
        <v>441</v>
      </c>
      <c r="E11" s="195"/>
      <c r="F11" s="43" t="s">
        <v>574</v>
      </c>
      <c r="G11" s="44">
        <f>B13</f>
        <v>0</v>
      </c>
      <c r="H11" s="76" t="s">
        <v>575</v>
      </c>
      <c r="I11" s="202">
        <f t="shared" ref="I11:I19" si="0">G11+G193</f>
        <v>0</v>
      </c>
      <c r="J11" s="195"/>
      <c r="K11" s="195"/>
      <c r="L11" s="195"/>
      <c r="M11" s="195"/>
      <c r="N11" s="195"/>
      <c r="O11" s="195"/>
      <c r="P11" s="195"/>
    </row>
    <row r="12" spans="1:22">
      <c r="A12" s="195" t="s">
        <v>411</v>
      </c>
      <c r="B12" s="47">
        <v>1.770170057259391</v>
      </c>
      <c r="C12" s="202">
        <v>1.770170057259391</v>
      </c>
      <c r="D12" s="75" t="s">
        <v>221</v>
      </c>
      <c r="E12" s="195"/>
      <c r="F12" s="43" t="s">
        <v>576</v>
      </c>
      <c r="G12" s="44">
        <f>B14</f>
        <v>0</v>
      </c>
      <c r="H12" s="76" t="s">
        <v>577</v>
      </c>
      <c r="I12" s="202">
        <f t="shared" si="0"/>
        <v>0</v>
      </c>
      <c r="J12" s="195"/>
      <c r="K12" s="195"/>
      <c r="L12" s="195"/>
      <c r="M12" s="195"/>
      <c r="N12" s="195"/>
      <c r="O12" s="195"/>
      <c r="P12" s="195"/>
    </row>
    <row r="13" spans="1:22">
      <c r="A13" s="195" t="s">
        <v>410</v>
      </c>
      <c r="B13" s="47">
        <v>0</v>
      </c>
      <c r="C13" s="202">
        <v>0</v>
      </c>
      <c r="D13" s="75" t="s">
        <v>217</v>
      </c>
      <c r="E13" s="195"/>
      <c r="F13" s="43" t="s">
        <v>1015</v>
      </c>
      <c r="G13" s="44">
        <f>B17+B18+B19</f>
        <v>0</v>
      </c>
      <c r="H13" s="76" t="s">
        <v>1016</v>
      </c>
      <c r="I13" s="202">
        <f t="shared" si="0"/>
        <v>0</v>
      </c>
      <c r="J13" s="195"/>
      <c r="K13" s="195"/>
      <c r="L13" s="197"/>
      <c r="M13" s="197"/>
      <c r="N13" s="197"/>
      <c r="O13" s="202"/>
      <c r="P13" s="197"/>
    </row>
    <row r="14" spans="1:22">
      <c r="A14" s="195" t="s">
        <v>409</v>
      </c>
      <c r="B14" s="47">
        <v>0</v>
      </c>
      <c r="C14" s="202">
        <v>0</v>
      </c>
      <c r="D14" s="75" t="s">
        <v>219</v>
      </c>
      <c r="E14" s="195"/>
      <c r="F14" s="43" t="s">
        <v>405</v>
      </c>
      <c r="G14" s="44">
        <f>B20</f>
        <v>0</v>
      </c>
      <c r="H14" s="76" t="s">
        <v>418</v>
      </c>
      <c r="I14" s="202">
        <f t="shared" si="0"/>
        <v>0</v>
      </c>
      <c r="J14" s="195"/>
      <c r="K14" s="195"/>
      <c r="L14" s="195"/>
      <c r="M14" s="195"/>
      <c r="N14" s="199"/>
      <c r="O14" s="223"/>
      <c r="P14" s="223"/>
      <c r="Q14" s="102"/>
      <c r="V14" s="171"/>
    </row>
    <row r="15" spans="1:22">
      <c r="A15" s="195" t="s">
        <v>426</v>
      </c>
      <c r="B15" s="47">
        <v>0</v>
      </c>
      <c r="C15" s="195">
        <v>0</v>
      </c>
      <c r="D15" s="76" t="s">
        <v>220</v>
      </c>
      <c r="E15" s="195"/>
      <c r="F15" s="43" t="s">
        <v>588</v>
      </c>
      <c r="G15" s="44">
        <f>B21+B22+B25+B26</f>
        <v>0.10544178805070265</v>
      </c>
      <c r="H15" s="76" t="s">
        <v>419</v>
      </c>
      <c r="I15" s="202">
        <f t="shared" si="0"/>
        <v>0.13784178805070263</v>
      </c>
      <c r="J15" s="195"/>
      <c r="K15" s="195"/>
      <c r="L15" s="195"/>
      <c r="M15" s="195"/>
      <c r="N15" s="195"/>
      <c r="O15" s="195"/>
      <c r="P15" s="195"/>
      <c r="Q15" s="102"/>
      <c r="V15" s="171"/>
    </row>
    <row r="16" spans="1:22">
      <c r="A16" s="205" t="s">
        <v>184</v>
      </c>
      <c r="B16" s="47">
        <v>0</v>
      </c>
      <c r="C16" s="195">
        <v>0</v>
      </c>
      <c r="D16" s="75" t="s">
        <v>647</v>
      </c>
      <c r="E16" s="195"/>
      <c r="F16" s="43" t="s">
        <v>247</v>
      </c>
      <c r="G16" s="44">
        <f>B27</f>
        <v>11.381102395718587</v>
      </c>
      <c r="H16" s="76" t="s">
        <v>420</v>
      </c>
      <c r="I16" s="202">
        <f t="shared" si="0"/>
        <v>11.454153595718587</v>
      </c>
      <c r="J16" s="195"/>
      <c r="K16" s="195"/>
      <c r="L16" s="195"/>
      <c r="M16" s="195"/>
      <c r="N16" s="195"/>
      <c r="O16" s="195"/>
      <c r="P16" s="195"/>
      <c r="Q16" s="102"/>
    </row>
    <row r="17" spans="1:45">
      <c r="A17" s="205" t="s">
        <v>375</v>
      </c>
      <c r="B17" s="47">
        <v>0</v>
      </c>
      <c r="C17" s="202">
        <v>0</v>
      </c>
      <c r="D17" s="75" t="s">
        <v>437</v>
      </c>
      <c r="E17" s="195"/>
      <c r="F17" s="43" t="s">
        <v>414</v>
      </c>
      <c r="G17" s="44">
        <f>B28</f>
        <v>24.263639999999999</v>
      </c>
      <c r="H17" s="76" t="s">
        <v>421</v>
      </c>
      <c r="I17" s="202">
        <f t="shared" si="0"/>
        <v>24.29964</v>
      </c>
      <c r="J17" s="195"/>
      <c r="K17" s="195"/>
      <c r="L17" s="195"/>
      <c r="M17" s="195"/>
      <c r="N17" s="195"/>
      <c r="O17" s="195"/>
      <c r="P17" s="195"/>
      <c r="Q17" s="102"/>
    </row>
    <row r="18" spans="1:45">
      <c r="A18" s="287" t="s">
        <v>376</v>
      </c>
      <c r="B18" s="47">
        <v>0</v>
      </c>
      <c r="C18" s="202">
        <v>0</v>
      </c>
      <c r="D18" s="75" t="s">
        <v>438</v>
      </c>
      <c r="E18" s="195"/>
      <c r="F18" s="43" t="s">
        <v>245</v>
      </c>
      <c r="G18" s="44">
        <f>B29</f>
        <v>0</v>
      </c>
      <c r="H18" s="76" t="s">
        <v>581</v>
      </c>
      <c r="I18" s="202">
        <f t="shared" si="0"/>
        <v>0</v>
      </c>
      <c r="J18" s="195"/>
      <c r="K18" s="195"/>
      <c r="L18" s="195"/>
      <c r="M18" s="195"/>
      <c r="N18" s="195"/>
      <c r="O18" s="195"/>
      <c r="P18" s="195"/>
      <c r="Q18" s="102"/>
    </row>
    <row r="19" spans="1:45">
      <c r="A19" s="205" t="s">
        <v>185</v>
      </c>
      <c r="B19" s="47">
        <v>0</v>
      </c>
      <c r="C19" s="202">
        <v>0</v>
      </c>
      <c r="D19" s="75" t="s">
        <v>439</v>
      </c>
      <c r="E19" s="195"/>
      <c r="F19" s="43" t="s">
        <v>246</v>
      </c>
      <c r="G19" s="44">
        <f>B30</f>
        <v>0</v>
      </c>
      <c r="H19" s="76" t="s">
        <v>582</v>
      </c>
      <c r="I19" s="202">
        <f t="shared" si="0"/>
        <v>0</v>
      </c>
      <c r="J19" s="195"/>
      <c r="K19" s="195"/>
      <c r="L19" s="195"/>
      <c r="M19" s="195"/>
      <c r="N19" s="195"/>
      <c r="O19" s="195"/>
      <c r="P19" s="195"/>
      <c r="Q19" s="102"/>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row>
    <row r="20" spans="1:45">
      <c r="A20" s="195" t="s">
        <v>405</v>
      </c>
      <c r="B20" s="47">
        <v>0</v>
      </c>
      <c r="C20" s="202">
        <v>0</v>
      </c>
      <c r="D20" s="75" t="s">
        <v>110</v>
      </c>
      <c r="E20" s="195"/>
      <c r="J20" s="195"/>
      <c r="K20" s="195"/>
      <c r="L20" s="195"/>
      <c r="M20" s="195"/>
      <c r="N20" s="195"/>
      <c r="O20" s="195"/>
      <c r="P20" s="195"/>
      <c r="Q20" s="102"/>
    </row>
    <row r="21" spans="1:45">
      <c r="A21" s="195" t="s">
        <v>585</v>
      </c>
      <c r="B21" s="47">
        <v>0.10544178805070265</v>
      </c>
      <c r="C21" s="202">
        <v>0.10544178805070265</v>
      </c>
      <c r="D21" s="75" t="s">
        <v>53</v>
      </c>
      <c r="E21" s="195"/>
      <c r="F21" s="195"/>
      <c r="G21" s="195"/>
      <c r="H21" s="195"/>
      <c r="I21" s="195"/>
      <c r="J21" s="195"/>
      <c r="K21" s="195"/>
      <c r="L21" s="195"/>
      <c r="M21" s="195"/>
      <c r="N21" s="195"/>
      <c r="O21" s="195"/>
      <c r="P21" s="195"/>
      <c r="Q21" s="102"/>
    </row>
    <row r="22" spans="1:45">
      <c r="A22" s="195" t="s">
        <v>586</v>
      </c>
      <c r="B22" s="47">
        <v>0</v>
      </c>
      <c r="C22" s="202">
        <v>0</v>
      </c>
      <c r="D22" s="75" t="s">
        <v>589</v>
      </c>
      <c r="E22" s="195"/>
      <c r="F22" s="195"/>
      <c r="G22" s="195"/>
      <c r="H22" s="195"/>
      <c r="I22" s="195"/>
      <c r="J22" s="195"/>
      <c r="K22" s="195"/>
      <c r="L22" s="195"/>
      <c r="M22" s="195"/>
      <c r="N22" s="195"/>
      <c r="O22" s="195"/>
      <c r="P22" s="195"/>
      <c r="Q22" s="102"/>
      <c r="V22" s="171"/>
    </row>
    <row r="23" spans="1:45">
      <c r="A23" s="195" t="s">
        <v>966</v>
      </c>
      <c r="B23" s="47">
        <v>0</v>
      </c>
      <c r="C23" s="202">
        <v>0</v>
      </c>
      <c r="D23" s="75" t="s">
        <v>742</v>
      </c>
      <c r="E23" s="195"/>
      <c r="F23" s="195"/>
      <c r="G23" s="195"/>
      <c r="H23" s="195"/>
      <c r="I23" s="195"/>
      <c r="J23" s="195"/>
      <c r="K23" s="195"/>
      <c r="L23" s="195"/>
      <c r="M23" s="195"/>
      <c r="N23" s="195"/>
      <c r="O23" s="195"/>
      <c r="P23" s="195"/>
      <c r="Q23" s="102"/>
    </row>
    <row r="24" spans="1:45">
      <c r="A24" s="195" t="s">
        <v>967</v>
      </c>
      <c r="B24" s="47">
        <v>0</v>
      </c>
      <c r="C24" s="202">
        <v>0</v>
      </c>
      <c r="D24" s="75" t="s">
        <v>43</v>
      </c>
      <c r="E24" s="195"/>
      <c r="F24" s="195"/>
      <c r="G24" s="195"/>
      <c r="H24" s="195"/>
      <c r="I24" s="195"/>
      <c r="J24" s="195"/>
      <c r="K24" s="195"/>
      <c r="L24" s="195"/>
      <c r="M24" s="195"/>
      <c r="N24" s="195"/>
      <c r="O24" s="195"/>
      <c r="P24" s="195"/>
      <c r="Q24" s="102"/>
      <c r="V24" s="171"/>
    </row>
    <row r="25" spans="1:45">
      <c r="A25" s="205" t="s">
        <v>367</v>
      </c>
      <c r="B25" s="47">
        <v>0</v>
      </c>
      <c r="C25" s="202">
        <v>0</v>
      </c>
      <c r="D25" s="75" t="s">
        <v>54</v>
      </c>
      <c r="E25" s="195"/>
      <c r="F25" s="195"/>
      <c r="G25" s="195"/>
      <c r="H25" s="195"/>
      <c r="I25" s="195"/>
      <c r="J25" s="195"/>
      <c r="K25" s="195"/>
      <c r="L25" s="195"/>
      <c r="M25" s="195"/>
      <c r="N25" s="195"/>
      <c r="O25" s="195"/>
      <c r="P25" s="195"/>
      <c r="Q25" s="102"/>
      <c r="V25" s="171"/>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row>
    <row r="26" spans="1:45">
      <c r="A26" s="195" t="s">
        <v>587</v>
      </c>
      <c r="B26" s="47">
        <v>0</v>
      </c>
      <c r="C26" s="202">
        <v>0</v>
      </c>
      <c r="D26" s="75" t="s">
        <v>55</v>
      </c>
      <c r="E26" s="195"/>
      <c r="F26" s="195"/>
      <c r="G26" s="195"/>
      <c r="H26" s="195"/>
      <c r="I26" s="195"/>
      <c r="J26" s="195"/>
      <c r="K26" s="195"/>
      <c r="L26" s="195"/>
      <c r="M26" s="195"/>
      <c r="N26" s="195"/>
      <c r="O26" s="195"/>
      <c r="P26" s="195"/>
      <c r="Q26" s="102"/>
      <c r="V26" s="171"/>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row>
    <row r="27" spans="1:45">
      <c r="A27" s="195" t="s">
        <v>404</v>
      </c>
      <c r="B27" s="47">
        <v>11.381102395718587</v>
      </c>
      <c r="C27" s="202">
        <v>11.381102395718587</v>
      </c>
      <c r="D27" s="75" t="s">
        <v>106</v>
      </c>
      <c r="E27" s="195"/>
      <c r="F27" s="195"/>
      <c r="G27" s="195"/>
      <c r="H27" s="195"/>
      <c r="I27" s="195"/>
      <c r="J27" s="195"/>
      <c r="K27" s="195"/>
      <c r="L27" s="195"/>
      <c r="M27" s="195"/>
      <c r="N27" s="195"/>
      <c r="O27" s="195"/>
      <c r="P27" s="195"/>
      <c r="Q27" s="102"/>
      <c r="V27" s="171"/>
      <c r="W27" s="172"/>
      <c r="X27" s="172"/>
      <c r="Y27" s="172"/>
      <c r="Z27" s="172"/>
      <c r="AA27" s="172"/>
      <c r="AB27" s="172"/>
      <c r="AC27" s="172"/>
      <c r="AD27" s="172"/>
      <c r="AE27" s="172"/>
      <c r="AF27" s="172"/>
      <c r="AG27" s="172"/>
      <c r="AH27" s="172"/>
      <c r="AI27" s="172"/>
      <c r="AJ27" s="172"/>
      <c r="AK27" s="172"/>
      <c r="AL27" s="172"/>
      <c r="AM27" s="172"/>
      <c r="AN27" s="172"/>
      <c r="AO27" s="172"/>
      <c r="AP27" s="172"/>
      <c r="AQ27" s="172"/>
      <c r="AR27" s="172"/>
      <c r="AS27" s="172"/>
    </row>
    <row r="28" spans="1:45">
      <c r="A28" s="195" t="s">
        <v>408</v>
      </c>
      <c r="B28" s="45">
        <v>24.263639999999999</v>
      </c>
      <c r="C28" s="202">
        <v>24.263639999999999</v>
      </c>
      <c r="D28" s="75" t="s">
        <v>573</v>
      </c>
      <c r="E28" s="195"/>
      <c r="F28" s="195"/>
      <c r="G28" s="195"/>
      <c r="H28" s="195"/>
      <c r="I28" s="195"/>
      <c r="J28" s="195"/>
      <c r="K28" s="195"/>
      <c r="L28" s="195"/>
      <c r="M28" s="195"/>
      <c r="N28" s="195"/>
      <c r="O28" s="195"/>
      <c r="P28" s="195"/>
      <c r="Q28" s="102"/>
      <c r="V28" s="171"/>
      <c r="W28" s="172"/>
      <c r="X28" s="172"/>
      <c r="Y28" s="172"/>
      <c r="Z28" s="172"/>
      <c r="AA28" s="172"/>
      <c r="AB28" s="172"/>
      <c r="AC28" s="172"/>
      <c r="AD28" s="172"/>
      <c r="AE28" s="172"/>
      <c r="AF28" s="172"/>
      <c r="AG28" s="172"/>
      <c r="AH28" s="172"/>
      <c r="AI28" s="172"/>
      <c r="AJ28" s="172"/>
      <c r="AK28" s="172"/>
      <c r="AL28" s="172"/>
      <c r="AM28" s="172"/>
      <c r="AN28" s="172"/>
      <c r="AO28" s="172"/>
      <c r="AP28" s="172"/>
      <c r="AQ28" s="172"/>
      <c r="AR28" s="172"/>
      <c r="AS28" s="172"/>
    </row>
    <row r="29" spans="1:45">
      <c r="A29" s="195" t="s">
        <v>578</v>
      </c>
      <c r="B29" s="45">
        <v>0</v>
      </c>
      <c r="C29" s="202">
        <v>0</v>
      </c>
      <c r="D29" s="75" t="s">
        <v>579</v>
      </c>
      <c r="E29" s="195"/>
      <c r="F29" s="195"/>
      <c r="G29" s="195"/>
      <c r="H29" s="195"/>
      <c r="I29" s="195"/>
      <c r="J29" s="195"/>
      <c r="K29" s="195"/>
      <c r="L29" s="195"/>
      <c r="M29" s="195"/>
      <c r="N29" s="195"/>
      <c r="O29" s="195"/>
      <c r="P29" s="195"/>
      <c r="Q29" s="102"/>
      <c r="V29" s="171"/>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row>
    <row r="30" spans="1:45">
      <c r="A30" s="195" t="s">
        <v>602</v>
      </c>
      <c r="B30" s="45">
        <v>0</v>
      </c>
      <c r="C30" s="202">
        <v>0</v>
      </c>
      <c r="D30" s="75" t="s">
        <v>580</v>
      </c>
      <c r="E30" s="195"/>
      <c r="F30" s="195"/>
      <c r="G30" s="195"/>
      <c r="H30" s="195"/>
      <c r="I30" s="195"/>
      <c r="J30" s="195"/>
      <c r="K30" s="195"/>
      <c r="L30" s="195"/>
      <c r="M30" s="195"/>
      <c r="N30" s="195"/>
      <c r="O30" s="195"/>
      <c r="P30" s="195"/>
      <c r="Q30" s="102"/>
      <c r="V30" s="171"/>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row>
    <row r="31" spans="1:45">
      <c r="A31" s="195" t="s">
        <v>406</v>
      </c>
      <c r="B31" s="47">
        <v>38.067554241028681</v>
      </c>
      <c r="C31" s="202">
        <v>38.067554241028681</v>
      </c>
      <c r="D31" s="46">
        <f>(B31-C31)/B31</f>
        <v>0</v>
      </c>
      <c r="E31" s="195"/>
      <c r="F31" s="195"/>
      <c r="G31" s="195"/>
      <c r="H31" s="195"/>
      <c r="I31" s="195"/>
      <c r="J31" s="195"/>
      <c r="K31" s="195"/>
      <c r="L31" s="195"/>
      <c r="M31" s="195"/>
      <c r="N31" s="195"/>
      <c r="O31" s="195"/>
      <c r="P31" s="195"/>
      <c r="Q31" s="102"/>
      <c r="V31" s="171"/>
      <c r="W31" s="172"/>
      <c r="X31" s="172"/>
      <c r="Y31" s="172"/>
      <c r="Z31" s="172"/>
      <c r="AA31" s="172"/>
      <c r="AB31" s="172"/>
      <c r="AC31" s="172"/>
      <c r="AD31" s="172"/>
      <c r="AE31" s="172"/>
      <c r="AF31" s="172"/>
      <c r="AG31" s="172"/>
      <c r="AH31" s="172"/>
      <c r="AI31" s="172"/>
      <c r="AJ31" s="172"/>
      <c r="AK31" s="172"/>
      <c r="AL31" s="172"/>
      <c r="AM31" s="172"/>
      <c r="AN31" s="172"/>
      <c r="AO31" s="172"/>
      <c r="AP31" s="172"/>
      <c r="AQ31" s="172"/>
      <c r="AR31" s="172"/>
      <c r="AS31" s="172"/>
    </row>
    <row r="32" spans="1:45">
      <c r="A32" s="195"/>
      <c r="B32" s="197"/>
      <c r="C32" s="202"/>
      <c r="D32" s="207"/>
      <c r="E32" s="195"/>
      <c r="F32" s="195"/>
      <c r="G32" s="195"/>
      <c r="H32" s="195"/>
      <c r="I32" s="195"/>
      <c r="J32" s="195"/>
      <c r="K32" s="195"/>
      <c r="L32" s="195"/>
      <c r="M32" s="195"/>
      <c r="N32" s="195"/>
      <c r="O32" s="195"/>
      <c r="P32" s="195"/>
    </row>
    <row r="33" spans="1:45" ht="18">
      <c r="A33" s="131" t="s">
        <v>519</v>
      </c>
      <c r="B33" s="98"/>
      <c r="C33" s="98"/>
      <c r="D33" s="98"/>
      <c r="E33" s="98"/>
      <c r="F33" s="98"/>
      <c r="G33" s="98"/>
      <c r="H33" s="181" t="s">
        <v>522</v>
      </c>
      <c r="I33" s="182"/>
      <c r="J33" s="182"/>
      <c r="K33" s="182"/>
      <c r="L33" s="195"/>
      <c r="M33" s="195"/>
      <c r="N33" s="195"/>
      <c r="O33" s="195"/>
      <c r="P33" s="195"/>
      <c r="V33" s="171"/>
      <c r="W33" s="172"/>
      <c r="X33" s="172"/>
      <c r="Y33" s="172"/>
      <c r="Z33" s="172"/>
      <c r="AA33" s="172"/>
      <c r="AB33" s="172"/>
      <c r="AC33" s="172"/>
      <c r="AD33" s="172"/>
      <c r="AE33" s="172"/>
      <c r="AF33" s="172"/>
      <c r="AG33" s="172"/>
      <c r="AH33" s="172"/>
      <c r="AI33" s="172"/>
      <c r="AJ33" s="172"/>
      <c r="AK33" s="172"/>
      <c r="AL33" s="172"/>
      <c r="AM33" s="172"/>
      <c r="AN33" s="172"/>
      <c r="AO33" s="172"/>
      <c r="AP33" s="172"/>
      <c r="AQ33" s="172"/>
      <c r="AR33" s="172"/>
      <c r="AS33" s="172"/>
    </row>
    <row r="34" spans="1:45" ht="33.75">
      <c r="A34" s="208"/>
      <c r="B34" s="209" t="s">
        <v>213</v>
      </c>
      <c r="C34" s="209" t="s">
        <v>105</v>
      </c>
      <c r="D34" s="209" t="s">
        <v>179</v>
      </c>
      <c r="E34" s="209" t="s">
        <v>90</v>
      </c>
      <c r="F34" s="209" t="s">
        <v>93</v>
      </c>
      <c r="G34" s="209" t="s">
        <v>95</v>
      </c>
      <c r="H34" s="209" t="s">
        <v>269</v>
      </c>
      <c r="I34" s="209" t="s">
        <v>97</v>
      </c>
      <c r="J34" s="209" t="s">
        <v>268</v>
      </c>
      <c r="K34" s="209" t="s">
        <v>636</v>
      </c>
      <c r="L34" s="209" t="s">
        <v>104</v>
      </c>
      <c r="M34" s="195" t="s">
        <v>248</v>
      </c>
      <c r="N34" s="195"/>
      <c r="O34" s="195"/>
      <c r="P34" s="195"/>
      <c r="V34" s="171"/>
      <c r="W34" s="172"/>
      <c r="X34" s="172"/>
      <c r="Y34" s="172"/>
      <c r="Z34" s="172"/>
      <c r="AA34" s="172"/>
      <c r="AB34" s="172"/>
      <c r="AC34" s="172"/>
      <c r="AD34" s="172"/>
      <c r="AE34" s="172"/>
      <c r="AF34" s="172"/>
      <c r="AG34" s="172"/>
      <c r="AH34" s="172"/>
      <c r="AI34" s="172"/>
      <c r="AJ34" s="172"/>
      <c r="AK34" s="172"/>
      <c r="AL34" s="172"/>
      <c r="AM34" s="172"/>
      <c r="AN34" s="172"/>
      <c r="AO34" s="172"/>
      <c r="AP34" s="172"/>
      <c r="AQ34" s="172"/>
      <c r="AR34" s="172"/>
      <c r="AS34" s="172"/>
    </row>
    <row r="35" spans="1:45">
      <c r="A35" s="195"/>
      <c r="B35" s="210" t="s">
        <v>127</v>
      </c>
      <c r="C35" s="210" t="s">
        <v>128</v>
      </c>
      <c r="D35" s="210" t="s">
        <v>44</v>
      </c>
      <c r="E35" s="210" t="s">
        <v>91</v>
      </c>
      <c r="F35" s="210" t="s">
        <v>94</v>
      </c>
      <c r="G35" s="210" t="s">
        <v>129</v>
      </c>
      <c r="H35" s="210" t="s">
        <v>96</v>
      </c>
      <c r="I35" s="210" t="s">
        <v>92</v>
      </c>
      <c r="J35" s="210" t="s">
        <v>637</v>
      </c>
      <c r="K35" s="210" t="s">
        <v>642</v>
      </c>
      <c r="L35" s="210" t="s">
        <v>130</v>
      </c>
      <c r="M35" s="195"/>
      <c r="N35" s="195"/>
      <c r="O35" s="195"/>
      <c r="P35" s="195"/>
      <c r="V35" s="171"/>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row>
    <row r="36" spans="1:45" ht="18" customHeight="1">
      <c r="A36" s="211" t="s">
        <v>244</v>
      </c>
      <c r="B36" s="41">
        <f ca="1">1-SUM(C36:L36)</f>
        <v>0.65230881795024653</v>
      </c>
      <c r="C36" s="41">
        <f ca="1">SUMIF(OFFSET(CalibData2!$M$3,1,0,$Q$2),ROW()+COLUMN()/100,OFFSET(CalibData2!$N$3,1,0,$Q$2))</f>
        <v>0</v>
      </c>
      <c r="D36" s="41">
        <f ca="1">SUMIF(OFFSET(CalibData2!$M$3,1,0,$Q$2),ROW()+COLUMN()/100,OFFSET(CalibData2!$N$3,1,0,$Q$2))</f>
        <v>0.22281990136035987</v>
      </c>
      <c r="E36" s="224"/>
      <c r="F36" s="41">
        <f ca="1">SUMIF(OFFSET(CalibData2!$M$3,1,0,$Q$2),ROW()+COLUMN()/100,OFFSET(CalibData2!$N$3,1,0,$Q$2))</f>
        <v>0</v>
      </c>
      <c r="G36" s="41">
        <f ca="1">SUMIF(OFFSET(CalibData2!$M$3,1,0,$Q$2),ROW()+COLUMN()/100,OFFSET(CalibData2!$N$3,1,0,$Q$2))</f>
        <v>0.1248712806893936</v>
      </c>
      <c r="H36" s="224"/>
      <c r="I36" s="224"/>
      <c r="J36" s="41">
        <f ca="1">SUMIF(OFFSET(CalibData2!$M$3,1,0,$Q$2),ROW()+COLUMN()/100,OFFSET(CalibData2!$N$3,1,0,$Q$2))</f>
        <v>0</v>
      </c>
      <c r="K36" s="224"/>
      <c r="L36" s="224"/>
      <c r="M36" s="212">
        <f t="shared" ref="M36:M46" ca="1" si="1">SUM(B36:L36)</f>
        <v>1</v>
      </c>
      <c r="N36" s="195"/>
      <c r="O36" s="195"/>
      <c r="P36" s="195"/>
      <c r="V36" s="171"/>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row>
    <row r="37" spans="1:45">
      <c r="A37" s="211" t="s">
        <v>663</v>
      </c>
      <c r="B37" s="41">
        <f t="shared" ref="B37:B46" ca="1" si="2">1-SUM(C37:L37)</f>
        <v>0.78</v>
      </c>
      <c r="C37" s="300"/>
      <c r="D37" s="41">
        <f ca="1">SUMIF(OFFSET(CalibData2!$M$3,1,0,$Q$2),ROW()+COLUMN()/100,OFFSET(CalibData2!$N$3,1,0,$Q$2))</f>
        <v>0.22</v>
      </c>
      <c r="E37" s="224"/>
      <c r="F37" s="224"/>
      <c r="G37" s="41">
        <f ca="1">SUMIF(OFFSET(CalibData2!$M$3,1,0,$Q$2),ROW()+COLUMN()/100,OFFSET(CalibData2!$N$3,1,0,$Q$2))</f>
        <v>0</v>
      </c>
      <c r="H37" s="224"/>
      <c r="I37" s="224"/>
      <c r="J37" s="41">
        <f ca="1">SUMIF(OFFSET(CalibData2!$M$3,1,0,$Q$2),ROW()+COLUMN()/100,OFFSET(CalibData2!$N$3,1,0,$Q$2))</f>
        <v>0</v>
      </c>
      <c r="K37" s="224"/>
      <c r="L37" s="224"/>
      <c r="M37" s="212">
        <f t="shared" ca="1" si="1"/>
        <v>1</v>
      </c>
      <c r="N37" s="195"/>
      <c r="O37" s="195"/>
      <c r="P37" s="195"/>
    </row>
    <row r="38" spans="1:45">
      <c r="A38" s="211" t="s">
        <v>574</v>
      </c>
      <c r="B38" s="70">
        <f t="shared" ca="1" si="2"/>
        <v>0.77</v>
      </c>
      <c r="C38" s="301"/>
      <c r="D38" s="41">
        <f ca="1">SUMIF(OFFSET(CalibData2!$M$3,1,0,$Q$2),ROW()+COLUMN()/100,OFFSET(CalibData2!$N$3,1,0,$Q$2))</f>
        <v>0.23</v>
      </c>
      <c r="E38" s="225"/>
      <c r="F38" s="225"/>
      <c r="G38" s="225"/>
      <c r="H38" s="225"/>
      <c r="I38" s="225"/>
      <c r="J38" s="41">
        <f ca="1">SUMIF(OFFSET(CalibData2!$M$3,1,0,$Q$2),ROW()+COLUMN()/100,OFFSET(CalibData2!$N$3,1,0,$Q$2))</f>
        <v>0</v>
      </c>
      <c r="K38" s="225"/>
      <c r="L38" s="225"/>
      <c r="M38" s="212">
        <f t="shared" ca="1" si="1"/>
        <v>1</v>
      </c>
      <c r="N38" s="195"/>
      <c r="O38" s="195"/>
      <c r="P38" s="195"/>
      <c r="V38" s="171"/>
    </row>
    <row r="39" spans="1:45">
      <c r="A39" s="211" t="s">
        <v>576</v>
      </c>
      <c r="B39" s="70">
        <f t="shared" ca="1" si="2"/>
        <v>0.3899999999999999</v>
      </c>
      <c r="C39" s="301"/>
      <c r="D39" s="41">
        <f ca="1">SUMIF(OFFSET(CalibData2!$M$3,1,0,$Q$2),ROW()+COLUMN()/100,OFFSET(CalibData2!$N$3,1,0,$Q$2))</f>
        <v>0.11</v>
      </c>
      <c r="E39" s="225"/>
      <c r="F39" s="225"/>
      <c r="G39" s="41">
        <f ca="1">SUMIF(OFFSET(CalibData2!$M$3,1,0,$Q$2),ROW()+COLUMN()/100,OFFSET(CalibData2!$N$3,1,0,$Q$2))</f>
        <v>0.1</v>
      </c>
      <c r="H39" s="225"/>
      <c r="I39" s="225"/>
      <c r="J39" s="41">
        <f ca="1">SUMIF(OFFSET(CalibData2!$M$3,1,0,$Q$2),ROW()+COLUMN()/100,OFFSET(CalibData2!$N$3,1,0,$Q$2))</f>
        <v>0.4</v>
      </c>
      <c r="K39" s="225"/>
      <c r="L39" s="41">
        <f ca="1">SUMIF(OFFSET(CalibData2!$M$3,1,0,$Q$2),ROW()+COLUMN()/100,OFFSET(CalibData2!$N$3,1,0,$Q$2))</f>
        <v>0</v>
      </c>
      <c r="M39" s="212">
        <f t="shared" ca="1" si="1"/>
        <v>0.99999999999999989</v>
      </c>
      <c r="N39" s="195"/>
      <c r="O39" s="195"/>
      <c r="P39" s="195"/>
      <c r="V39" s="171"/>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row>
    <row r="40" spans="1:45">
      <c r="A40" s="211" t="s">
        <v>664</v>
      </c>
      <c r="B40" s="70">
        <f t="shared" ca="1" si="2"/>
        <v>0.78</v>
      </c>
      <c r="C40" s="301"/>
      <c r="D40" s="41">
        <f ca="1">SUMIF(OFFSET(CalibData2!$M$3,1,0,$Q$2),ROW()+COLUMN()/100,OFFSET(CalibData2!$N$3,1,0,$Q$2))</f>
        <v>0.22</v>
      </c>
      <c r="E40" s="225"/>
      <c r="F40" s="225"/>
      <c r="G40" s="41">
        <f ca="1">SUMIF(OFFSET(CalibData2!$M$3,1,0,$Q$2),ROW()+COLUMN()/100,OFFSET(CalibData2!$N$3,1,0,$Q$2))</f>
        <v>0</v>
      </c>
      <c r="H40" s="225"/>
      <c r="I40" s="225"/>
      <c r="J40" s="41">
        <f ca="1">SUMIF(OFFSET(CalibData2!$M$3,1,0,$Q$2),ROW()+COLUMN()/100,OFFSET(CalibData2!$N$3,1,0,$Q$2))</f>
        <v>0</v>
      </c>
      <c r="K40" s="225"/>
      <c r="L40" s="225"/>
      <c r="M40" s="212">
        <f t="shared" ca="1" si="1"/>
        <v>1</v>
      </c>
      <c r="N40" s="195"/>
      <c r="O40" s="195"/>
      <c r="P40" s="195"/>
      <c r="V40" s="171"/>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row>
    <row r="41" spans="1:45">
      <c r="A41" s="211" t="s">
        <v>665</v>
      </c>
      <c r="B41" s="70">
        <f t="shared" ca="1" si="2"/>
        <v>0.39</v>
      </c>
      <c r="C41" s="301"/>
      <c r="D41" s="41">
        <f ca="1">SUMIF(OFFSET(CalibData2!$M$3,1,0,$Q$2),ROW()+COLUMN()/100,OFFSET(CalibData2!$N$3,1,0,$Q$2))</f>
        <v>0.3</v>
      </c>
      <c r="E41" s="225"/>
      <c r="F41" s="225"/>
      <c r="G41" s="41">
        <f ca="1">SUMIF(OFFSET(CalibData2!$M$3,1,0,$Q$2),ROW()+COLUMN()/100,OFFSET(CalibData2!$N$3,1,0,$Q$2))</f>
        <v>0.17938039175478646</v>
      </c>
      <c r="H41" s="225"/>
      <c r="I41" s="225"/>
      <c r="J41" s="41">
        <f ca="1">SUMIF(OFFSET(CalibData2!$M$3,1,0,$Q$2),ROW()+COLUMN()/100,OFFSET(CalibData2!$N$3,1,0,$Q$2))</f>
        <v>0.13061960824521357</v>
      </c>
      <c r="K41" s="225"/>
      <c r="L41" s="225"/>
      <c r="M41" s="212">
        <f t="shared" ca="1" si="1"/>
        <v>1</v>
      </c>
      <c r="N41" s="195"/>
      <c r="O41" s="195"/>
      <c r="P41" s="195"/>
      <c r="V41" s="171"/>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row>
    <row r="42" spans="1:45">
      <c r="A42" s="211" t="s">
        <v>588</v>
      </c>
      <c r="B42" s="70">
        <f t="shared" ca="1" si="2"/>
        <v>0.83160000000000001</v>
      </c>
      <c r="C42" s="301"/>
      <c r="D42" s="41">
        <f ca="1">SUMIF(OFFSET(CalibData2!$M$3,1,0,$Q$2),ROW()+COLUMN()/100,OFFSET(CalibData2!$N$3,1,0,$Q$2))</f>
        <v>0.15839999999999999</v>
      </c>
      <c r="E42" s="225"/>
      <c r="F42" s="225"/>
      <c r="G42" s="41">
        <f ca="1">SUMIF(OFFSET(CalibData2!$M$3,1,0,$Q$2),ROW()+COLUMN()/100,OFFSET(CalibData2!$N$3,1,0,$Q$2))</f>
        <v>0.01</v>
      </c>
      <c r="H42" s="225"/>
      <c r="I42" s="225"/>
      <c r="J42" s="41">
        <f ca="1">SUMIF(OFFSET(CalibData2!$M$3,1,0,$Q$2),ROW()+COLUMN()/100,OFFSET(CalibData2!$N$3,1,0,$Q$2))</f>
        <v>0</v>
      </c>
      <c r="K42" s="225"/>
      <c r="L42" s="225"/>
      <c r="M42" s="212">
        <f t="shared" ca="1" si="1"/>
        <v>1</v>
      </c>
      <c r="N42" s="195"/>
      <c r="O42" s="195"/>
      <c r="P42" s="195"/>
      <c r="V42" s="171"/>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row>
    <row r="43" spans="1:45">
      <c r="A43" s="211" t="s">
        <v>247</v>
      </c>
      <c r="B43" s="70">
        <f t="shared" ca="1" si="2"/>
        <v>0.23577998641634623</v>
      </c>
      <c r="C43" s="41">
        <f ca="1">SUMIF(OFFSET(CalibData2!$M$3,1,0,$Q$2),ROW()+COLUMN()/100,OFFSET(CalibData2!$N$3,1,0,$Q$2))</f>
        <v>4.5524369600685732E-3</v>
      </c>
      <c r="D43" s="41">
        <f ca="1">SUMIF(OFFSET(CalibData2!$M$3,1,0,$Q$2),ROW()+COLUMN()/100,OFFSET(CalibData2!$N$3,1,0,$Q$2))</f>
        <v>7.4456837815688265E-2</v>
      </c>
      <c r="E43" s="41">
        <f ca="1">SUMIF(OFFSET(CalibData2!$M$3,1,0,$Q$2),ROW()+COLUMN()/100,OFFSET(CalibData2!$N$3,1,0,$Q$2))</f>
        <v>9.2424952038852454E-2</v>
      </c>
      <c r="F43" s="41">
        <f ca="1">SUMIF(OFFSET(CalibData2!$M$3,1,0,$Q$2),ROW()+COLUMN()/100,OFFSET(CalibData2!$N$3,1,0,$Q$2))</f>
        <v>1.138014405483353E-2</v>
      </c>
      <c r="G43" s="41">
        <f ca="1">SUMIF(OFFSET(CalibData2!$M$3,1,0,$Q$2),ROW()+COLUMN()/100,OFFSET(CalibData2!$N$3,1,0,$Q$2))</f>
        <v>4.4256115768797066E-2</v>
      </c>
      <c r="H43" s="41">
        <f ca="1">SUMIF(OFFSET(CalibData2!$M$3,1,0,$Q$2),ROW()+COLUMN()/100,OFFSET(CalibData2!$N$3,1,0,$Q$2))</f>
        <v>1.6437985856981766E-2</v>
      </c>
      <c r="I43" s="41">
        <f ca="1">SUMIF(OFFSET(CalibData2!$M$3,1,0,$Q$2),ROW()+COLUMN()/100,OFFSET(CalibData2!$N$3,1,0,$Q$2))</f>
        <v>2.3392518334935587E-2</v>
      </c>
      <c r="J43" s="225"/>
      <c r="K43" s="41">
        <f ca="1">SUMIF(OFFSET(CalibData2!$M$3,1,0,$Q$2),ROW()+COLUMN()/100,OFFSET(CalibData2!$N$3,1,0,$Q$2))</f>
        <v>0.33857347666637805</v>
      </c>
      <c r="L43" s="41">
        <f ca="1">SUMIF(OFFSET(CalibData2!$M$3,1,0,$Q$2),ROW()+COLUMN()/100,OFFSET(CalibData2!$N$3,1,0,$Q$2))</f>
        <v>0.15874554608711844</v>
      </c>
      <c r="M43" s="212">
        <f t="shared" ca="1" si="1"/>
        <v>0.99999999999999989</v>
      </c>
      <c r="N43" s="195"/>
      <c r="O43" s="195"/>
      <c r="P43" s="195"/>
      <c r="V43" s="171"/>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row>
    <row r="44" spans="1:45">
      <c r="A44" s="211" t="s">
        <v>414</v>
      </c>
      <c r="B44" s="42">
        <f t="shared" ca="1" si="2"/>
        <v>0.77</v>
      </c>
      <c r="C44" s="302"/>
      <c r="D44" s="41">
        <f ca="1">SUMIF(OFFSET(CalibData2!$M$3,1,0,$Q$2),ROW()+COLUMN()/100,OFFSET(CalibData2!$N$3,1,0,$Q$2))</f>
        <v>0.23</v>
      </c>
      <c r="E44" s="226"/>
      <c r="F44" s="226"/>
      <c r="G44" s="226"/>
      <c r="H44" s="226"/>
      <c r="I44" s="226"/>
      <c r="J44" s="41">
        <f ca="1">SUMIF(OFFSET(CalibData2!$M$3,1,0,$Q$2),ROW()+COLUMN()/100,OFFSET(CalibData2!$N$3,1,0,$Q$2))</f>
        <v>0</v>
      </c>
      <c r="K44" s="226"/>
      <c r="L44" s="226"/>
      <c r="M44" s="212">
        <f t="shared" ca="1" si="1"/>
        <v>1</v>
      </c>
      <c r="N44" s="195"/>
      <c r="O44" s="195"/>
      <c r="P44" s="195"/>
      <c r="V44" s="171"/>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row>
    <row r="45" spans="1:45">
      <c r="A45" s="211" t="s">
        <v>245</v>
      </c>
      <c r="B45" s="70">
        <f t="shared" ca="1" si="2"/>
        <v>1</v>
      </c>
      <c r="C45" s="41">
        <f ca="1">SUMIF(OFFSET(CalibData2!$M$3,1,0,$Q$2),ROW()+COLUMN()/100,OFFSET(CalibData2!$N$3,1,0,$Q$2))</f>
        <v>0</v>
      </c>
      <c r="D45" s="41">
        <f ca="1">SUMIF(OFFSET(CalibData2!$M$3,1,0,$Q$2),ROW()+COLUMN()/100,OFFSET(CalibData2!$N$3,1,0,$Q$2))</f>
        <v>0</v>
      </c>
      <c r="E45" s="225"/>
      <c r="F45" s="225"/>
      <c r="G45" s="225"/>
      <c r="H45" s="225"/>
      <c r="I45" s="225"/>
      <c r="J45" s="41">
        <f ca="1">SUMIF(OFFSET(CalibData2!$M$3,1,0,$Q$2),ROW()+COLUMN()/100,OFFSET(CalibData2!$N$3,1,0,$Q$2))</f>
        <v>0</v>
      </c>
      <c r="K45" s="225"/>
      <c r="L45" s="225"/>
      <c r="M45" s="212">
        <f t="shared" ca="1" si="1"/>
        <v>1</v>
      </c>
      <c r="N45" s="195"/>
      <c r="O45" s="195"/>
      <c r="P45" s="195"/>
      <c r="V45" s="171"/>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row>
    <row r="46" spans="1:45">
      <c r="A46" s="211" t="s">
        <v>246</v>
      </c>
      <c r="B46" s="225">
        <f t="shared" ca="1" si="2"/>
        <v>1</v>
      </c>
      <c r="C46" s="301"/>
      <c r="D46" s="41">
        <f ca="1">SUMIF(OFFSET(CalibData2!$M$3,1,0,$Q$2),ROW()+COLUMN()/100,OFFSET(CalibData2!$N$3,1,0,$Q$2))</f>
        <v>0</v>
      </c>
      <c r="E46" s="225"/>
      <c r="F46" s="225"/>
      <c r="G46" s="41">
        <f ca="1">SUMIF(OFFSET(CalibData2!$M$3,1,0,$Q$2),ROW()+COLUMN()/100,OFFSET(CalibData2!$N$3,1,0,$Q$2))</f>
        <v>0</v>
      </c>
      <c r="H46" s="225"/>
      <c r="I46" s="225"/>
      <c r="J46" s="41">
        <f ca="1">SUMIF(OFFSET(CalibData2!$M$3,1,0,$Q$2),ROW()+COLUMN()/100,OFFSET(CalibData2!$N$3,1,0,$Q$2))</f>
        <v>0</v>
      </c>
      <c r="K46" s="225"/>
      <c r="L46" s="225"/>
      <c r="M46" s="212">
        <f t="shared" ca="1" si="1"/>
        <v>1</v>
      </c>
      <c r="N46" s="195"/>
      <c r="O46" s="195"/>
      <c r="P46" s="195"/>
      <c r="V46" s="171"/>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row>
    <row r="47" spans="1:45">
      <c r="A47" s="195"/>
      <c r="B47" s="195"/>
      <c r="C47" s="195"/>
      <c r="D47" s="195"/>
      <c r="E47" s="195"/>
      <c r="F47" s="195"/>
      <c r="G47" s="195"/>
      <c r="H47" s="216"/>
      <c r="I47" s="216"/>
      <c r="J47" s="216"/>
      <c r="K47" s="216"/>
      <c r="L47" s="216"/>
      <c r="M47" s="216"/>
      <c r="N47" s="195"/>
      <c r="O47" s="195"/>
      <c r="P47" s="195"/>
      <c r="V47" s="171"/>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row>
    <row r="48" spans="1:45" ht="18">
      <c r="A48" s="131" t="s">
        <v>520</v>
      </c>
      <c r="B48" s="98"/>
      <c r="C48" s="98"/>
      <c r="D48" s="98"/>
      <c r="E48" s="98"/>
      <c r="F48" s="98"/>
      <c r="G48" s="98"/>
      <c r="H48" s="216"/>
      <c r="I48" s="216"/>
      <c r="J48" s="216"/>
      <c r="K48" s="216"/>
      <c r="L48" s="216"/>
      <c r="M48" s="216"/>
      <c r="N48" s="195"/>
      <c r="O48" s="195"/>
      <c r="P48" s="195"/>
      <c r="V48" s="171"/>
      <c r="W48" s="172"/>
      <c r="X48" s="172"/>
      <c r="Y48" s="172"/>
      <c r="Z48" s="172"/>
      <c r="AA48" s="172"/>
      <c r="AB48" s="172"/>
      <c r="AC48" s="172"/>
      <c r="AD48" s="172"/>
      <c r="AE48" s="172"/>
      <c r="AF48" s="172"/>
      <c r="AG48" s="172"/>
      <c r="AH48" s="172"/>
      <c r="AI48" s="172"/>
      <c r="AJ48" s="172"/>
      <c r="AK48" s="172"/>
      <c r="AL48" s="172"/>
      <c r="AM48" s="172"/>
      <c r="AN48" s="172"/>
      <c r="AO48" s="172"/>
      <c r="AP48" s="172"/>
      <c r="AQ48" s="172"/>
      <c r="AR48" s="172"/>
      <c r="AS48" s="172"/>
    </row>
    <row r="49" spans="1:45">
      <c r="A49" s="195"/>
      <c r="B49" s="62" t="s">
        <v>458</v>
      </c>
      <c r="C49" s="62" t="s">
        <v>720</v>
      </c>
      <c r="D49" s="62" t="s">
        <v>721</v>
      </c>
      <c r="E49" s="62" t="s">
        <v>722</v>
      </c>
      <c r="F49" s="195"/>
      <c r="G49" s="195"/>
      <c r="H49" s="216"/>
      <c r="I49" s="216"/>
      <c r="J49" s="216">
        <v>0.9</v>
      </c>
      <c r="K49" s="216"/>
      <c r="L49" s="216"/>
      <c r="M49" s="216"/>
      <c r="N49" s="216"/>
      <c r="O49" s="216"/>
      <c r="P49" s="216"/>
      <c r="V49" s="171"/>
      <c r="W49" s="172"/>
      <c r="X49" s="172"/>
      <c r="Y49" s="172"/>
      <c r="Z49" s="172"/>
      <c r="AA49" s="172"/>
      <c r="AB49" s="172"/>
      <c r="AC49" s="172"/>
      <c r="AD49" s="172"/>
      <c r="AE49" s="172"/>
      <c r="AF49" s="172"/>
      <c r="AG49" s="172"/>
      <c r="AH49" s="172"/>
      <c r="AI49" s="172"/>
      <c r="AJ49" s="172"/>
      <c r="AK49" s="172"/>
      <c r="AL49" s="172"/>
      <c r="AM49" s="172"/>
      <c r="AN49" s="172"/>
      <c r="AO49" s="172"/>
      <c r="AP49" s="172"/>
      <c r="AQ49" s="172"/>
      <c r="AR49" s="172"/>
      <c r="AS49" s="172"/>
    </row>
    <row r="50" spans="1:45">
      <c r="A50" s="198" t="s">
        <v>282</v>
      </c>
      <c r="B50" s="195"/>
      <c r="C50" s="195"/>
      <c r="D50" s="195"/>
      <c r="E50" s="195"/>
      <c r="F50" s="195"/>
      <c r="G50" s="198" t="s">
        <v>886</v>
      </c>
      <c r="H50" s="195"/>
      <c r="I50" s="195"/>
      <c r="J50" s="198" t="s">
        <v>887</v>
      </c>
      <c r="K50" s="195"/>
      <c r="L50" s="195"/>
      <c r="M50" s="216"/>
      <c r="N50" s="244"/>
      <c r="O50" s="216"/>
      <c r="P50" s="216"/>
      <c r="V50" s="171"/>
      <c r="W50" s="172"/>
      <c r="X50" s="172"/>
      <c r="Y50" s="172"/>
      <c r="Z50" s="172"/>
      <c r="AA50" s="172"/>
      <c r="AB50" s="172"/>
      <c r="AC50" s="172"/>
      <c r="AD50" s="172"/>
      <c r="AE50" s="172"/>
      <c r="AF50" s="172"/>
      <c r="AG50" s="172"/>
      <c r="AH50" s="172"/>
      <c r="AI50" s="172"/>
      <c r="AJ50" s="172"/>
      <c r="AK50" s="172"/>
      <c r="AL50" s="172"/>
      <c r="AM50" s="172"/>
      <c r="AN50" s="172"/>
      <c r="AO50" s="172"/>
      <c r="AP50" s="172"/>
      <c r="AQ50" s="172"/>
      <c r="AR50" s="172"/>
      <c r="AS50" s="172"/>
    </row>
    <row r="51" spans="1:45">
      <c r="A51" s="198"/>
      <c r="B51" s="198" t="str">
        <f>B$49</f>
        <v>Region1</v>
      </c>
      <c r="C51" s="198" t="str">
        <f>C$49</f>
        <v>Region2</v>
      </c>
      <c r="D51" s="198" t="str">
        <f>D$49</f>
        <v>Region3</v>
      </c>
      <c r="E51" s="198" t="str">
        <f>E$49</f>
        <v>Region4</v>
      </c>
      <c r="F51" s="195" t="s">
        <v>248</v>
      </c>
      <c r="G51" s="198"/>
      <c r="H51" s="198" t="str">
        <f>B49</f>
        <v>Region1</v>
      </c>
      <c r="I51" s="198" t="str">
        <f>C49</f>
        <v>Region2</v>
      </c>
      <c r="J51" s="198" t="str">
        <f>H51</f>
        <v>Region1</v>
      </c>
      <c r="K51" s="198" t="str">
        <f>I51</f>
        <v>Region2</v>
      </c>
      <c r="L51" s="195" t="s">
        <v>248</v>
      </c>
      <c r="M51" s="216"/>
      <c r="N51" s="216"/>
      <c r="O51" s="244"/>
      <c r="P51" s="216"/>
      <c r="V51" s="171"/>
      <c r="W51" s="172"/>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2"/>
    </row>
    <row r="52" spans="1:45">
      <c r="A52" s="195" t="s">
        <v>244</v>
      </c>
      <c r="B52" s="41">
        <f ca="1">MAX(0,1-SUM(C52:E52))</f>
        <v>0.653788742186171</v>
      </c>
      <c r="C52" s="41">
        <f ca="1">SUMIF(OFFSET(CalibData2!$M$3,1,0,$Q$2),ROW()+COLUMN()/100,OFFSET(CalibData2!$N$3,1,0,$Q$2))</f>
        <v>0.346211257813829</v>
      </c>
      <c r="D52" s="41">
        <f ca="1">SUMIF(OFFSET(CalibData2!$M$3,1,0,$Q$2),ROW()+COLUMN()/100,OFFSET(CalibData2!$N$3,1,0,$Q$2))</f>
        <v>0</v>
      </c>
      <c r="E52" s="41">
        <f ca="1">SUMIF(OFFSET(CalibData2!$M$3,1,0,$Q$2),ROW()+COLUMN()/100,OFFSET(CalibData2!$N$3,1,0,$Q$2))</f>
        <v>0</v>
      </c>
      <c r="F52" s="228">
        <f t="shared" ref="F52:F62" ca="1" si="3">SUM(B52:E52)</f>
        <v>1</v>
      </c>
      <c r="G52" s="195" t="s">
        <v>244</v>
      </c>
      <c r="H52" s="41">
        <f ca="1">MAX(0,1-I52)</f>
        <v>1</v>
      </c>
      <c r="I52" s="41">
        <f ca="1">SUMIF(OFFSET(CalibData2!$M$3,1,0,$Q$2),ROW()+COLUMN()/100,OFFSET(CalibData2!$N$3,1,0,$Q$2))</f>
        <v>0</v>
      </c>
      <c r="J52" s="40">
        <f t="shared" ref="J52:J59" ca="1" si="4">1-K52</f>
        <v>0.69528692020597038</v>
      </c>
      <c r="K52" s="40">
        <f ca="1">MIN(D36,IF(C$60,K$60*D$44/(C$60*B$44),0.25)*C52*B36)/IF(D36,D36,1)</f>
        <v>0.30471307979402962</v>
      </c>
      <c r="L52" s="228">
        <f ca="1">SUM(H52:I52)</f>
        <v>1</v>
      </c>
      <c r="M52" s="216"/>
      <c r="N52" s="216"/>
      <c r="O52" s="244"/>
      <c r="P52" s="216"/>
    </row>
    <row r="53" spans="1:45">
      <c r="A53" s="195" t="s">
        <v>663</v>
      </c>
      <c r="B53" s="41">
        <f t="shared" ref="B53:B62" ca="1" si="5">MAX(0,1-SUM(C53:E53))</f>
        <v>0.65378874218617089</v>
      </c>
      <c r="C53" s="41">
        <f ca="1">SUMIF(OFFSET(CalibData2!$M$3,1,0,$Q$2),ROW()+COLUMN()/100,OFFSET(CalibData2!$N$3,1,0,$Q$2))</f>
        <v>0.34621125781382911</v>
      </c>
      <c r="D53" s="41">
        <f ca="1">SUMIF(OFFSET(CalibData2!$M$3,1,0,$Q$2),ROW()+COLUMN()/100,OFFSET(CalibData2!$N$3,1,0,$Q$2))</f>
        <v>0</v>
      </c>
      <c r="E53" s="41">
        <f ca="1">SUMIF(OFFSET(CalibData2!$M$3,1,0,$Q$2),ROW()+COLUMN()/100,OFFSET(CalibData2!$N$3,1,0,$Q$2))</f>
        <v>0</v>
      </c>
      <c r="F53" s="228">
        <f t="shared" ca="1" si="3"/>
        <v>1</v>
      </c>
      <c r="G53" s="195" t="s">
        <v>663</v>
      </c>
      <c r="H53" s="41">
        <f t="shared" ref="H53:H62" ca="1" si="6">MAX(0,1-I53)</f>
        <v>1</v>
      </c>
      <c r="I53" s="41">
        <f ca="1">SUMIF(OFFSET(CalibData2!$M$3,1,0,$Q$2),ROW()+COLUMN()/100,OFFSET(CalibData2!$N$3,1,0,$Q$2))</f>
        <v>0</v>
      </c>
      <c r="J53" s="40">
        <f t="shared" ca="1" si="4"/>
        <v>0.63096823801194557</v>
      </c>
      <c r="K53" s="40">
        <f t="shared" ref="K53:K59" ca="1" si="7">MIN(D37,IF(C$60,K$60*D$44/(C$60*B$44),0.25)*C53*B37)/IF(D37,D37,1)</f>
        <v>0.36903176198805443</v>
      </c>
      <c r="L53" s="228">
        <f t="shared" ref="L53:L62" ca="1" si="8">SUM(H53:I53)</f>
        <v>1</v>
      </c>
      <c r="M53" s="216"/>
      <c r="N53" s="216"/>
      <c r="O53" s="244"/>
      <c r="P53" s="216"/>
      <c r="V53" s="171"/>
    </row>
    <row r="54" spans="1:45">
      <c r="A54" s="195" t="s">
        <v>574</v>
      </c>
      <c r="B54" s="41">
        <f t="shared" ca="1" si="5"/>
        <v>1</v>
      </c>
      <c r="C54" s="41">
        <f ca="1">SUMIF(OFFSET(CalibData2!$M$3,1,0,$Q$2),ROW()+COLUMN()/100,OFFSET(CalibData2!$N$3,1,0,$Q$2))</f>
        <v>0</v>
      </c>
      <c r="D54" s="41">
        <f ca="1">SUMIF(OFFSET(CalibData2!$M$3,1,0,$Q$2),ROW()+COLUMN()/100,OFFSET(CalibData2!$N$3,1,0,$Q$2))</f>
        <v>0</v>
      </c>
      <c r="E54" s="41">
        <f ca="1">SUMIF(OFFSET(CalibData2!$M$3,1,0,$Q$2),ROW()+COLUMN()/100,OFFSET(CalibData2!$N$3,1,0,$Q$2))</f>
        <v>0</v>
      </c>
      <c r="F54" s="228">
        <f t="shared" ca="1" si="3"/>
        <v>1</v>
      </c>
      <c r="G54" s="195" t="s">
        <v>574</v>
      </c>
      <c r="H54" s="41">
        <f t="shared" ca="1" si="6"/>
        <v>1</v>
      </c>
      <c r="I54" s="41">
        <f ca="1">SUMIF(OFFSET(CalibData2!$M$3,1,0,$Q$2),ROW()+COLUMN()/100,OFFSET(CalibData2!$N$3,1,0,$Q$2))</f>
        <v>0</v>
      </c>
      <c r="J54" s="40">
        <f t="shared" ca="1" si="4"/>
        <v>1</v>
      </c>
      <c r="K54" s="40">
        <f t="shared" ca="1" si="7"/>
        <v>0</v>
      </c>
      <c r="L54" s="228">
        <f t="shared" ca="1" si="8"/>
        <v>1</v>
      </c>
      <c r="M54" s="216"/>
      <c r="N54" s="216"/>
      <c r="O54" s="244"/>
      <c r="P54" s="216"/>
      <c r="V54" s="171"/>
      <c r="W54" s="172"/>
      <c r="X54" s="172"/>
      <c r="Y54" s="172"/>
      <c r="Z54" s="172"/>
      <c r="AA54" s="172"/>
      <c r="AB54" s="172"/>
      <c r="AC54" s="172"/>
      <c r="AD54" s="172"/>
      <c r="AE54" s="172"/>
      <c r="AF54" s="172"/>
      <c r="AG54" s="172"/>
      <c r="AH54" s="172"/>
      <c r="AI54" s="172"/>
      <c r="AJ54" s="172"/>
      <c r="AK54" s="172"/>
      <c r="AL54" s="172"/>
      <c r="AM54" s="172"/>
      <c r="AN54" s="172"/>
      <c r="AO54" s="172"/>
      <c r="AP54" s="172"/>
      <c r="AQ54" s="172"/>
      <c r="AR54" s="172"/>
      <c r="AS54" s="172"/>
    </row>
    <row r="55" spans="1:45">
      <c r="A55" s="195" t="s">
        <v>576</v>
      </c>
      <c r="B55" s="41">
        <f t="shared" ca="1" si="5"/>
        <v>1</v>
      </c>
      <c r="C55" s="41">
        <f ca="1">SUMIF(OFFSET(CalibData2!$M$3,1,0,$Q$2),ROW()+COLUMN()/100,OFFSET(CalibData2!$N$3,1,0,$Q$2))</f>
        <v>0</v>
      </c>
      <c r="D55" s="41">
        <f ca="1">SUMIF(OFFSET(CalibData2!$M$3,1,0,$Q$2),ROW()+COLUMN()/100,OFFSET(CalibData2!$N$3,1,0,$Q$2))</f>
        <v>0</v>
      </c>
      <c r="E55" s="41">
        <f ca="1">SUMIF(OFFSET(CalibData2!$M$3,1,0,$Q$2),ROW()+COLUMN()/100,OFFSET(CalibData2!$N$3,1,0,$Q$2))</f>
        <v>0</v>
      </c>
      <c r="F55" s="228">
        <f t="shared" ca="1" si="3"/>
        <v>1</v>
      </c>
      <c r="G55" s="195" t="s">
        <v>576</v>
      </c>
      <c r="H55" s="41">
        <f t="shared" ca="1" si="6"/>
        <v>1</v>
      </c>
      <c r="I55" s="41">
        <f ca="1">SUMIF(OFFSET(CalibData2!$M$3,1,0,$Q$2),ROW()+COLUMN()/100,OFFSET(CalibData2!$N$3,1,0,$Q$2))</f>
        <v>0</v>
      </c>
      <c r="J55" s="40">
        <f t="shared" ca="1" si="4"/>
        <v>1</v>
      </c>
      <c r="K55" s="40">
        <f t="shared" ca="1" si="7"/>
        <v>0</v>
      </c>
      <c r="L55" s="228">
        <f t="shared" ca="1" si="8"/>
        <v>1</v>
      </c>
      <c r="M55" s="216"/>
      <c r="N55" s="216"/>
      <c r="O55" s="244"/>
      <c r="P55" s="216"/>
      <c r="V55" s="171"/>
      <c r="W55" s="172"/>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2"/>
    </row>
    <row r="56" spans="1:45" ht="12.6" customHeight="1">
      <c r="A56" s="195" t="s">
        <v>664</v>
      </c>
      <c r="B56" s="41">
        <f t="shared" ca="1" si="5"/>
        <v>1</v>
      </c>
      <c r="C56" s="41">
        <f ca="1">SUMIF(OFFSET(CalibData2!$M$3,1,0,$Q$2),ROW()+COLUMN()/100,OFFSET(CalibData2!$N$3,1,0,$Q$2))</f>
        <v>0</v>
      </c>
      <c r="D56" s="41">
        <f ca="1">SUMIF(OFFSET(CalibData2!$M$3,1,0,$Q$2),ROW()+COLUMN()/100,OFFSET(CalibData2!$N$3,1,0,$Q$2))</f>
        <v>0</v>
      </c>
      <c r="E56" s="41">
        <f ca="1">SUMIF(OFFSET(CalibData2!$M$3,1,0,$Q$2),ROW()+COLUMN()/100,OFFSET(CalibData2!$N$3,1,0,$Q$2))</f>
        <v>0</v>
      </c>
      <c r="F56" s="228">
        <f t="shared" ca="1" si="3"/>
        <v>1</v>
      </c>
      <c r="G56" s="195" t="s">
        <v>664</v>
      </c>
      <c r="H56" s="41">
        <f t="shared" ca="1" si="6"/>
        <v>1</v>
      </c>
      <c r="I56" s="41">
        <f ca="1">SUMIF(OFFSET(CalibData2!$M$3,1,0,$Q$2),ROW()+COLUMN()/100,OFFSET(CalibData2!$N$3,1,0,$Q$2))</f>
        <v>0</v>
      </c>
      <c r="J56" s="40">
        <f t="shared" ca="1" si="4"/>
        <v>1</v>
      </c>
      <c r="K56" s="40">
        <f t="shared" ca="1" si="7"/>
        <v>0</v>
      </c>
      <c r="L56" s="228">
        <f t="shared" ca="1" si="8"/>
        <v>1</v>
      </c>
      <c r="M56" s="216"/>
      <c r="N56" s="216"/>
      <c r="O56" s="244"/>
      <c r="P56" s="216"/>
      <c r="V56" s="171"/>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row>
    <row r="57" spans="1:45" ht="13.5" customHeight="1">
      <c r="A57" s="195" t="s">
        <v>665</v>
      </c>
      <c r="B57" s="41">
        <f t="shared" ca="1" si="5"/>
        <v>1</v>
      </c>
      <c r="C57" s="41">
        <f ca="1">SUMIF(OFFSET(CalibData2!$M$3,1,0,$Q$2),ROW()+COLUMN()/100,OFFSET(CalibData2!$N$3,1,0,$Q$2))</f>
        <v>0</v>
      </c>
      <c r="D57" s="41">
        <f ca="1">SUMIF(OFFSET(CalibData2!$M$3,1,0,$Q$2),ROW()+COLUMN()/100,OFFSET(CalibData2!$N$3,1,0,$Q$2))</f>
        <v>0</v>
      </c>
      <c r="E57" s="41">
        <f ca="1">SUMIF(OFFSET(CalibData2!$M$3,1,0,$Q$2),ROW()+COLUMN()/100,OFFSET(CalibData2!$N$3,1,0,$Q$2))</f>
        <v>0</v>
      </c>
      <c r="F57" s="228">
        <f t="shared" ca="1" si="3"/>
        <v>1</v>
      </c>
      <c r="G57" s="195" t="s">
        <v>665</v>
      </c>
      <c r="H57" s="41">
        <f t="shared" ca="1" si="6"/>
        <v>1</v>
      </c>
      <c r="I57" s="41">
        <f ca="1">SUMIF(OFFSET(CalibData2!$M$3,1,0,$Q$2),ROW()+COLUMN()/100,OFFSET(CalibData2!$N$3,1,0,$Q$2))</f>
        <v>0</v>
      </c>
      <c r="J57" s="40">
        <f t="shared" ca="1" si="4"/>
        <v>1</v>
      </c>
      <c r="K57" s="40">
        <f t="shared" ca="1" si="7"/>
        <v>0</v>
      </c>
      <c r="L57" s="228">
        <f t="shared" ca="1" si="8"/>
        <v>1</v>
      </c>
      <c r="M57" s="216"/>
      <c r="N57" s="216"/>
      <c r="O57" s="216"/>
      <c r="P57" s="216"/>
      <c r="V57" s="171"/>
      <c r="W57" s="172"/>
      <c r="X57" s="172"/>
      <c r="Y57" s="172"/>
      <c r="Z57" s="172"/>
      <c r="AA57" s="172"/>
      <c r="AB57" s="172"/>
      <c r="AC57" s="172"/>
      <c r="AD57" s="172"/>
      <c r="AE57" s="172"/>
      <c r="AF57" s="172"/>
      <c r="AG57" s="172"/>
      <c r="AH57" s="172"/>
      <c r="AI57" s="172"/>
      <c r="AJ57" s="172"/>
      <c r="AK57" s="172"/>
      <c r="AL57" s="172"/>
      <c r="AM57" s="172"/>
      <c r="AN57" s="172"/>
      <c r="AO57" s="172"/>
      <c r="AP57" s="172"/>
      <c r="AQ57" s="172"/>
      <c r="AR57" s="172"/>
      <c r="AS57" s="172"/>
    </row>
    <row r="58" spans="1:45">
      <c r="A58" s="196" t="s">
        <v>588</v>
      </c>
      <c r="B58" s="41">
        <f t="shared" ca="1" si="5"/>
        <v>0.78565707356687542</v>
      </c>
      <c r="C58" s="41">
        <f ca="1">SUMIF(OFFSET(CalibData2!$M$3,1,0,$Q$2),ROW()+COLUMN()/100,OFFSET(CalibData2!$N$3,1,0,$Q$2))</f>
        <v>0.21434292643312455</v>
      </c>
      <c r="D58" s="41">
        <f ca="1">SUMIF(OFFSET(CalibData2!$M$3,1,0,$Q$2),ROW()+COLUMN()/100,OFFSET(CalibData2!$N$3,1,0,$Q$2))</f>
        <v>0</v>
      </c>
      <c r="E58" s="41">
        <f ca="1">SUMIF(OFFSET(CalibData2!$M$3,1,0,$Q$2),ROW()+COLUMN()/100,OFFSET(CalibData2!$N$3,1,0,$Q$2))</f>
        <v>0</v>
      </c>
      <c r="F58" s="228">
        <f t="shared" ca="1" si="3"/>
        <v>1</v>
      </c>
      <c r="G58" s="196" t="s">
        <v>588</v>
      </c>
      <c r="H58" s="41">
        <f t="shared" ca="1" si="6"/>
        <v>1</v>
      </c>
      <c r="I58" s="41">
        <f ca="1">SUMIF(OFFSET(CalibData2!$M$3,1,0,$Q$2),ROW()+COLUMN()/100,OFFSET(CalibData2!$N$3,1,0,$Q$2))</f>
        <v>0</v>
      </c>
      <c r="J58" s="40">
        <f t="shared" ca="1" si="4"/>
        <v>0.66168667895872235</v>
      </c>
      <c r="K58" s="40">
        <f t="shared" ca="1" si="7"/>
        <v>0.3383133210412777</v>
      </c>
      <c r="L58" s="228">
        <f t="shared" ca="1" si="8"/>
        <v>1</v>
      </c>
      <c r="M58" s="216"/>
      <c r="N58" s="216"/>
      <c r="O58" s="216"/>
      <c r="P58" s="216"/>
      <c r="V58" s="171"/>
      <c r="W58" s="172"/>
      <c r="X58" s="172"/>
      <c r="Y58" s="172"/>
      <c r="Z58" s="172"/>
      <c r="AA58" s="172"/>
      <c r="AB58" s="172"/>
      <c r="AC58" s="172"/>
      <c r="AD58" s="172"/>
      <c r="AE58" s="172"/>
      <c r="AF58" s="172"/>
      <c r="AG58" s="172"/>
      <c r="AH58" s="172"/>
      <c r="AI58" s="172"/>
      <c r="AJ58" s="172"/>
      <c r="AK58" s="172"/>
      <c r="AL58" s="172"/>
      <c r="AM58" s="172"/>
      <c r="AN58" s="172"/>
      <c r="AO58" s="172"/>
      <c r="AP58" s="172"/>
      <c r="AQ58" s="172"/>
      <c r="AR58" s="172"/>
      <c r="AS58" s="172"/>
    </row>
    <row r="59" spans="1:45">
      <c r="A59" s="195" t="s">
        <v>247</v>
      </c>
      <c r="B59" s="41">
        <f t="shared" ca="1" si="5"/>
        <v>0.82854179095372649</v>
      </c>
      <c r="C59" s="41">
        <f ca="1">SUMIF(OFFSET(CalibData2!$M$3,1,0,$Q$2),ROW()+COLUMN()/100,OFFSET(CalibData2!$N$3,1,0,$Q$2))</f>
        <v>0.17145820904627349</v>
      </c>
      <c r="D59" s="41">
        <f ca="1">SUMIF(OFFSET(CalibData2!$M$3,1,0,$Q$2),ROW()+COLUMN()/100,OFFSET(CalibData2!$N$3,1,0,$Q$2))</f>
        <v>0</v>
      </c>
      <c r="E59" s="41">
        <f ca="1">SUMIF(OFFSET(CalibData2!$M$3,1,0,$Q$2),ROW()+COLUMN()/100,OFFSET(CalibData2!$N$3,1,0,$Q$2))</f>
        <v>0</v>
      </c>
      <c r="F59" s="228">
        <f t="shared" ca="1" si="3"/>
        <v>1</v>
      </c>
      <c r="G59" s="195" t="s">
        <v>247</v>
      </c>
      <c r="H59" s="41">
        <f t="shared" ca="1" si="6"/>
        <v>1</v>
      </c>
      <c r="I59" s="41">
        <f ca="1">SUMIF(OFFSET(CalibData2!$M$3,1,0,$Q$2),ROW()+COLUMN()/100,OFFSET(CalibData2!$N$3,1,0,$Q$2))</f>
        <v>0</v>
      </c>
      <c r="J59" s="40">
        <f t="shared" ca="1" si="4"/>
        <v>0.83676575579248424</v>
      </c>
      <c r="K59" s="40">
        <f t="shared" ca="1" si="7"/>
        <v>0.16323424420751573</v>
      </c>
      <c r="L59" s="228">
        <f t="shared" ca="1" si="8"/>
        <v>1</v>
      </c>
      <c r="M59" s="216"/>
      <c r="N59" s="216"/>
      <c r="O59" s="216"/>
      <c r="P59" s="216"/>
      <c r="V59" s="171"/>
      <c r="W59" s="172"/>
      <c r="X59" s="172"/>
      <c r="Y59" s="172"/>
      <c r="Z59" s="172"/>
      <c r="AA59" s="172"/>
      <c r="AB59" s="172"/>
      <c r="AC59" s="172"/>
      <c r="AD59" s="172"/>
      <c r="AE59" s="172"/>
      <c r="AF59" s="172"/>
      <c r="AG59" s="172"/>
      <c r="AH59" s="172"/>
      <c r="AI59" s="172"/>
      <c r="AJ59" s="172"/>
      <c r="AK59" s="172"/>
      <c r="AL59" s="172"/>
      <c r="AM59" s="172"/>
      <c r="AN59" s="172"/>
      <c r="AO59" s="172"/>
      <c r="AP59" s="172"/>
      <c r="AQ59" s="172"/>
      <c r="AR59" s="172"/>
      <c r="AS59" s="172"/>
    </row>
    <row r="60" spans="1:45">
      <c r="A60" s="195" t="s">
        <v>646</v>
      </c>
      <c r="B60" s="41">
        <f t="shared" ca="1" si="5"/>
        <v>6.4574488117841056E-2</v>
      </c>
      <c r="C60" s="41">
        <f ca="1">SUMIF(OFFSET(CalibData2!$M$3,1,0,$Q$2),ROW()+COLUMN()/100,OFFSET(CalibData2!$N$3,1,0,$Q$2))</f>
        <v>0.93542551188215894</v>
      </c>
      <c r="D60" s="41">
        <f ca="1">SUMIF(OFFSET(CalibData2!$M$3,1,0,$Q$2),ROW()+COLUMN()/100,OFFSET(CalibData2!$N$3,1,0,$Q$2))</f>
        <v>0</v>
      </c>
      <c r="E60" s="41">
        <f ca="1">SUMIF(OFFSET(CalibData2!$M$3,1,0,$Q$2),ROW()+COLUMN()/100,OFFSET(CalibData2!$N$3,1,0,$Q$2))</f>
        <v>0</v>
      </c>
      <c r="F60" s="228">
        <f t="shared" ca="1" si="3"/>
        <v>1</v>
      </c>
      <c r="G60" s="195" t="s">
        <v>646</v>
      </c>
      <c r="H60" s="41">
        <f t="shared" ca="1" si="6"/>
        <v>1</v>
      </c>
      <c r="I60" s="41">
        <f ca="1">SUMIF(OFFSET(CalibData2!$M$3,1,0,$Q$2),ROW()+COLUMN()/100,OFFSET(CalibData2!$N$3,1,0,$Q$2))</f>
        <v>0</v>
      </c>
      <c r="J60" s="40">
        <f ca="1">1-K60</f>
        <v>5.8494766264970299E-2</v>
      </c>
      <c r="K60" s="40">
        <f ca="1">IF(B60,1-1/(1+C60/(B60*$J$49)),1)</f>
        <v>0.9415052337350297</v>
      </c>
      <c r="L60" s="228">
        <f t="shared" ca="1" si="8"/>
        <v>1</v>
      </c>
      <c r="M60" s="216"/>
      <c r="N60" s="216"/>
      <c r="O60" s="216"/>
      <c r="P60" s="216"/>
      <c r="V60" s="171"/>
      <c r="W60" s="172"/>
      <c r="X60" s="172"/>
      <c r="Y60" s="172"/>
      <c r="Z60" s="172"/>
      <c r="AA60" s="172"/>
      <c r="AB60" s="172"/>
      <c r="AC60" s="172"/>
      <c r="AD60" s="172"/>
      <c r="AE60" s="172"/>
      <c r="AF60" s="172"/>
      <c r="AG60" s="172"/>
      <c r="AH60" s="172"/>
      <c r="AI60" s="172"/>
      <c r="AJ60" s="172"/>
      <c r="AK60" s="172"/>
      <c r="AL60" s="172"/>
      <c r="AM60" s="172"/>
      <c r="AN60" s="172"/>
      <c r="AO60" s="172"/>
      <c r="AP60" s="172"/>
      <c r="AQ60" s="172"/>
      <c r="AR60" s="172"/>
      <c r="AS60" s="172"/>
    </row>
    <row r="61" spans="1:45">
      <c r="A61" s="195" t="s">
        <v>245</v>
      </c>
      <c r="B61" s="41">
        <f t="shared" ca="1" si="5"/>
        <v>1</v>
      </c>
      <c r="C61" s="41">
        <f ca="1">SUMIF(OFFSET(CalibData2!$M$3,1,0,$Q$2),ROW()+COLUMN()/100,OFFSET(CalibData2!$N$3,1,0,$Q$2))</f>
        <v>0</v>
      </c>
      <c r="D61" s="41">
        <f ca="1">SUMIF(OFFSET(CalibData2!$M$3,1,0,$Q$2),ROW()+COLUMN()/100,OFFSET(CalibData2!$N$3,1,0,$Q$2))</f>
        <v>0</v>
      </c>
      <c r="E61" s="41">
        <f ca="1">SUMIF(OFFSET(CalibData2!$M$3,1,0,$Q$2),ROW()+COLUMN()/100,OFFSET(CalibData2!$N$3,1,0,$Q$2))</f>
        <v>0</v>
      </c>
      <c r="F61" s="228">
        <f t="shared" ca="1" si="3"/>
        <v>1</v>
      </c>
      <c r="G61" s="195" t="s">
        <v>245</v>
      </c>
      <c r="H61" s="41">
        <f t="shared" ca="1" si="6"/>
        <v>1</v>
      </c>
      <c r="I61" s="41">
        <f ca="1">SUMIF(OFFSET(CalibData2!$M$3,1,0,$Q$2),ROW()+COLUMN()/100,OFFSET(CalibData2!$N$3,1,0,$Q$2))</f>
        <v>0</v>
      </c>
      <c r="J61" s="40">
        <f ca="1">1-K61</f>
        <v>1</v>
      </c>
      <c r="K61" s="40">
        <f ca="1">MIN(D45,IF(C$60,K$60*D$44/(C$60*B$44),0.25)*C61*B45)/IF(D45,D45,1)</f>
        <v>0</v>
      </c>
      <c r="L61" s="228">
        <f t="shared" ca="1" si="8"/>
        <v>1</v>
      </c>
      <c r="M61" s="195"/>
      <c r="N61" s="195"/>
      <c r="O61" s="195"/>
      <c r="P61" s="195"/>
      <c r="V61" s="171"/>
      <c r="W61" s="172"/>
      <c r="X61" s="172"/>
      <c r="Y61" s="172"/>
      <c r="Z61" s="172"/>
      <c r="AA61" s="172"/>
      <c r="AB61" s="172"/>
      <c r="AC61" s="172"/>
      <c r="AD61" s="172"/>
      <c r="AE61" s="172"/>
      <c r="AF61" s="172"/>
      <c r="AG61" s="172"/>
      <c r="AH61" s="172"/>
      <c r="AI61" s="172"/>
      <c r="AJ61" s="172"/>
      <c r="AK61" s="172"/>
      <c r="AL61" s="172"/>
      <c r="AM61" s="172"/>
      <c r="AN61" s="172"/>
      <c r="AO61" s="172"/>
      <c r="AP61" s="172"/>
      <c r="AQ61" s="172"/>
      <c r="AR61" s="172"/>
      <c r="AS61" s="172"/>
    </row>
    <row r="62" spans="1:45">
      <c r="A62" s="195" t="s">
        <v>246</v>
      </c>
      <c r="B62" s="41">
        <f t="shared" ca="1" si="5"/>
        <v>1</v>
      </c>
      <c r="C62" s="41">
        <f ca="1">SUMIF(OFFSET(CalibData2!$M$3,1,0,$Q$2),ROW()+COLUMN()/100,OFFSET(CalibData2!$N$3,1,0,$Q$2))</f>
        <v>0</v>
      </c>
      <c r="D62" s="41">
        <f ca="1">SUMIF(OFFSET(CalibData2!$M$3,1,0,$Q$2),ROW()+COLUMN()/100,OFFSET(CalibData2!$N$3,1,0,$Q$2))</f>
        <v>0</v>
      </c>
      <c r="E62" s="41">
        <f ca="1">SUMIF(OFFSET(CalibData2!$M$3,1,0,$Q$2),ROW()+COLUMN()/100,OFFSET(CalibData2!$N$3,1,0,$Q$2))</f>
        <v>0</v>
      </c>
      <c r="F62" s="228">
        <f t="shared" ca="1" si="3"/>
        <v>1</v>
      </c>
      <c r="G62" s="195" t="s">
        <v>246</v>
      </c>
      <c r="H62" s="41">
        <f t="shared" ca="1" si="6"/>
        <v>1</v>
      </c>
      <c r="I62" s="41">
        <f ca="1">SUMIF(OFFSET(CalibData2!$M$3,1,0,$Q$2),ROW()+COLUMN()/100,OFFSET(CalibData2!$N$3,1,0,$Q$2))</f>
        <v>0</v>
      </c>
      <c r="J62" s="40">
        <f ca="1">1-K62</f>
        <v>1</v>
      </c>
      <c r="K62" s="40">
        <f ca="1">MIN(D46,IF(C$60,K$60*D$44/(C$60*B$44),0.25)*C62*B46)/IF(D46,D46,1)</f>
        <v>0</v>
      </c>
      <c r="L62" s="228">
        <f t="shared" ca="1" si="8"/>
        <v>1</v>
      </c>
      <c r="M62" s="195"/>
      <c r="N62" s="195"/>
      <c r="O62" s="195"/>
      <c r="P62" s="195"/>
      <c r="V62" s="171"/>
      <c r="W62" s="172"/>
      <c r="X62" s="172"/>
      <c r="Y62" s="172"/>
      <c r="Z62" s="172"/>
      <c r="AA62" s="172"/>
      <c r="AB62" s="172"/>
      <c r="AC62" s="172"/>
      <c r="AD62" s="172"/>
      <c r="AE62" s="172"/>
      <c r="AF62" s="172"/>
      <c r="AG62" s="172"/>
      <c r="AH62" s="172"/>
      <c r="AI62" s="172"/>
      <c r="AJ62" s="172"/>
      <c r="AK62" s="172"/>
      <c r="AL62" s="172"/>
      <c r="AM62" s="172"/>
      <c r="AN62" s="172"/>
      <c r="AO62" s="172"/>
      <c r="AP62" s="172"/>
      <c r="AQ62" s="172"/>
      <c r="AR62" s="172"/>
      <c r="AS62" s="172"/>
    </row>
    <row r="63" spans="1:45">
      <c r="A63" s="195"/>
      <c r="B63" s="195"/>
      <c r="C63" s="195"/>
      <c r="D63" s="195"/>
      <c r="E63" s="195"/>
      <c r="F63" s="205"/>
      <c r="G63" s="195"/>
      <c r="H63" s="195"/>
      <c r="I63" s="195"/>
      <c r="J63" s="195"/>
      <c r="K63" s="195"/>
      <c r="L63" s="195"/>
      <c r="M63" s="195"/>
      <c r="N63" s="195"/>
      <c r="O63" s="195"/>
      <c r="P63" s="195"/>
      <c r="V63" s="171"/>
      <c r="W63" s="172"/>
      <c r="X63" s="172"/>
      <c r="Y63" s="172"/>
      <c r="Z63" s="172"/>
      <c r="AA63" s="172"/>
      <c r="AB63" s="172"/>
      <c r="AC63" s="172"/>
      <c r="AD63" s="172"/>
      <c r="AE63" s="172"/>
      <c r="AF63" s="172"/>
      <c r="AG63" s="172"/>
      <c r="AH63" s="172"/>
      <c r="AI63" s="172"/>
      <c r="AJ63" s="172"/>
      <c r="AK63" s="172"/>
      <c r="AL63" s="172"/>
      <c r="AM63" s="172"/>
      <c r="AN63" s="172"/>
      <c r="AO63" s="172"/>
      <c r="AP63" s="172"/>
      <c r="AQ63" s="172"/>
      <c r="AR63" s="172"/>
      <c r="AS63" s="172"/>
    </row>
    <row r="64" spans="1:45">
      <c r="A64" s="198" t="s">
        <v>283</v>
      </c>
      <c r="B64" s="195"/>
      <c r="C64" s="195"/>
      <c r="D64" s="195"/>
      <c r="E64" s="195"/>
      <c r="F64" s="205"/>
      <c r="G64" s="198" t="s">
        <v>11</v>
      </c>
      <c r="H64" s="195"/>
      <c r="I64" s="195"/>
      <c r="J64" s="195"/>
      <c r="K64" s="195"/>
      <c r="L64" s="195"/>
      <c r="M64" s="195"/>
      <c r="N64" s="195"/>
      <c r="O64" s="195"/>
      <c r="P64" s="195"/>
      <c r="V64" s="171"/>
      <c r="W64" s="172"/>
      <c r="X64" s="172"/>
      <c r="Y64" s="172"/>
      <c r="Z64" s="172"/>
      <c r="AA64" s="172"/>
      <c r="AB64" s="172"/>
      <c r="AC64" s="172"/>
      <c r="AD64" s="172"/>
      <c r="AE64" s="172"/>
      <c r="AF64" s="172"/>
      <c r="AG64" s="172"/>
      <c r="AH64" s="172"/>
      <c r="AI64" s="172"/>
      <c r="AJ64" s="172"/>
      <c r="AK64" s="172"/>
      <c r="AL64" s="172"/>
      <c r="AM64" s="172"/>
      <c r="AN64" s="172"/>
      <c r="AO64" s="172"/>
      <c r="AP64" s="172"/>
      <c r="AQ64" s="172"/>
      <c r="AR64" s="172"/>
      <c r="AS64" s="172"/>
    </row>
    <row r="65" spans="1:45">
      <c r="A65" s="198"/>
      <c r="B65" s="198" t="str">
        <f>B$49</f>
        <v>Region1</v>
      </c>
      <c r="C65" s="198" t="str">
        <f>C$49</f>
        <v>Region2</v>
      </c>
      <c r="D65" s="198" t="str">
        <f>D$49</f>
        <v>Region3</v>
      </c>
      <c r="E65" s="198" t="str">
        <f>E$49</f>
        <v>Region4</v>
      </c>
      <c r="F65" s="205" t="s">
        <v>248</v>
      </c>
      <c r="G65" s="198"/>
      <c r="H65" s="198" t="str">
        <f>B49</f>
        <v>Region1</v>
      </c>
      <c r="I65" s="198" t="str">
        <f>C49</f>
        <v>Region2</v>
      </c>
      <c r="J65" s="198"/>
      <c r="K65" s="198"/>
      <c r="L65" s="195" t="s">
        <v>248</v>
      </c>
      <c r="M65" s="195"/>
      <c r="N65" s="195"/>
      <c r="O65" s="195"/>
      <c r="P65" s="195"/>
      <c r="V65" s="171"/>
      <c r="W65" s="172"/>
      <c r="X65" s="172"/>
      <c r="Y65" s="172"/>
      <c r="Z65" s="172"/>
      <c r="AA65" s="172"/>
      <c r="AB65" s="172"/>
      <c r="AC65" s="172"/>
      <c r="AD65" s="172"/>
      <c r="AE65" s="172"/>
      <c r="AF65" s="172"/>
      <c r="AG65" s="172"/>
      <c r="AH65" s="172"/>
      <c r="AI65" s="172"/>
      <c r="AJ65" s="172"/>
      <c r="AK65" s="172"/>
      <c r="AL65" s="172"/>
      <c r="AM65" s="172"/>
      <c r="AN65" s="172"/>
      <c r="AO65" s="172"/>
      <c r="AP65" s="172"/>
      <c r="AQ65" s="172"/>
      <c r="AR65" s="172"/>
      <c r="AS65" s="172"/>
    </row>
    <row r="66" spans="1:45">
      <c r="A66" s="195" t="s">
        <v>244</v>
      </c>
      <c r="B66" s="41">
        <f ca="1">MAX(0,1-SUM(C66:E66))</f>
        <v>1</v>
      </c>
      <c r="C66" s="41">
        <f ca="1">SUMIF(OFFSET(CalibData2!$M$3,1,0,$Q$2),ROW()+COLUMN()/100,OFFSET(CalibData2!$N$3,1,0,$Q$2))</f>
        <v>0</v>
      </c>
      <c r="D66" s="41">
        <f ca="1">SUMIF(OFFSET(CalibData2!$M$3,1,0,$Q$2),ROW()+COLUMN()/100,OFFSET(CalibData2!$N$3,1,0,$Q$2))</f>
        <v>0</v>
      </c>
      <c r="E66" s="41">
        <f ca="1">SUMIF(OFFSET(CalibData2!$M$3,1,0,$Q$2),ROW()+COLUMN()/100,OFFSET(CalibData2!$N$3,1,0,$Q$2))</f>
        <v>0</v>
      </c>
      <c r="F66" s="228">
        <f t="shared" ref="F66:F76" ca="1" si="9">SUM(B66:E66)</f>
        <v>1</v>
      </c>
      <c r="G66" s="195" t="s">
        <v>244</v>
      </c>
      <c r="H66" s="41">
        <f ca="1">MAX(0,1-I66)</f>
        <v>1</v>
      </c>
      <c r="I66" s="41">
        <f ca="1">SUMIF(OFFSET(CalibData2!$M$3,1,0,$Q$2),ROW()+COLUMN()/100,OFFSET(CalibData2!$N$3,1,0,$Q$2))</f>
        <v>0</v>
      </c>
      <c r="J66" s="40">
        <v>0</v>
      </c>
      <c r="K66" s="40">
        <v>0</v>
      </c>
      <c r="L66" s="228">
        <f t="shared" ref="L66:L76" ca="1" si="10">SUM(H66:K66)</f>
        <v>1</v>
      </c>
      <c r="M66" s="195"/>
      <c r="N66" s="195"/>
      <c r="O66" s="195"/>
      <c r="P66" s="195"/>
      <c r="V66" s="171"/>
      <c r="W66" s="172"/>
      <c r="X66" s="172"/>
      <c r="Y66" s="172"/>
      <c r="Z66" s="172"/>
      <c r="AA66" s="172"/>
      <c r="AB66" s="172"/>
      <c r="AC66" s="172"/>
      <c r="AD66" s="172"/>
      <c r="AE66" s="172"/>
      <c r="AF66" s="172"/>
      <c r="AG66" s="172"/>
      <c r="AH66" s="172"/>
      <c r="AI66" s="172"/>
      <c r="AJ66" s="172"/>
      <c r="AK66" s="172"/>
      <c r="AL66" s="172"/>
      <c r="AM66" s="172"/>
      <c r="AN66" s="172"/>
      <c r="AO66" s="172"/>
      <c r="AP66" s="172"/>
      <c r="AQ66" s="172"/>
      <c r="AR66" s="172"/>
      <c r="AS66" s="172"/>
    </row>
    <row r="67" spans="1:45">
      <c r="A67" s="195" t="s">
        <v>663</v>
      </c>
      <c r="B67" s="41">
        <f t="shared" ref="B67:B76" ca="1" si="11">MAX(0,1-SUM(C67:E67))</f>
        <v>1</v>
      </c>
      <c r="C67" s="41">
        <f ca="1">SUMIF(OFFSET(CalibData2!$M$3,1,0,$Q$2),ROW()+COLUMN()/100,OFFSET(CalibData2!$N$3,1,0,$Q$2))</f>
        <v>0</v>
      </c>
      <c r="D67" s="41">
        <f ca="1">SUMIF(OFFSET(CalibData2!$M$3,1,0,$Q$2),ROW()+COLUMN()/100,OFFSET(CalibData2!$N$3,1,0,$Q$2))</f>
        <v>0</v>
      </c>
      <c r="E67" s="41">
        <f ca="1">SUMIF(OFFSET(CalibData2!$M$3,1,0,$Q$2),ROW()+COLUMN()/100,OFFSET(CalibData2!$N$3,1,0,$Q$2))</f>
        <v>0</v>
      </c>
      <c r="F67" s="228">
        <f t="shared" ca="1" si="9"/>
        <v>1</v>
      </c>
      <c r="G67" s="195" t="s">
        <v>663</v>
      </c>
      <c r="H67" s="41">
        <f t="shared" ref="H67:H76" ca="1" si="12">MAX(0,1-I67)</f>
        <v>1</v>
      </c>
      <c r="I67" s="41">
        <f ca="1">SUMIF(OFFSET(CalibData2!$M$3,1,0,$Q$2),ROW()+COLUMN()/100,OFFSET(CalibData2!$N$3,1,0,$Q$2))</f>
        <v>0</v>
      </c>
      <c r="J67" s="40">
        <v>0</v>
      </c>
      <c r="K67" s="40">
        <v>0</v>
      </c>
      <c r="L67" s="228">
        <f t="shared" ca="1" si="10"/>
        <v>1</v>
      </c>
      <c r="M67" s="195"/>
      <c r="N67" s="195"/>
      <c r="O67" s="195"/>
      <c r="P67" s="195"/>
      <c r="V67" s="171"/>
      <c r="W67" s="172"/>
      <c r="X67" s="172"/>
      <c r="Y67" s="172"/>
      <c r="Z67" s="172"/>
      <c r="AA67" s="172"/>
      <c r="AB67" s="172"/>
      <c r="AC67" s="172"/>
      <c r="AD67" s="172"/>
      <c r="AE67" s="172"/>
      <c r="AF67" s="172"/>
      <c r="AG67" s="172"/>
      <c r="AH67" s="172"/>
      <c r="AI67" s="172"/>
      <c r="AJ67" s="172"/>
      <c r="AK67" s="172"/>
      <c r="AL67" s="172"/>
      <c r="AM67" s="172"/>
      <c r="AN67" s="172"/>
      <c r="AO67" s="172"/>
      <c r="AP67" s="172"/>
      <c r="AQ67" s="172"/>
      <c r="AR67" s="172"/>
      <c r="AS67" s="172"/>
    </row>
    <row r="68" spans="1:45">
      <c r="A68" s="195" t="s">
        <v>574</v>
      </c>
      <c r="B68" s="41">
        <f t="shared" ca="1" si="11"/>
        <v>1</v>
      </c>
      <c r="C68" s="41">
        <f ca="1">SUMIF(OFFSET(CalibData2!$M$3,1,0,$Q$2),ROW()+COLUMN()/100,OFFSET(CalibData2!$N$3,1,0,$Q$2))</f>
        <v>0</v>
      </c>
      <c r="D68" s="41">
        <f ca="1">SUMIF(OFFSET(CalibData2!$M$3,1,0,$Q$2),ROW()+COLUMN()/100,OFFSET(CalibData2!$N$3,1,0,$Q$2))</f>
        <v>0</v>
      </c>
      <c r="E68" s="41">
        <f ca="1">SUMIF(OFFSET(CalibData2!$M$3,1,0,$Q$2),ROW()+COLUMN()/100,OFFSET(CalibData2!$N$3,1,0,$Q$2))</f>
        <v>0</v>
      </c>
      <c r="F68" s="228">
        <f t="shared" ca="1" si="9"/>
        <v>1</v>
      </c>
      <c r="G68" s="195" t="s">
        <v>574</v>
      </c>
      <c r="H68" s="41">
        <f t="shared" ca="1" si="12"/>
        <v>1</v>
      </c>
      <c r="I68" s="41">
        <f ca="1">SUMIF(OFFSET(CalibData2!$M$3,1,0,$Q$2),ROW()+COLUMN()/100,OFFSET(CalibData2!$N$3,1,0,$Q$2))</f>
        <v>0</v>
      </c>
      <c r="J68" s="40">
        <v>0</v>
      </c>
      <c r="K68" s="40">
        <v>0</v>
      </c>
      <c r="L68" s="228">
        <f t="shared" ca="1" si="10"/>
        <v>1</v>
      </c>
      <c r="M68" s="195"/>
      <c r="N68" s="195"/>
      <c r="O68" s="195"/>
      <c r="P68" s="195"/>
      <c r="V68" s="171"/>
      <c r="W68" s="172"/>
      <c r="X68" s="172"/>
      <c r="Y68" s="172"/>
      <c r="Z68" s="172"/>
      <c r="AA68" s="172"/>
      <c r="AB68" s="172"/>
      <c r="AC68" s="172"/>
      <c r="AD68" s="172"/>
      <c r="AE68" s="172"/>
      <c r="AF68" s="172"/>
      <c r="AG68" s="172"/>
      <c r="AH68" s="172"/>
      <c r="AI68" s="172"/>
      <c r="AJ68" s="172"/>
      <c r="AK68" s="172"/>
      <c r="AL68" s="172"/>
      <c r="AM68" s="172"/>
      <c r="AN68" s="172"/>
      <c r="AO68" s="172"/>
      <c r="AP68" s="172"/>
      <c r="AQ68" s="172"/>
      <c r="AR68" s="172"/>
      <c r="AS68" s="172"/>
    </row>
    <row r="69" spans="1:45">
      <c r="A69" s="195" t="s">
        <v>576</v>
      </c>
      <c r="B69" s="41">
        <f t="shared" ca="1" si="11"/>
        <v>1</v>
      </c>
      <c r="C69" s="41">
        <f ca="1">SUMIF(OFFSET(CalibData2!$M$3,1,0,$Q$2),ROW()+COLUMN()/100,OFFSET(CalibData2!$N$3,1,0,$Q$2))</f>
        <v>0</v>
      </c>
      <c r="D69" s="41">
        <f ca="1">SUMIF(OFFSET(CalibData2!$M$3,1,0,$Q$2),ROW()+COLUMN()/100,OFFSET(CalibData2!$N$3,1,0,$Q$2))</f>
        <v>0</v>
      </c>
      <c r="E69" s="41">
        <f ca="1">SUMIF(OFFSET(CalibData2!$M$3,1,0,$Q$2),ROW()+COLUMN()/100,OFFSET(CalibData2!$N$3,1,0,$Q$2))</f>
        <v>0</v>
      </c>
      <c r="F69" s="228">
        <f t="shared" ca="1" si="9"/>
        <v>1</v>
      </c>
      <c r="G69" s="195" t="s">
        <v>576</v>
      </c>
      <c r="H69" s="41">
        <f t="shared" ca="1" si="12"/>
        <v>1</v>
      </c>
      <c r="I69" s="41">
        <f ca="1">SUMIF(OFFSET(CalibData2!$M$3,1,0,$Q$2),ROW()+COLUMN()/100,OFFSET(CalibData2!$N$3,1,0,$Q$2))</f>
        <v>0</v>
      </c>
      <c r="J69" s="40">
        <v>0</v>
      </c>
      <c r="K69" s="40">
        <v>0</v>
      </c>
      <c r="L69" s="228">
        <f t="shared" ca="1" si="10"/>
        <v>1</v>
      </c>
      <c r="M69" s="195"/>
      <c r="N69" s="195"/>
      <c r="O69" s="195"/>
      <c r="P69" s="195"/>
      <c r="V69" s="171"/>
      <c r="W69" s="172"/>
      <c r="X69" s="172"/>
      <c r="Y69" s="172"/>
      <c r="Z69" s="172"/>
      <c r="AA69" s="172"/>
      <c r="AB69" s="172"/>
      <c r="AC69" s="172"/>
      <c r="AD69" s="172"/>
      <c r="AE69" s="172"/>
      <c r="AF69" s="172"/>
      <c r="AG69" s="172"/>
      <c r="AH69" s="172"/>
      <c r="AI69" s="172"/>
      <c r="AJ69" s="172"/>
      <c r="AK69" s="172"/>
      <c r="AL69" s="172"/>
      <c r="AM69" s="172"/>
      <c r="AN69" s="172"/>
      <c r="AO69" s="172"/>
      <c r="AP69" s="172"/>
      <c r="AQ69" s="172"/>
      <c r="AR69" s="172"/>
      <c r="AS69" s="172"/>
    </row>
    <row r="70" spans="1:45">
      <c r="A70" s="195" t="s">
        <v>664</v>
      </c>
      <c r="B70" s="41">
        <f t="shared" ca="1" si="11"/>
        <v>1</v>
      </c>
      <c r="C70" s="41">
        <f ca="1">SUMIF(OFFSET(CalibData2!$M$3,1,0,$Q$2),ROW()+COLUMN()/100,OFFSET(CalibData2!$N$3,1,0,$Q$2))</f>
        <v>0</v>
      </c>
      <c r="D70" s="41">
        <f ca="1">SUMIF(OFFSET(CalibData2!$M$3,1,0,$Q$2),ROW()+COLUMN()/100,OFFSET(CalibData2!$N$3,1,0,$Q$2))</f>
        <v>0</v>
      </c>
      <c r="E70" s="41">
        <f ca="1">SUMIF(OFFSET(CalibData2!$M$3,1,0,$Q$2),ROW()+COLUMN()/100,OFFSET(CalibData2!$N$3,1,0,$Q$2))</f>
        <v>0</v>
      </c>
      <c r="F70" s="228">
        <f t="shared" ca="1" si="9"/>
        <v>1</v>
      </c>
      <c r="G70" s="195" t="s">
        <v>664</v>
      </c>
      <c r="H70" s="41">
        <f t="shared" ca="1" si="12"/>
        <v>1</v>
      </c>
      <c r="I70" s="41">
        <f ca="1">SUMIF(OFFSET(CalibData2!$M$3,1,0,$Q$2),ROW()+COLUMN()/100,OFFSET(CalibData2!$N$3,1,0,$Q$2))</f>
        <v>0</v>
      </c>
      <c r="J70" s="40">
        <v>0</v>
      </c>
      <c r="K70" s="40">
        <v>0</v>
      </c>
      <c r="L70" s="228">
        <f t="shared" ca="1" si="10"/>
        <v>1</v>
      </c>
      <c r="M70" s="195"/>
      <c r="N70" s="195"/>
      <c r="O70" s="195"/>
      <c r="P70" s="195"/>
      <c r="V70" s="171"/>
      <c r="W70" s="172"/>
      <c r="X70" s="172"/>
      <c r="Y70" s="172"/>
      <c r="Z70" s="172"/>
      <c r="AA70" s="172"/>
      <c r="AB70" s="172"/>
      <c r="AC70" s="172"/>
      <c r="AD70" s="172"/>
      <c r="AE70" s="172"/>
      <c r="AF70" s="172"/>
      <c r="AG70" s="172"/>
      <c r="AH70" s="172"/>
      <c r="AI70" s="172"/>
      <c r="AJ70" s="172"/>
      <c r="AK70" s="172"/>
      <c r="AL70" s="172"/>
      <c r="AM70" s="172"/>
      <c r="AN70" s="172"/>
      <c r="AO70" s="172"/>
      <c r="AP70" s="172"/>
      <c r="AQ70" s="172"/>
      <c r="AR70" s="172"/>
      <c r="AS70" s="172"/>
    </row>
    <row r="71" spans="1:45">
      <c r="A71" s="195" t="s">
        <v>665</v>
      </c>
      <c r="B71" s="41">
        <f t="shared" ca="1" si="11"/>
        <v>1</v>
      </c>
      <c r="C71" s="41">
        <f ca="1">SUMIF(OFFSET(CalibData2!$M$3,1,0,$Q$2),ROW()+COLUMN()/100,OFFSET(CalibData2!$N$3,1,0,$Q$2))</f>
        <v>0</v>
      </c>
      <c r="D71" s="41">
        <f ca="1">SUMIF(OFFSET(CalibData2!$M$3,1,0,$Q$2),ROW()+COLUMN()/100,OFFSET(CalibData2!$N$3,1,0,$Q$2))</f>
        <v>0</v>
      </c>
      <c r="E71" s="41">
        <f ca="1">SUMIF(OFFSET(CalibData2!$M$3,1,0,$Q$2),ROW()+COLUMN()/100,OFFSET(CalibData2!$N$3,1,0,$Q$2))</f>
        <v>0</v>
      </c>
      <c r="F71" s="228">
        <f t="shared" ca="1" si="9"/>
        <v>1</v>
      </c>
      <c r="G71" s="195" t="s">
        <v>665</v>
      </c>
      <c r="H71" s="41">
        <f t="shared" ca="1" si="12"/>
        <v>1</v>
      </c>
      <c r="I71" s="41">
        <f ca="1">SUMIF(OFFSET(CalibData2!$M$3,1,0,$Q$2),ROW()+COLUMN()/100,OFFSET(CalibData2!$N$3,1,0,$Q$2))</f>
        <v>0</v>
      </c>
      <c r="J71" s="40">
        <v>0</v>
      </c>
      <c r="K71" s="40">
        <v>0</v>
      </c>
      <c r="L71" s="228">
        <f t="shared" ca="1" si="10"/>
        <v>1</v>
      </c>
      <c r="M71" s="195"/>
      <c r="N71" s="195"/>
      <c r="O71" s="195"/>
      <c r="P71" s="195"/>
    </row>
    <row r="72" spans="1:45">
      <c r="A72" s="196" t="s">
        <v>588</v>
      </c>
      <c r="B72" s="41">
        <f t="shared" ca="1" si="11"/>
        <v>1</v>
      </c>
      <c r="C72" s="41">
        <f ca="1">SUMIF(OFFSET(CalibData2!$M$3,1,0,$Q$2),ROW()+COLUMN()/100,OFFSET(CalibData2!$N$3,1,0,$Q$2))</f>
        <v>0</v>
      </c>
      <c r="D72" s="41">
        <f ca="1">SUMIF(OFFSET(CalibData2!$M$3,1,0,$Q$2),ROW()+COLUMN()/100,OFFSET(CalibData2!$N$3,1,0,$Q$2))</f>
        <v>0</v>
      </c>
      <c r="E72" s="41">
        <f ca="1">SUMIF(OFFSET(CalibData2!$M$3,1,0,$Q$2),ROW()+COLUMN()/100,OFFSET(CalibData2!$N$3,1,0,$Q$2))</f>
        <v>0</v>
      </c>
      <c r="F72" s="228">
        <f t="shared" ca="1" si="9"/>
        <v>1</v>
      </c>
      <c r="G72" s="196" t="s">
        <v>588</v>
      </c>
      <c r="H72" s="41">
        <f t="shared" ca="1" si="12"/>
        <v>1</v>
      </c>
      <c r="I72" s="41">
        <f ca="1">SUMIF(OFFSET(CalibData2!$M$3,1,0,$Q$2),ROW()+COLUMN()/100,OFFSET(CalibData2!$N$3,1,0,$Q$2))</f>
        <v>0</v>
      </c>
      <c r="J72" s="40">
        <v>0</v>
      </c>
      <c r="K72" s="40">
        <v>0</v>
      </c>
      <c r="L72" s="228">
        <f t="shared" ca="1" si="10"/>
        <v>1</v>
      </c>
      <c r="M72" s="195"/>
      <c r="N72" s="195"/>
      <c r="O72" s="195"/>
      <c r="P72" s="195"/>
      <c r="V72" s="171"/>
    </row>
    <row r="73" spans="1:45">
      <c r="A73" s="195" t="s">
        <v>247</v>
      </c>
      <c r="B73" s="41">
        <f t="shared" ca="1" si="11"/>
        <v>1</v>
      </c>
      <c r="C73" s="41">
        <f ca="1">SUMIF(OFFSET(CalibData2!$M$3,1,0,$Q$2),ROW()+COLUMN()/100,OFFSET(CalibData2!$N$3,1,0,$Q$2))</f>
        <v>0</v>
      </c>
      <c r="D73" s="41">
        <f ca="1">SUMIF(OFFSET(CalibData2!$M$3,1,0,$Q$2),ROW()+COLUMN()/100,OFFSET(CalibData2!$N$3,1,0,$Q$2))</f>
        <v>0</v>
      </c>
      <c r="E73" s="41">
        <f ca="1">SUMIF(OFFSET(CalibData2!$M$3,1,0,$Q$2),ROW()+COLUMN()/100,OFFSET(CalibData2!$N$3,1,0,$Q$2))</f>
        <v>0</v>
      </c>
      <c r="F73" s="228">
        <f t="shared" ca="1" si="9"/>
        <v>1</v>
      </c>
      <c r="G73" s="195" t="s">
        <v>247</v>
      </c>
      <c r="H73" s="41">
        <f t="shared" ca="1" si="12"/>
        <v>1</v>
      </c>
      <c r="I73" s="41">
        <f ca="1">SUMIF(OFFSET(CalibData2!$M$3,1,0,$Q$2),ROW()+COLUMN()/100,OFFSET(CalibData2!$N$3,1,0,$Q$2))</f>
        <v>0</v>
      </c>
      <c r="J73" s="40">
        <v>0</v>
      </c>
      <c r="K73" s="40">
        <v>0</v>
      </c>
      <c r="L73" s="228">
        <f t="shared" ca="1" si="10"/>
        <v>1</v>
      </c>
      <c r="M73" s="195"/>
      <c r="N73" s="195"/>
      <c r="O73" s="195"/>
      <c r="P73" s="195"/>
      <c r="V73" s="171"/>
      <c r="W73" s="172"/>
      <c r="X73" s="172"/>
      <c r="Y73" s="172"/>
      <c r="Z73" s="172"/>
      <c r="AA73" s="172"/>
      <c r="AB73" s="172"/>
      <c r="AC73" s="172"/>
      <c r="AD73" s="172"/>
      <c r="AE73" s="172"/>
      <c r="AF73" s="172"/>
      <c r="AG73" s="172"/>
      <c r="AH73" s="172"/>
      <c r="AI73" s="172"/>
      <c r="AJ73" s="172"/>
      <c r="AK73" s="172"/>
      <c r="AL73" s="172"/>
      <c r="AM73" s="172"/>
      <c r="AN73" s="172"/>
      <c r="AO73" s="172"/>
      <c r="AP73" s="172"/>
      <c r="AQ73" s="172"/>
      <c r="AR73" s="172"/>
      <c r="AS73" s="172"/>
    </row>
    <row r="74" spans="1:45">
      <c r="A74" s="195" t="s">
        <v>646</v>
      </c>
      <c r="B74" s="41">
        <f t="shared" ca="1" si="11"/>
        <v>1</v>
      </c>
      <c r="C74" s="41">
        <f ca="1">SUMIF(OFFSET(CalibData2!$M$3,1,0,$Q$2),ROW()+COLUMN()/100,OFFSET(CalibData2!$N$3,1,0,$Q$2))</f>
        <v>0</v>
      </c>
      <c r="D74" s="41">
        <f ca="1">SUMIF(OFFSET(CalibData2!$M$3,1,0,$Q$2),ROW()+COLUMN()/100,OFFSET(CalibData2!$N$3,1,0,$Q$2))</f>
        <v>0</v>
      </c>
      <c r="E74" s="41">
        <f ca="1">SUMIF(OFFSET(CalibData2!$M$3,1,0,$Q$2),ROW()+COLUMN()/100,OFFSET(CalibData2!$N$3,1,0,$Q$2))</f>
        <v>0</v>
      </c>
      <c r="F74" s="228">
        <f t="shared" ca="1" si="9"/>
        <v>1</v>
      </c>
      <c r="G74" s="195" t="s">
        <v>646</v>
      </c>
      <c r="H74" s="41">
        <f t="shared" ca="1" si="12"/>
        <v>1</v>
      </c>
      <c r="I74" s="41">
        <f ca="1">SUMIF(OFFSET(CalibData2!$M$3,1,0,$Q$2),ROW()+COLUMN()/100,OFFSET(CalibData2!$N$3,1,0,$Q$2))</f>
        <v>0</v>
      </c>
      <c r="J74" s="40">
        <v>0</v>
      </c>
      <c r="K74" s="40">
        <v>0</v>
      </c>
      <c r="L74" s="228">
        <f t="shared" ca="1" si="10"/>
        <v>1</v>
      </c>
      <c r="M74" s="195"/>
      <c r="N74" s="195"/>
      <c r="O74" s="195"/>
      <c r="P74" s="195"/>
      <c r="V74" s="171"/>
      <c r="W74" s="172"/>
      <c r="X74" s="172"/>
      <c r="Y74" s="172"/>
      <c r="Z74" s="172"/>
      <c r="AA74" s="172"/>
      <c r="AB74" s="172"/>
      <c r="AC74" s="172"/>
      <c r="AD74" s="172"/>
      <c r="AE74" s="172"/>
      <c r="AF74" s="172"/>
      <c r="AG74" s="172"/>
      <c r="AH74" s="172"/>
      <c r="AI74" s="172"/>
      <c r="AJ74" s="172"/>
      <c r="AK74" s="172"/>
      <c r="AL74" s="172"/>
      <c r="AM74" s="172"/>
      <c r="AN74" s="172"/>
      <c r="AO74" s="172"/>
      <c r="AP74" s="172"/>
      <c r="AQ74" s="172"/>
      <c r="AR74" s="172"/>
      <c r="AS74" s="172"/>
    </row>
    <row r="75" spans="1:45">
      <c r="A75" s="195" t="s">
        <v>245</v>
      </c>
      <c r="B75" s="41">
        <f t="shared" ca="1" si="11"/>
        <v>1</v>
      </c>
      <c r="C75" s="41">
        <f ca="1">SUMIF(OFFSET(CalibData2!$M$3,1,0,$Q$2),ROW()+COLUMN()/100,OFFSET(CalibData2!$N$3,1,0,$Q$2))</f>
        <v>0</v>
      </c>
      <c r="D75" s="41">
        <f ca="1">SUMIF(OFFSET(CalibData2!$M$3,1,0,$Q$2),ROW()+COLUMN()/100,OFFSET(CalibData2!$N$3,1,0,$Q$2))</f>
        <v>0</v>
      </c>
      <c r="E75" s="41">
        <f ca="1">SUMIF(OFFSET(CalibData2!$M$3,1,0,$Q$2),ROW()+COLUMN()/100,OFFSET(CalibData2!$N$3,1,0,$Q$2))</f>
        <v>0</v>
      </c>
      <c r="F75" s="228">
        <f t="shared" ca="1" si="9"/>
        <v>1</v>
      </c>
      <c r="G75" s="195" t="s">
        <v>245</v>
      </c>
      <c r="H75" s="41">
        <f t="shared" ca="1" si="12"/>
        <v>1</v>
      </c>
      <c r="I75" s="41">
        <f ca="1">SUMIF(OFFSET(CalibData2!$M$3,1,0,$Q$2),ROW()+COLUMN()/100,OFFSET(CalibData2!$N$3,1,0,$Q$2))</f>
        <v>0</v>
      </c>
      <c r="J75" s="40">
        <v>0</v>
      </c>
      <c r="K75" s="40">
        <v>0</v>
      </c>
      <c r="L75" s="228">
        <f t="shared" ca="1" si="10"/>
        <v>1</v>
      </c>
      <c r="M75" s="195"/>
      <c r="N75" s="195"/>
      <c r="O75" s="195"/>
      <c r="P75" s="195"/>
      <c r="V75" s="171"/>
      <c r="W75" s="172"/>
      <c r="X75" s="172"/>
      <c r="Y75" s="172"/>
      <c r="Z75" s="172"/>
      <c r="AA75" s="172"/>
      <c r="AB75" s="172"/>
      <c r="AC75" s="172"/>
      <c r="AD75" s="172"/>
      <c r="AE75" s="172"/>
      <c r="AF75" s="172"/>
      <c r="AG75" s="172"/>
      <c r="AH75" s="172"/>
      <c r="AI75" s="172"/>
      <c r="AJ75" s="172"/>
      <c r="AK75" s="172"/>
      <c r="AL75" s="172"/>
      <c r="AM75" s="172"/>
      <c r="AN75" s="172"/>
      <c r="AO75" s="172"/>
      <c r="AP75" s="172"/>
      <c r="AQ75" s="172"/>
      <c r="AR75" s="172"/>
      <c r="AS75" s="172"/>
    </row>
    <row r="76" spans="1:45">
      <c r="A76" s="195" t="s">
        <v>246</v>
      </c>
      <c r="B76" s="41">
        <f t="shared" ca="1" si="11"/>
        <v>1</v>
      </c>
      <c r="C76" s="41">
        <f ca="1">SUMIF(OFFSET(CalibData2!$M$3,1,0,$Q$2),ROW()+COLUMN()/100,OFFSET(CalibData2!$N$3,1,0,$Q$2))</f>
        <v>0</v>
      </c>
      <c r="D76" s="41">
        <f ca="1">SUMIF(OFFSET(CalibData2!$M$3,1,0,$Q$2),ROW()+COLUMN()/100,OFFSET(CalibData2!$N$3,1,0,$Q$2))</f>
        <v>0</v>
      </c>
      <c r="E76" s="41">
        <f ca="1">SUMIF(OFFSET(CalibData2!$M$3,1,0,$Q$2),ROW()+COLUMN()/100,OFFSET(CalibData2!$N$3,1,0,$Q$2))</f>
        <v>0</v>
      </c>
      <c r="F76" s="228">
        <f t="shared" ca="1" si="9"/>
        <v>1</v>
      </c>
      <c r="G76" s="195" t="s">
        <v>246</v>
      </c>
      <c r="H76" s="41">
        <f t="shared" ca="1" si="12"/>
        <v>1</v>
      </c>
      <c r="I76" s="41">
        <f ca="1">SUMIF(OFFSET(CalibData2!$M$3,1,0,$Q$2),ROW()+COLUMN()/100,OFFSET(CalibData2!$N$3,1,0,$Q$2))</f>
        <v>0</v>
      </c>
      <c r="J76" s="40">
        <v>0</v>
      </c>
      <c r="K76" s="40">
        <v>0</v>
      </c>
      <c r="L76" s="228">
        <f t="shared" ca="1" si="10"/>
        <v>1</v>
      </c>
      <c r="M76" s="195"/>
      <c r="N76" s="195"/>
      <c r="O76" s="195"/>
      <c r="P76" s="195"/>
      <c r="V76" s="171"/>
      <c r="W76" s="172"/>
      <c r="X76" s="172"/>
      <c r="Y76" s="172"/>
      <c r="Z76" s="172"/>
      <c r="AA76" s="172"/>
      <c r="AB76" s="172"/>
      <c r="AC76" s="172"/>
      <c r="AD76" s="172"/>
      <c r="AE76" s="172"/>
      <c r="AF76" s="172"/>
      <c r="AG76" s="172"/>
      <c r="AH76" s="172"/>
      <c r="AI76" s="172"/>
      <c r="AJ76" s="172"/>
      <c r="AK76" s="172"/>
      <c r="AL76" s="172"/>
      <c r="AM76" s="172"/>
      <c r="AN76" s="172"/>
      <c r="AO76" s="172"/>
      <c r="AP76" s="172"/>
      <c r="AQ76" s="172"/>
      <c r="AR76" s="172"/>
      <c r="AS76" s="172"/>
    </row>
    <row r="77" spans="1:45">
      <c r="A77" s="195"/>
      <c r="B77" s="195"/>
      <c r="C77" s="195"/>
      <c r="D77" s="195"/>
      <c r="E77" s="195"/>
      <c r="F77" s="195"/>
      <c r="G77" s="195"/>
      <c r="H77" s="195"/>
      <c r="I77" s="195"/>
      <c r="J77" s="195"/>
      <c r="K77" s="195"/>
      <c r="L77" s="195"/>
      <c r="M77" s="195"/>
      <c r="N77" s="195"/>
      <c r="O77" s="195"/>
      <c r="P77" s="195"/>
      <c r="V77" s="171"/>
      <c r="W77" s="172"/>
      <c r="X77" s="172"/>
      <c r="Y77" s="172"/>
      <c r="Z77" s="172"/>
      <c r="AA77" s="172"/>
      <c r="AB77" s="172"/>
      <c r="AC77" s="172"/>
      <c r="AD77" s="172"/>
      <c r="AE77" s="172"/>
      <c r="AF77" s="172"/>
      <c r="AG77" s="172"/>
      <c r="AH77" s="172"/>
      <c r="AI77" s="172"/>
      <c r="AJ77" s="172"/>
      <c r="AK77" s="172"/>
      <c r="AL77" s="172"/>
      <c r="AM77" s="172"/>
      <c r="AN77" s="172"/>
      <c r="AO77" s="172"/>
      <c r="AP77" s="172"/>
      <c r="AQ77" s="172"/>
      <c r="AR77" s="172"/>
      <c r="AS77" s="172"/>
    </row>
    <row r="78" spans="1:45" ht="18">
      <c r="A78" s="131" t="s">
        <v>521</v>
      </c>
      <c r="B78" s="98"/>
      <c r="C78" s="98"/>
      <c r="D78" s="98"/>
      <c r="E78" s="98"/>
      <c r="F78" s="98"/>
      <c r="G78" s="98"/>
      <c r="H78" s="216"/>
      <c r="I78" s="216"/>
      <c r="J78" s="216"/>
      <c r="K78" s="216"/>
      <c r="L78" s="219"/>
      <c r="M78" s="219"/>
      <c r="N78" s="219"/>
      <c r="O78" s="195"/>
      <c r="P78" s="195"/>
      <c r="V78" s="171"/>
      <c r="W78" s="172"/>
      <c r="X78" s="172"/>
      <c r="Y78" s="172"/>
      <c r="Z78" s="172"/>
      <c r="AA78" s="172"/>
      <c r="AB78" s="172"/>
      <c r="AC78" s="172"/>
      <c r="AD78" s="172"/>
      <c r="AE78" s="172"/>
      <c r="AF78" s="172"/>
      <c r="AG78" s="172"/>
      <c r="AH78" s="172"/>
      <c r="AI78" s="172"/>
      <c r="AJ78" s="172"/>
      <c r="AK78" s="172"/>
      <c r="AL78" s="172"/>
      <c r="AM78" s="172"/>
      <c r="AN78" s="172"/>
      <c r="AO78" s="172"/>
      <c r="AP78" s="172"/>
      <c r="AQ78" s="172"/>
      <c r="AR78" s="172"/>
      <c r="AS78" s="172"/>
    </row>
    <row r="79" spans="1:45" ht="33.75">
      <c r="A79" s="195"/>
      <c r="B79" s="209" t="s">
        <v>213</v>
      </c>
      <c r="C79" s="209" t="s">
        <v>105</v>
      </c>
      <c r="D79" s="209" t="s">
        <v>179</v>
      </c>
      <c r="E79" s="209" t="s">
        <v>90</v>
      </c>
      <c r="F79" s="209" t="s">
        <v>93</v>
      </c>
      <c r="G79" s="209" t="s">
        <v>95</v>
      </c>
      <c r="H79" s="209" t="s">
        <v>269</v>
      </c>
      <c r="I79" s="209" t="s">
        <v>97</v>
      </c>
      <c r="J79" s="209" t="s">
        <v>268</v>
      </c>
      <c r="K79" s="209" t="s">
        <v>636</v>
      </c>
      <c r="L79" s="209" t="s">
        <v>104</v>
      </c>
      <c r="M79" s="216"/>
      <c r="N79" s="214"/>
      <c r="O79" s="195"/>
      <c r="P79" s="195"/>
      <c r="V79" s="171"/>
      <c r="W79" s="172"/>
      <c r="X79" s="172"/>
      <c r="Y79" s="172"/>
      <c r="Z79" s="172"/>
      <c r="AA79" s="172"/>
      <c r="AB79" s="172"/>
      <c r="AC79" s="172"/>
      <c r="AD79" s="172"/>
      <c r="AE79" s="172"/>
      <c r="AF79" s="172"/>
      <c r="AG79" s="172"/>
      <c r="AH79" s="172"/>
      <c r="AI79" s="172"/>
      <c r="AJ79" s="172"/>
      <c r="AK79" s="172"/>
      <c r="AL79" s="172"/>
      <c r="AM79" s="172"/>
      <c r="AN79" s="172"/>
      <c r="AO79" s="172"/>
      <c r="AP79" s="172"/>
      <c r="AQ79" s="172"/>
      <c r="AR79" s="172"/>
      <c r="AS79" s="172"/>
    </row>
    <row r="80" spans="1:45">
      <c r="A80" s="195"/>
      <c r="B80" s="210" t="s">
        <v>127</v>
      </c>
      <c r="C80" s="210" t="s">
        <v>128</v>
      </c>
      <c r="D80" s="210" t="s">
        <v>44</v>
      </c>
      <c r="E80" s="210" t="s">
        <v>91</v>
      </c>
      <c r="F80" s="210" t="s">
        <v>94</v>
      </c>
      <c r="G80" s="210" t="s">
        <v>129</v>
      </c>
      <c r="H80" s="210" t="s">
        <v>96</v>
      </c>
      <c r="I80" s="210" t="s">
        <v>92</v>
      </c>
      <c r="J80" s="210" t="s">
        <v>637</v>
      </c>
      <c r="K80" s="210" t="s">
        <v>642</v>
      </c>
      <c r="L80" s="210" t="s">
        <v>130</v>
      </c>
      <c r="M80" s="216" t="s">
        <v>248</v>
      </c>
      <c r="N80" s="214"/>
      <c r="O80" s="195"/>
      <c r="P80" s="210" t="s">
        <v>882</v>
      </c>
      <c r="Q80" s="210" t="s">
        <v>888</v>
      </c>
      <c r="V80" s="171"/>
      <c r="W80" s="172"/>
      <c r="X80" s="172"/>
      <c r="Y80" s="172"/>
      <c r="Z80" s="172"/>
      <c r="AA80" s="172"/>
      <c r="AB80" s="172"/>
      <c r="AC80" s="172"/>
      <c r="AD80" s="172"/>
      <c r="AE80" s="172"/>
      <c r="AF80" s="172"/>
      <c r="AG80" s="172"/>
      <c r="AH80" s="172"/>
      <c r="AI80" s="172"/>
      <c r="AJ80" s="172"/>
      <c r="AK80" s="172"/>
      <c r="AL80" s="172"/>
      <c r="AM80" s="172"/>
      <c r="AN80" s="172"/>
      <c r="AO80" s="172"/>
      <c r="AP80" s="172"/>
      <c r="AQ80" s="172"/>
      <c r="AR80" s="172"/>
      <c r="AS80" s="172"/>
    </row>
    <row r="81" spans="1:45">
      <c r="A81" s="211" t="s">
        <v>244</v>
      </c>
      <c r="B81" s="33">
        <f t="shared" ref="B81:L81" ca="1" si="13">B36*$G9</f>
        <v>0.35694338518237489</v>
      </c>
      <c r="C81" s="33">
        <f t="shared" ca="1" si="13"/>
        <v>0</v>
      </c>
      <c r="D81" s="33">
        <f t="shared" ca="1" si="13"/>
        <v>0.12192705002438893</v>
      </c>
      <c r="E81" s="33">
        <f t="shared" si="13"/>
        <v>0</v>
      </c>
      <c r="F81" s="33">
        <f t="shared" ca="1" si="13"/>
        <v>0</v>
      </c>
      <c r="G81" s="33">
        <f t="shared" ca="1" si="13"/>
        <v>6.832956479323618E-2</v>
      </c>
      <c r="H81" s="33">
        <f t="shared" si="13"/>
        <v>0</v>
      </c>
      <c r="I81" s="33">
        <f t="shared" si="13"/>
        <v>0</v>
      </c>
      <c r="J81" s="33">
        <f t="shared" ca="1" si="13"/>
        <v>0</v>
      </c>
      <c r="K81" s="33">
        <f t="shared" si="13"/>
        <v>0</v>
      </c>
      <c r="L81" s="33">
        <f t="shared" si="13"/>
        <v>0</v>
      </c>
      <c r="M81" s="217">
        <f t="shared" ref="M81:M92" ca="1" si="14">SUM(B81:L81)</f>
        <v>0.54720000000000002</v>
      </c>
      <c r="N81" s="222">
        <f t="shared" ref="N81:N91" ca="1" si="15">M81/$M$92</f>
        <v>1.4374445926716129E-2</v>
      </c>
      <c r="O81" s="195"/>
      <c r="P81" s="33">
        <f ca="1">D81*J52</f>
        <v>8.4774283101256662E-2</v>
      </c>
      <c r="Q81" s="33">
        <f ca="1">D81-P81</f>
        <v>3.7152766923132269E-2</v>
      </c>
      <c r="V81" s="171"/>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row>
    <row r="82" spans="1:45">
      <c r="A82" s="211" t="s">
        <v>663</v>
      </c>
      <c r="B82" s="33">
        <f t="shared" ref="B82:L82" ca="1" si="16">B37*$G10</f>
        <v>1.3807326446623251</v>
      </c>
      <c r="C82" s="33">
        <f t="shared" si="16"/>
        <v>0</v>
      </c>
      <c r="D82" s="33">
        <f t="shared" ca="1" si="16"/>
        <v>0.38943741259706605</v>
      </c>
      <c r="E82" s="33">
        <f t="shared" si="16"/>
        <v>0</v>
      </c>
      <c r="F82" s="33">
        <f t="shared" si="16"/>
        <v>0</v>
      </c>
      <c r="G82" s="33">
        <f t="shared" ca="1" si="16"/>
        <v>0</v>
      </c>
      <c r="H82" s="33">
        <f t="shared" si="16"/>
        <v>0</v>
      </c>
      <c r="I82" s="33">
        <f t="shared" si="16"/>
        <v>0</v>
      </c>
      <c r="J82" s="33">
        <f t="shared" ca="1" si="16"/>
        <v>0</v>
      </c>
      <c r="K82" s="33">
        <f t="shared" si="16"/>
        <v>0</v>
      </c>
      <c r="L82" s="33">
        <f t="shared" si="16"/>
        <v>0</v>
      </c>
      <c r="M82" s="217">
        <f t="shared" ca="1" si="14"/>
        <v>1.7701700572593912</v>
      </c>
      <c r="N82" s="222">
        <f t="shared" ca="1" si="15"/>
        <v>4.650075615710364E-2</v>
      </c>
      <c r="O82" s="195"/>
      <c r="P82" s="33">
        <f t="shared" ref="P82:P91" ca="1" si="17">D82*J53</f>
        <v>0.24572263804230182</v>
      </c>
      <c r="Q82" s="33">
        <f t="shared" ref="Q82:Q91" ca="1" si="18">D82-P82</f>
        <v>0.14371477455476422</v>
      </c>
      <c r="V82" s="171"/>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row>
    <row r="83" spans="1:45">
      <c r="A83" s="211" t="s">
        <v>574</v>
      </c>
      <c r="B83" s="33">
        <f t="shared" ref="B83:L83" si="19">IF($G11=0,0,(B38*$G11))</f>
        <v>0</v>
      </c>
      <c r="C83" s="33">
        <f t="shared" si="19"/>
        <v>0</v>
      </c>
      <c r="D83" s="33">
        <f t="shared" si="19"/>
        <v>0</v>
      </c>
      <c r="E83" s="33">
        <f t="shared" si="19"/>
        <v>0</v>
      </c>
      <c r="F83" s="33">
        <f t="shared" si="19"/>
        <v>0</v>
      </c>
      <c r="G83" s="33">
        <f t="shared" si="19"/>
        <v>0</v>
      </c>
      <c r="H83" s="33">
        <f t="shared" si="19"/>
        <v>0</v>
      </c>
      <c r="I83" s="33">
        <f t="shared" si="19"/>
        <v>0</v>
      </c>
      <c r="J83" s="33">
        <f t="shared" si="19"/>
        <v>0</v>
      </c>
      <c r="K83" s="33">
        <f t="shared" si="19"/>
        <v>0</v>
      </c>
      <c r="L83" s="33">
        <f t="shared" si="19"/>
        <v>0</v>
      </c>
      <c r="M83" s="217">
        <f t="shared" si="14"/>
        <v>0</v>
      </c>
      <c r="N83" s="222">
        <f t="shared" ca="1" si="15"/>
        <v>0</v>
      </c>
      <c r="O83" s="195"/>
      <c r="P83" s="33">
        <f t="shared" ca="1" si="17"/>
        <v>0</v>
      </c>
      <c r="Q83" s="33">
        <f t="shared" ca="1" si="18"/>
        <v>0</v>
      </c>
      <c r="V83" s="171"/>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row>
    <row r="84" spans="1:45">
      <c r="A84" s="211" t="s">
        <v>576</v>
      </c>
      <c r="B84" s="33">
        <f t="shared" ref="B84:L84" ca="1" si="20">B39*$G12</f>
        <v>0</v>
      </c>
      <c r="C84" s="33">
        <f t="shared" si="20"/>
        <v>0</v>
      </c>
      <c r="D84" s="33">
        <f t="shared" ca="1" si="20"/>
        <v>0</v>
      </c>
      <c r="E84" s="33">
        <f t="shared" si="20"/>
        <v>0</v>
      </c>
      <c r="F84" s="33">
        <f t="shared" si="20"/>
        <v>0</v>
      </c>
      <c r="G84" s="33">
        <f t="shared" ca="1" si="20"/>
        <v>0</v>
      </c>
      <c r="H84" s="33">
        <f t="shared" si="20"/>
        <v>0</v>
      </c>
      <c r="I84" s="33">
        <f t="shared" si="20"/>
        <v>0</v>
      </c>
      <c r="J84" s="33">
        <f t="shared" ca="1" si="20"/>
        <v>0</v>
      </c>
      <c r="K84" s="33">
        <f t="shared" si="20"/>
        <v>0</v>
      </c>
      <c r="L84" s="33">
        <f t="shared" ca="1" si="20"/>
        <v>0</v>
      </c>
      <c r="M84" s="217">
        <f t="shared" ca="1" si="14"/>
        <v>0</v>
      </c>
      <c r="N84" s="222">
        <f t="shared" ca="1" si="15"/>
        <v>0</v>
      </c>
      <c r="O84" s="195"/>
      <c r="P84" s="33">
        <f t="shared" ca="1" si="17"/>
        <v>0</v>
      </c>
      <c r="Q84" s="33">
        <f t="shared" ca="1" si="18"/>
        <v>0</v>
      </c>
      <c r="V84" s="171"/>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row>
    <row r="85" spans="1:45">
      <c r="A85" s="211" t="s">
        <v>664</v>
      </c>
      <c r="B85" s="33">
        <f t="shared" ref="B85:L85" ca="1" si="21">B40*$G13</f>
        <v>0</v>
      </c>
      <c r="C85" s="33">
        <f t="shared" si="21"/>
        <v>0</v>
      </c>
      <c r="D85" s="33">
        <f t="shared" ca="1" si="21"/>
        <v>0</v>
      </c>
      <c r="E85" s="33">
        <f t="shared" si="21"/>
        <v>0</v>
      </c>
      <c r="F85" s="33">
        <f t="shared" si="21"/>
        <v>0</v>
      </c>
      <c r="G85" s="33">
        <f t="shared" ca="1" si="21"/>
        <v>0</v>
      </c>
      <c r="H85" s="33">
        <f t="shared" si="21"/>
        <v>0</v>
      </c>
      <c r="I85" s="33">
        <f t="shared" si="21"/>
        <v>0</v>
      </c>
      <c r="J85" s="33">
        <f t="shared" ca="1" si="21"/>
        <v>0</v>
      </c>
      <c r="K85" s="33">
        <f t="shared" si="21"/>
        <v>0</v>
      </c>
      <c r="L85" s="33">
        <f t="shared" si="21"/>
        <v>0</v>
      </c>
      <c r="M85" s="217">
        <f t="shared" ca="1" si="14"/>
        <v>0</v>
      </c>
      <c r="N85" s="222">
        <f t="shared" ca="1" si="15"/>
        <v>0</v>
      </c>
      <c r="O85" s="195"/>
      <c r="P85" s="33">
        <f t="shared" ca="1" si="17"/>
        <v>0</v>
      </c>
      <c r="Q85" s="33">
        <f t="shared" ca="1" si="18"/>
        <v>0</v>
      </c>
      <c r="V85" s="171"/>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row>
    <row r="86" spans="1:45">
      <c r="A86" s="211" t="s">
        <v>665</v>
      </c>
      <c r="B86" s="33">
        <f t="shared" ref="B86:L86" ca="1" si="22">B41*$G14</f>
        <v>0</v>
      </c>
      <c r="C86" s="33">
        <f t="shared" si="22"/>
        <v>0</v>
      </c>
      <c r="D86" s="33">
        <f t="shared" ca="1" si="22"/>
        <v>0</v>
      </c>
      <c r="E86" s="33">
        <f t="shared" si="22"/>
        <v>0</v>
      </c>
      <c r="F86" s="33">
        <f t="shared" si="22"/>
        <v>0</v>
      </c>
      <c r="G86" s="33">
        <f t="shared" ca="1" si="22"/>
        <v>0</v>
      </c>
      <c r="H86" s="33">
        <f t="shared" si="22"/>
        <v>0</v>
      </c>
      <c r="I86" s="33">
        <f t="shared" si="22"/>
        <v>0</v>
      </c>
      <c r="J86" s="33">
        <f t="shared" ca="1" si="22"/>
        <v>0</v>
      </c>
      <c r="K86" s="33">
        <f t="shared" si="22"/>
        <v>0</v>
      </c>
      <c r="L86" s="33">
        <f t="shared" si="22"/>
        <v>0</v>
      </c>
      <c r="M86" s="217">
        <f t="shared" ca="1" si="14"/>
        <v>0</v>
      </c>
      <c r="N86" s="222">
        <f t="shared" ca="1" si="15"/>
        <v>0</v>
      </c>
      <c r="O86" s="195"/>
      <c r="P86" s="33">
        <f t="shared" ca="1" si="17"/>
        <v>0</v>
      </c>
      <c r="Q86" s="33">
        <f t="shared" ca="1" si="18"/>
        <v>0</v>
      </c>
      <c r="V86" s="171"/>
      <c r="W86" s="172"/>
      <c r="X86" s="172"/>
      <c r="Y86" s="172"/>
      <c r="Z86" s="172"/>
      <c r="AA86" s="172"/>
      <c r="AB86" s="172"/>
      <c r="AC86" s="172"/>
      <c r="AD86" s="172"/>
      <c r="AE86" s="172"/>
      <c r="AF86" s="172"/>
      <c r="AG86" s="172"/>
      <c r="AH86" s="172"/>
      <c r="AI86" s="172"/>
      <c r="AJ86" s="172"/>
      <c r="AK86" s="172"/>
      <c r="AL86" s="172"/>
      <c r="AM86" s="172"/>
      <c r="AN86" s="172"/>
      <c r="AO86" s="172"/>
      <c r="AP86" s="172"/>
      <c r="AQ86" s="172"/>
      <c r="AR86" s="172"/>
      <c r="AS86" s="172"/>
    </row>
    <row r="87" spans="1:45">
      <c r="A87" s="211" t="s">
        <v>588</v>
      </c>
      <c r="B87" s="33">
        <f t="shared" ref="B87:L87" ca="1" si="23">B42*$G15</f>
        <v>8.768539094296432E-2</v>
      </c>
      <c r="C87" s="33">
        <f t="shared" si="23"/>
        <v>0</v>
      </c>
      <c r="D87" s="33">
        <f t="shared" ca="1" si="23"/>
        <v>1.6701979227231298E-2</v>
      </c>
      <c r="E87" s="33">
        <f t="shared" si="23"/>
        <v>0</v>
      </c>
      <c r="F87" s="33">
        <f t="shared" si="23"/>
        <v>0</v>
      </c>
      <c r="G87" s="33">
        <f t="shared" ca="1" si="23"/>
        <v>1.0544178805070264E-3</v>
      </c>
      <c r="H87" s="33">
        <f t="shared" si="23"/>
        <v>0</v>
      </c>
      <c r="I87" s="33">
        <f t="shared" si="23"/>
        <v>0</v>
      </c>
      <c r="J87" s="33">
        <f t="shared" ca="1" si="23"/>
        <v>0</v>
      </c>
      <c r="K87" s="33">
        <f t="shared" si="23"/>
        <v>0</v>
      </c>
      <c r="L87" s="33">
        <f t="shared" si="23"/>
        <v>0</v>
      </c>
      <c r="M87" s="217">
        <f t="shared" ca="1" si="14"/>
        <v>0.10544178805070265</v>
      </c>
      <c r="N87" s="222">
        <f t="shared" ca="1" si="15"/>
        <v>2.7698597966942396E-3</v>
      </c>
      <c r="O87" s="195"/>
      <c r="P87" s="33">
        <f t="shared" ca="1" si="17"/>
        <v>1.1051477166904246E-2</v>
      </c>
      <c r="Q87" s="33">
        <f t="shared" ca="1" si="18"/>
        <v>5.6505020603270523E-3</v>
      </c>
      <c r="V87" s="171"/>
      <c r="W87" s="172"/>
      <c r="X87" s="172"/>
      <c r="Y87" s="172"/>
      <c r="Z87" s="172"/>
      <c r="AA87" s="172"/>
      <c r="AB87" s="172"/>
      <c r="AC87" s="172"/>
      <c r="AD87" s="172"/>
      <c r="AE87" s="172"/>
      <c r="AF87" s="172"/>
      <c r="AG87" s="172"/>
      <c r="AH87" s="172"/>
      <c r="AI87" s="172"/>
      <c r="AJ87" s="172"/>
      <c r="AK87" s="172"/>
      <c r="AL87" s="172"/>
      <c r="AM87" s="172"/>
      <c r="AN87" s="172"/>
      <c r="AO87" s="172"/>
      <c r="AP87" s="172"/>
      <c r="AQ87" s="172"/>
      <c r="AR87" s="172"/>
      <c r="AS87" s="172"/>
    </row>
    <row r="88" spans="1:45">
      <c r="A88" s="211" t="s">
        <v>247</v>
      </c>
      <c r="B88" s="33">
        <f t="shared" ref="B88:L88" ca="1" si="24">B43*$G16</f>
        <v>2.6834361682655739</v>
      </c>
      <c r="C88" s="33">
        <f t="shared" ca="1" si="24"/>
        <v>5.1811751192594284E-2</v>
      </c>
      <c r="D88" s="33">
        <f t="shared" ca="1" si="24"/>
        <v>0.84740089524175999</v>
      </c>
      <c r="E88" s="33">
        <f t="shared" ca="1" si="24"/>
        <v>1.0518978430735593</v>
      </c>
      <c r="F88" s="33">
        <f t="shared" ca="1" si="24"/>
        <v>0.12951858476608852</v>
      </c>
      <c r="G88" s="33">
        <f t="shared" ca="1" si="24"/>
        <v>0.50368338520145539</v>
      </c>
      <c r="H88" s="33">
        <f t="shared" ca="1" si="24"/>
        <v>0.18708240021768344</v>
      </c>
      <c r="I88" s="33">
        <f t="shared" ca="1" si="24"/>
        <v>0.26623264646362638</v>
      </c>
      <c r="J88" s="33">
        <f t="shared" si="24"/>
        <v>0</v>
      </c>
      <c r="K88" s="33">
        <f t="shared" ca="1" si="24"/>
        <v>3.8533394064144861</v>
      </c>
      <c r="L88" s="33">
        <f t="shared" ca="1" si="24"/>
        <v>1.8066993148817589</v>
      </c>
      <c r="M88" s="217">
        <f t="shared" ca="1" si="14"/>
        <v>11.381102395718585</v>
      </c>
      <c r="N88" s="222">
        <f t="shared" ca="1" si="15"/>
        <v>0.29897120060978838</v>
      </c>
      <c r="O88" s="195"/>
      <c r="P88" s="33">
        <f t="shared" ca="1" si="17"/>
        <v>0.70907605056619905</v>
      </c>
      <c r="Q88" s="33">
        <f t="shared" ca="1" si="18"/>
        <v>0.13832484467556094</v>
      </c>
      <c r="V88" s="171"/>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row>
    <row r="89" spans="1:45">
      <c r="A89" s="211" t="s">
        <v>414</v>
      </c>
      <c r="B89" s="33">
        <f t="shared" ref="B89:L89" ca="1" si="25">IF($G17=0,0,(B44*$G17))</f>
        <v>18.683002800000001</v>
      </c>
      <c r="C89" s="33">
        <f t="shared" si="25"/>
        <v>0</v>
      </c>
      <c r="D89" s="33">
        <f t="shared" ca="1" si="25"/>
        <v>5.5806372</v>
      </c>
      <c r="E89" s="33">
        <f t="shared" si="25"/>
        <v>0</v>
      </c>
      <c r="F89" s="33">
        <f t="shared" si="25"/>
        <v>0</v>
      </c>
      <c r="G89" s="33">
        <f t="shared" si="25"/>
        <v>0</v>
      </c>
      <c r="H89" s="33">
        <f t="shared" si="25"/>
        <v>0</v>
      </c>
      <c r="I89" s="33">
        <f t="shared" si="25"/>
        <v>0</v>
      </c>
      <c r="J89" s="33">
        <f t="shared" ca="1" si="25"/>
        <v>0</v>
      </c>
      <c r="K89" s="33">
        <f t="shared" si="25"/>
        <v>0</v>
      </c>
      <c r="L89" s="33">
        <f t="shared" si="25"/>
        <v>0</v>
      </c>
      <c r="M89" s="217">
        <f t="shared" ca="1" si="14"/>
        <v>24.263640000000002</v>
      </c>
      <c r="N89" s="222">
        <f t="shared" ca="1" si="15"/>
        <v>0.63738373750969768</v>
      </c>
      <c r="O89" s="195"/>
      <c r="P89" s="33">
        <f t="shared" ca="1" si="17"/>
        <v>0.32643806862359831</v>
      </c>
      <c r="Q89" s="33">
        <f t="shared" ca="1" si="18"/>
        <v>5.254199131376402</v>
      </c>
      <c r="V89" s="171"/>
      <c r="W89" s="172"/>
      <c r="X89" s="172"/>
      <c r="Y89" s="172"/>
      <c r="Z89" s="172"/>
      <c r="AA89" s="172"/>
      <c r="AB89" s="172"/>
      <c r="AC89" s="172"/>
      <c r="AD89" s="172"/>
      <c r="AE89" s="172"/>
      <c r="AF89" s="172"/>
      <c r="AG89" s="172"/>
      <c r="AH89" s="172"/>
      <c r="AI89" s="172"/>
      <c r="AJ89" s="172"/>
      <c r="AK89" s="172"/>
      <c r="AL89" s="172"/>
      <c r="AM89" s="172"/>
      <c r="AN89" s="172"/>
      <c r="AO89" s="172"/>
      <c r="AP89" s="172"/>
      <c r="AQ89" s="172"/>
      <c r="AR89" s="172"/>
      <c r="AS89" s="172"/>
    </row>
    <row r="90" spans="1:45">
      <c r="A90" s="211" t="s">
        <v>245</v>
      </c>
      <c r="B90" s="33">
        <f t="shared" ref="B90:L90" ca="1" si="26">B45*$G18</f>
        <v>0</v>
      </c>
      <c r="C90" s="33">
        <f t="shared" ca="1" si="26"/>
        <v>0</v>
      </c>
      <c r="D90" s="33">
        <f t="shared" ca="1" si="26"/>
        <v>0</v>
      </c>
      <c r="E90" s="33">
        <f t="shared" si="26"/>
        <v>0</v>
      </c>
      <c r="F90" s="33">
        <f t="shared" si="26"/>
        <v>0</v>
      </c>
      <c r="G90" s="33">
        <f t="shared" si="26"/>
        <v>0</v>
      </c>
      <c r="H90" s="33">
        <f t="shared" si="26"/>
        <v>0</v>
      </c>
      <c r="I90" s="33">
        <f t="shared" si="26"/>
        <v>0</v>
      </c>
      <c r="J90" s="33">
        <f t="shared" ca="1" si="26"/>
        <v>0</v>
      </c>
      <c r="K90" s="33">
        <f t="shared" si="26"/>
        <v>0</v>
      </c>
      <c r="L90" s="33">
        <f t="shared" si="26"/>
        <v>0</v>
      </c>
      <c r="M90" s="217">
        <f t="shared" ca="1" si="14"/>
        <v>0</v>
      </c>
      <c r="N90" s="222">
        <f t="shared" ca="1" si="15"/>
        <v>0</v>
      </c>
      <c r="O90" s="195"/>
      <c r="P90" s="33">
        <f t="shared" ca="1" si="17"/>
        <v>0</v>
      </c>
      <c r="Q90" s="33">
        <f t="shared" ca="1" si="18"/>
        <v>0</v>
      </c>
      <c r="V90" s="171"/>
      <c r="W90" s="172"/>
      <c r="X90" s="172"/>
      <c r="Y90" s="172"/>
      <c r="Z90" s="172"/>
      <c r="AA90" s="172"/>
      <c r="AB90" s="172"/>
      <c r="AC90" s="172"/>
      <c r="AD90" s="172"/>
      <c r="AE90" s="172"/>
      <c r="AF90" s="172"/>
      <c r="AG90" s="172"/>
      <c r="AH90" s="172"/>
      <c r="AI90" s="172"/>
      <c r="AJ90" s="172"/>
      <c r="AK90" s="172"/>
      <c r="AL90" s="172"/>
      <c r="AM90" s="172"/>
      <c r="AN90" s="172"/>
      <c r="AO90" s="172"/>
      <c r="AP90" s="172"/>
      <c r="AQ90" s="172"/>
      <c r="AR90" s="172"/>
      <c r="AS90" s="172"/>
    </row>
    <row r="91" spans="1:45">
      <c r="A91" s="211" t="s">
        <v>246</v>
      </c>
      <c r="B91" s="33">
        <f t="shared" ref="B91:L91" ca="1" si="27">B46*$G19</f>
        <v>0</v>
      </c>
      <c r="C91" s="33">
        <f t="shared" si="27"/>
        <v>0</v>
      </c>
      <c r="D91" s="33">
        <f t="shared" ca="1" si="27"/>
        <v>0</v>
      </c>
      <c r="E91" s="33">
        <f t="shared" si="27"/>
        <v>0</v>
      </c>
      <c r="F91" s="33">
        <f t="shared" si="27"/>
        <v>0</v>
      </c>
      <c r="G91" s="33">
        <f t="shared" ca="1" si="27"/>
        <v>0</v>
      </c>
      <c r="H91" s="33">
        <f t="shared" si="27"/>
        <v>0</v>
      </c>
      <c r="I91" s="33">
        <f t="shared" si="27"/>
        <v>0</v>
      </c>
      <c r="J91" s="33">
        <f t="shared" ca="1" si="27"/>
        <v>0</v>
      </c>
      <c r="K91" s="33">
        <f t="shared" si="27"/>
        <v>0</v>
      </c>
      <c r="L91" s="33">
        <f t="shared" si="27"/>
        <v>0</v>
      </c>
      <c r="M91" s="217">
        <f t="shared" ca="1" si="14"/>
        <v>0</v>
      </c>
      <c r="N91" s="222">
        <f t="shared" ca="1" si="15"/>
        <v>0</v>
      </c>
      <c r="O91" s="195"/>
      <c r="P91" s="33">
        <f t="shared" ca="1" si="17"/>
        <v>0</v>
      </c>
      <c r="Q91" s="33">
        <f t="shared" ca="1" si="18"/>
        <v>0</v>
      </c>
      <c r="V91" s="171"/>
      <c r="W91" s="172"/>
      <c r="X91" s="172"/>
      <c r="Y91" s="172"/>
      <c r="Z91" s="172"/>
      <c r="AA91" s="172"/>
      <c r="AB91" s="172"/>
      <c r="AC91" s="172"/>
      <c r="AD91" s="172"/>
      <c r="AE91" s="172"/>
      <c r="AF91" s="172"/>
      <c r="AG91" s="172"/>
      <c r="AH91" s="172"/>
      <c r="AI91" s="172"/>
      <c r="AJ91" s="172"/>
      <c r="AK91" s="172"/>
      <c r="AL91" s="172"/>
      <c r="AM91" s="172"/>
      <c r="AN91" s="172"/>
      <c r="AO91" s="172"/>
      <c r="AP91" s="172"/>
      <c r="AQ91" s="172"/>
      <c r="AR91" s="172"/>
      <c r="AS91" s="172"/>
    </row>
    <row r="92" spans="1:45">
      <c r="A92" s="216" t="s">
        <v>248</v>
      </c>
      <c r="B92" s="217">
        <f t="shared" ref="B92:L92" ca="1" si="28">SUM(B81:B91)</f>
        <v>23.191800389053238</v>
      </c>
      <c r="C92" s="217">
        <f t="shared" ca="1" si="28"/>
        <v>5.1811751192594284E-2</v>
      </c>
      <c r="D92" s="217">
        <f t="shared" ca="1" si="28"/>
        <v>6.9561045370904466</v>
      </c>
      <c r="E92" s="217">
        <f t="shared" ca="1" si="28"/>
        <v>1.0518978430735593</v>
      </c>
      <c r="F92" s="217">
        <f t="shared" ca="1" si="28"/>
        <v>0.12951858476608852</v>
      </c>
      <c r="G92" s="217">
        <f t="shared" ca="1" si="28"/>
        <v>0.57306736787519863</v>
      </c>
      <c r="H92" s="217">
        <f t="shared" ca="1" si="28"/>
        <v>0.18708240021768344</v>
      </c>
      <c r="I92" s="217">
        <f t="shared" ca="1" si="28"/>
        <v>0.26623264646362638</v>
      </c>
      <c r="J92" s="217">
        <f t="shared" ca="1" si="28"/>
        <v>0</v>
      </c>
      <c r="K92" s="217">
        <f t="shared" ca="1" si="28"/>
        <v>3.8533394064144861</v>
      </c>
      <c r="L92" s="217">
        <f t="shared" ca="1" si="28"/>
        <v>1.8066993148817589</v>
      </c>
      <c r="M92" s="217">
        <f t="shared" ca="1" si="14"/>
        <v>38.067554241028681</v>
      </c>
      <c r="N92" s="214"/>
      <c r="O92" s="195"/>
      <c r="P92" s="195"/>
      <c r="V92" s="171"/>
      <c r="W92" s="172"/>
      <c r="X92" s="172"/>
      <c r="Y92" s="172"/>
      <c r="Z92" s="172"/>
      <c r="AA92" s="172"/>
      <c r="AB92" s="172"/>
      <c r="AC92" s="172"/>
      <c r="AD92" s="172"/>
      <c r="AE92" s="172"/>
      <c r="AF92" s="172"/>
      <c r="AG92" s="172"/>
      <c r="AH92" s="172"/>
      <c r="AI92" s="172"/>
      <c r="AJ92" s="172"/>
      <c r="AK92" s="172"/>
      <c r="AL92" s="172"/>
      <c r="AM92" s="172"/>
      <c r="AN92" s="172"/>
      <c r="AO92" s="172"/>
      <c r="AP92" s="172"/>
      <c r="AQ92" s="172"/>
      <c r="AR92" s="172"/>
      <c r="AS92" s="172"/>
    </row>
    <row r="93" spans="1:45">
      <c r="A93" s="216" t="s">
        <v>337</v>
      </c>
      <c r="B93" s="218">
        <f t="shared" ref="B93:M93" ca="1" si="29">B92/$M$92</f>
        <v>0.60922748654173953</v>
      </c>
      <c r="C93" s="218">
        <f t="shared" ca="1" si="29"/>
        <v>1.3610475436520767E-3</v>
      </c>
      <c r="D93" s="218">
        <f t="shared" ca="1" si="29"/>
        <v>0.18273053459245495</v>
      </c>
      <c r="E93" s="218">
        <f t="shared" ca="1" si="29"/>
        <v>2.7632398877357831E-2</v>
      </c>
      <c r="F93" s="218">
        <f t="shared" ca="1" si="29"/>
        <v>3.4023353311859262E-3</v>
      </c>
      <c r="G93" s="218">
        <f t="shared" ca="1" si="29"/>
        <v>1.5053958135759471E-2</v>
      </c>
      <c r="H93" s="218">
        <f t="shared" ca="1" si="29"/>
        <v>4.9144843672685604E-3</v>
      </c>
      <c r="I93" s="218">
        <f t="shared" ca="1" si="29"/>
        <v>6.9936892918821807E-3</v>
      </c>
      <c r="J93" s="218">
        <f t="shared" ca="1" si="29"/>
        <v>0</v>
      </c>
      <c r="K93" s="218">
        <f t="shared" ca="1" si="29"/>
        <v>0.10122371881357722</v>
      </c>
      <c r="L93" s="218">
        <f t="shared" ca="1" si="29"/>
        <v>4.7460346505122292E-2</v>
      </c>
      <c r="M93" s="218">
        <f t="shared" ca="1" si="29"/>
        <v>1</v>
      </c>
      <c r="N93" s="214"/>
      <c r="O93" s="195"/>
      <c r="P93" s="195"/>
      <c r="V93" s="171"/>
      <c r="W93" s="172"/>
      <c r="X93" s="172"/>
      <c r="Y93" s="172"/>
      <c r="Z93" s="172"/>
      <c r="AA93" s="172"/>
      <c r="AB93" s="172"/>
      <c r="AC93" s="172"/>
      <c r="AD93" s="172"/>
      <c r="AE93" s="172"/>
      <c r="AF93" s="172"/>
      <c r="AG93" s="172"/>
      <c r="AH93" s="172"/>
      <c r="AI93" s="172"/>
      <c r="AJ93" s="172"/>
      <c r="AK93" s="172"/>
      <c r="AL93" s="172"/>
      <c r="AM93" s="172"/>
      <c r="AN93" s="172"/>
      <c r="AO93" s="172"/>
      <c r="AP93" s="172"/>
      <c r="AQ93" s="172"/>
      <c r="AR93" s="172"/>
      <c r="AS93" s="172"/>
    </row>
    <row r="94" spans="1:45">
      <c r="A94" s="195"/>
      <c r="B94" s="195"/>
      <c r="C94" s="195"/>
      <c r="D94" s="195"/>
      <c r="E94" s="195"/>
      <c r="F94" s="195"/>
      <c r="G94" s="195"/>
      <c r="H94" s="195"/>
      <c r="I94" s="195"/>
      <c r="J94" s="195"/>
      <c r="K94" s="195"/>
      <c r="L94" s="195"/>
      <c r="M94" s="195"/>
      <c r="N94" s="195"/>
      <c r="O94" s="195"/>
      <c r="P94" s="195"/>
      <c r="V94" s="171"/>
      <c r="W94" s="172"/>
      <c r="X94" s="172"/>
      <c r="Y94" s="172"/>
      <c r="Z94" s="172"/>
      <c r="AA94" s="172"/>
      <c r="AB94" s="172"/>
      <c r="AC94" s="172"/>
      <c r="AD94" s="172"/>
      <c r="AE94" s="172"/>
      <c r="AF94" s="172"/>
      <c r="AG94" s="172"/>
      <c r="AH94" s="172"/>
      <c r="AI94" s="172"/>
      <c r="AJ94" s="172"/>
      <c r="AK94" s="172"/>
      <c r="AL94" s="172"/>
      <c r="AM94" s="172"/>
      <c r="AN94" s="172"/>
      <c r="AO94" s="172"/>
      <c r="AP94" s="172"/>
      <c r="AQ94" s="172"/>
      <c r="AR94" s="172"/>
      <c r="AS94" s="172"/>
    </row>
    <row r="95" spans="1:45">
      <c r="A95" s="195"/>
      <c r="B95" s="195"/>
      <c r="C95" s="195"/>
      <c r="D95" s="195"/>
      <c r="E95" s="195"/>
      <c r="F95" s="195"/>
      <c r="G95" s="195"/>
      <c r="H95" s="195"/>
      <c r="I95" s="195"/>
      <c r="J95" s="195"/>
      <c r="K95" s="195"/>
      <c r="L95" s="195"/>
      <c r="M95" s="195"/>
      <c r="N95" s="195"/>
      <c r="O95" s="195"/>
      <c r="P95" s="195"/>
      <c r="V95" s="171"/>
      <c r="W95" s="172"/>
      <c r="X95" s="172"/>
      <c r="Y95" s="172"/>
      <c r="Z95" s="172"/>
      <c r="AA95" s="172"/>
      <c r="AB95" s="172"/>
      <c r="AC95" s="172"/>
      <c r="AD95" s="172"/>
      <c r="AE95" s="172"/>
      <c r="AF95" s="172"/>
      <c r="AG95" s="172"/>
      <c r="AH95" s="172"/>
      <c r="AI95" s="172"/>
      <c r="AJ95" s="172"/>
      <c r="AK95" s="172"/>
      <c r="AL95" s="172"/>
      <c r="AM95" s="172"/>
      <c r="AN95" s="172"/>
      <c r="AO95" s="172"/>
      <c r="AP95" s="172"/>
      <c r="AQ95" s="172"/>
      <c r="AR95" s="172"/>
      <c r="AS95" s="172"/>
    </row>
    <row r="96" spans="1:45" ht="18">
      <c r="A96" s="194" t="s">
        <v>523</v>
      </c>
      <c r="B96" s="195"/>
      <c r="C96" s="195"/>
      <c r="D96" s="195"/>
      <c r="E96" s="195"/>
      <c r="F96" s="195"/>
      <c r="G96" s="195"/>
      <c r="H96" s="230"/>
      <c r="I96" s="195"/>
      <c r="J96" s="195"/>
      <c r="K96" s="195"/>
      <c r="L96" s="195"/>
      <c r="M96" s="195"/>
      <c r="N96" s="195"/>
      <c r="O96" s="195"/>
      <c r="P96" s="195"/>
      <c r="V96" s="171"/>
      <c r="W96" s="172"/>
      <c r="X96" s="172"/>
      <c r="Y96" s="172"/>
      <c r="Z96" s="172"/>
      <c r="AA96" s="172"/>
      <c r="AB96" s="172"/>
      <c r="AC96" s="172"/>
      <c r="AD96" s="172"/>
      <c r="AE96" s="172"/>
      <c r="AF96" s="172"/>
      <c r="AG96" s="172"/>
      <c r="AH96" s="172"/>
      <c r="AI96" s="172"/>
      <c r="AJ96" s="172"/>
      <c r="AK96" s="172"/>
      <c r="AL96" s="172"/>
      <c r="AM96" s="172"/>
      <c r="AN96" s="172"/>
      <c r="AO96" s="172"/>
      <c r="AP96" s="172"/>
      <c r="AQ96" s="172"/>
      <c r="AR96" s="172"/>
      <c r="AS96" s="172"/>
    </row>
    <row r="97" spans="1:45" ht="18">
      <c r="A97" s="204"/>
      <c r="B97" s="131" t="s">
        <v>524</v>
      </c>
      <c r="C97" s="98"/>
      <c r="D97" s="98"/>
      <c r="E97" s="195"/>
      <c r="F97" s="195"/>
      <c r="G97" s="195"/>
      <c r="H97" s="230"/>
      <c r="I97" s="231"/>
      <c r="J97" s="232"/>
      <c r="K97" s="233"/>
      <c r="L97" s="195"/>
      <c r="M97" s="195"/>
      <c r="N97" s="195"/>
      <c r="O97" s="131" t="s">
        <v>977</v>
      </c>
      <c r="P97" s="131"/>
      <c r="V97" s="171"/>
      <c r="W97" s="172"/>
      <c r="X97" s="172"/>
      <c r="Y97" s="172"/>
      <c r="Z97" s="172"/>
      <c r="AA97" s="172"/>
      <c r="AB97" s="172"/>
      <c r="AC97" s="172"/>
      <c r="AD97" s="172"/>
      <c r="AE97" s="172"/>
      <c r="AF97" s="172"/>
      <c r="AG97" s="172"/>
      <c r="AH97" s="172"/>
      <c r="AI97" s="172"/>
      <c r="AJ97" s="172"/>
      <c r="AK97" s="172"/>
      <c r="AL97" s="172"/>
      <c r="AM97" s="172"/>
      <c r="AN97" s="172"/>
      <c r="AO97" s="172"/>
      <c r="AP97" s="172"/>
      <c r="AQ97" s="172"/>
      <c r="AR97" s="172"/>
      <c r="AS97" s="172"/>
    </row>
    <row r="98" spans="1:45" s="35" customFormat="1" ht="18">
      <c r="A98" s="196" t="s">
        <v>374</v>
      </c>
      <c r="B98" s="200" t="s">
        <v>407</v>
      </c>
      <c r="C98" s="235"/>
      <c r="D98" s="196"/>
      <c r="E98" s="195"/>
      <c r="F98" s="131" t="s">
        <v>525</v>
      </c>
      <c r="G98" s="98"/>
      <c r="H98" s="134"/>
      <c r="I98" s="98"/>
      <c r="J98" s="232"/>
      <c r="K98" s="234"/>
      <c r="L98" s="195"/>
      <c r="M98" s="195"/>
      <c r="N98" s="195"/>
      <c r="O98" s="405" t="s">
        <v>655</v>
      </c>
      <c r="P98" s="12">
        <v>500</v>
      </c>
      <c r="V98" s="171"/>
      <c r="W98" s="172"/>
      <c r="X98" s="172"/>
      <c r="Y98" s="172"/>
      <c r="Z98" s="172"/>
      <c r="AA98" s="172"/>
      <c r="AB98" s="172"/>
      <c r="AC98" s="172"/>
      <c r="AD98" s="172"/>
      <c r="AE98" s="172"/>
      <c r="AF98" s="172"/>
      <c r="AG98" s="172"/>
      <c r="AH98" s="172"/>
      <c r="AI98" s="172"/>
      <c r="AJ98" s="172"/>
      <c r="AK98" s="172"/>
      <c r="AL98" s="172"/>
      <c r="AM98" s="172"/>
      <c r="AN98" s="172"/>
      <c r="AO98" s="172"/>
      <c r="AP98" s="172"/>
      <c r="AQ98" s="172"/>
      <c r="AR98" s="172"/>
      <c r="AS98" s="172"/>
    </row>
    <row r="99" spans="1:45" s="35" customFormat="1">
      <c r="A99" s="195" t="s">
        <v>403</v>
      </c>
      <c r="B99" s="47">
        <v>0.32400000000000001</v>
      </c>
      <c r="C99" s="202">
        <v>0.32400000000000001</v>
      </c>
      <c r="D99" s="75" t="s">
        <v>436</v>
      </c>
      <c r="E99" s="195"/>
      <c r="F99" s="43" t="s">
        <v>244</v>
      </c>
      <c r="G99" s="44">
        <f>$B99+$B100+$B101+$B114</f>
        <v>0.32400000000000001</v>
      </c>
      <c r="H99" s="91" t="s">
        <v>422</v>
      </c>
      <c r="I99" s="229"/>
      <c r="J99" s="229"/>
      <c r="K99" s="229"/>
      <c r="L99" s="229"/>
      <c r="M99" s="195"/>
      <c r="N99" s="195"/>
      <c r="O99" s="405" t="s">
        <v>828</v>
      </c>
      <c r="P99" s="12"/>
      <c r="V99"/>
      <c r="W99"/>
      <c r="X99"/>
      <c r="Y99"/>
      <c r="Z99"/>
      <c r="AA99"/>
      <c r="AB99"/>
      <c r="AC99"/>
      <c r="AD99"/>
      <c r="AE99"/>
      <c r="AF99"/>
      <c r="AG99"/>
      <c r="AH99"/>
      <c r="AI99"/>
      <c r="AJ99"/>
      <c r="AK99"/>
      <c r="AL99"/>
      <c r="AM99"/>
      <c r="AN99"/>
      <c r="AO99"/>
      <c r="AP99"/>
      <c r="AQ99"/>
      <c r="AR99"/>
      <c r="AS99"/>
    </row>
    <row r="100" spans="1:45" s="35" customFormat="1">
      <c r="A100" s="205" t="s">
        <v>182</v>
      </c>
      <c r="B100" s="47">
        <v>0</v>
      </c>
      <c r="C100" s="202">
        <v>0</v>
      </c>
      <c r="D100" s="75" t="s">
        <v>440</v>
      </c>
      <c r="E100" s="195"/>
      <c r="F100" s="43" t="s">
        <v>413</v>
      </c>
      <c r="G100" s="44">
        <f>$B102+$B105+$B106+$B113</f>
        <v>0.49688636141580783</v>
      </c>
      <c r="H100" s="91" t="s">
        <v>423</v>
      </c>
      <c r="I100" s="229"/>
      <c r="J100" s="229"/>
      <c r="K100" s="229"/>
      <c r="L100" s="229"/>
      <c r="M100" s="195"/>
      <c r="N100" s="195"/>
      <c r="O100" s="405" t="s">
        <v>795</v>
      </c>
      <c r="P100" s="12">
        <v>26.6</v>
      </c>
      <c r="V100" s="171"/>
      <c r="W100"/>
      <c r="X100"/>
      <c r="Y100"/>
      <c r="Z100"/>
      <c r="AA100"/>
      <c r="AB100"/>
      <c r="AC100"/>
      <c r="AD100"/>
      <c r="AE100"/>
      <c r="AF100"/>
      <c r="AG100"/>
      <c r="AH100"/>
      <c r="AI100"/>
      <c r="AJ100"/>
      <c r="AK100"/>
      <c r="AL100"/>
      <c r="AM100"/>
      <c r="AN100"/>
      <c r="AO100"/>
      <c r="AP100"/>
      <c r="AQ100"/>
      <c r="AR100"/>
      <c r="AS100"/>
    </row>
    <row r="101" spans="1:45" s="35" customFormat="1">
      <c r="A101" s="205" t="s">
        <v>183</v>
      </c>
      <c r="B101" s="47">
        <v>0</v>
      </c>
      <c r="C101" s="202">
        <v>0</v>
      </c>
      <c r="D101" s="75" t="s">
        <v>441</v>
      </c>
      <c r="E101" s="195"/>
      <c r="F101" s="60" t="s">
        <v>574</v>
      </c>
      <c r="G101" s="61">
        <f>$B103</f>
        <v>0</v>
      </c>
      <c r="H101" s="91" t="s">
        <v>596</v>
      </c>
      <c r="I101" s="229"/>
      <c r="J101" s="229"/>
      <c r="K101" s="229"/>
      <c r="L101" s="229"/>
      <c r="M101" s="195"/>
      <c r="N101" s="195"/>
      <c r="O101" s="405" t="s">
        <v>829</v>
      </c>
      <c r="P101" s="12"/>
      <c r="V101" s="171"/>
      <c r="W101" s="172"/>
      <c r="X101" s="172"/>
      <c r="Y101" s="172"/>
      <c r="Z101" s="172"/>
      <c r="AA101" s="172"/>
      <c r="AB101" s="172"/>
      <c r="AC101" s="172"/>
      <c r="AD101" s="172"/>
      <c r="AE101" s="172"/>
      <c r="AF101" s="172"/>
      <c r="AG101" s="172"/>
      <c r="AH101" s="172"/>
      <c r="AI101" s="172"/>
      <c r="AJ101" s="172"/>
      <c r="AK101" s="172"/>
      <c r="AL101" s="172"/>
      <c r="AM101" s="172"/>
      <c r="AN101" s="172"/>
      <c r="AO101" s="172"/>
      <c r="AP101" s="172"/>
      <c r="AQ101" s="172"/>
      <c r="AR101" s="172"/>
      <c r="AS101" s="172"/>
    </row>
    <row r="102" spans="1:45" s="35" customFormat="1">
      <c r="A102" s="195" t="s">
        <v>411</v>
      </c>
      <c r="B102" s="47">
        <v>0.49688636141580783</v>
      </c>
      <c r="C102" s="202">
        <v>0.49688636141580783</v>
      </c>
      <c r="D102" s="75" t="s">
        <v>221</v>
      </c>
      <c r="E102" s="195"/>
      <c r="F102" s="60" t="s">
        <v>576</v>
      </c>
      <c r="G102" s="61">
        <f>$B104</f>
        <v>0</v>
      </c>
      <c r="H102" s="91" t="s">
        <v>597</v>
      </c>
      <c r="I102" s="229"/>
      <c r="J102" s="229"/>
      <c r="K102" s="229"/>
      <c r="L102" s="229"/>
      <c r="M102" s="195"/>
      <c r="N102" s="195"/>
      <c r="O102" s="405" t="s">
        <v>830</v>
      </c>
      <c r="P102" s="12"/>
      <c r="V102" s="171"/>
      <c r="W102" s="172"/>
      <c r="X102" s="172"/>
      <c r="Y102" s="172"/>
      <c r="Z102" s="172"/>
      <c r="AA102" s="172"/>
      <c r="AB102" s="172"/>
      <c r="AC102" s="172"/>
      <c r="AD102" s="172"/>
      <c r="AE102" s="172"/>
      <c r="AF102" s="172"/>
      <c r="AG102" s="172"/>
      <c r="AH102" s="172"/>
      <c r="AI102" s="172"/>
      <c r="AJ102" s="172"/>
      <c r="AK102" s="172"/>
      <c r="AL102" s="172"/>
      <c r="AM102" s="172"/>
      <c r="AN102" s="172"/>
      <c r="AO102" s="172"/>
      <c r="AP102" s="172"/>
      <c r="AQ102" s="172"/>
      <c r="AR102" s="172"/>
      <c r="AS102" s="172"/>
    </row>
    <row r="103" spans="1:45" s="35" customFormat="1">
      <c r="A103" s="195" t="s">
        <v>410</v>
      </c>
      <c r="B103" s="47">
        <v>0</v>
      </c>
      <c r="C103" s="202">
        <v>0</v>
      </c>
      <c r="D103" s="75" t="s">
        <v>217</v>
      </c>
      <c r="E103" s="195"/>
      <c r="F103" s="43" t="s">
        <v>664</v>
      </c>
      <c r="G103" s="44">
        <f>$B107+$B108+$B109</f>
        <v>0</v>
      </c>
      <c r="H103" s="91" t="s">
        <v>1017</v>
      </c>
      <c r="I103" s="229"/>
      <c r="J103" s="229"/>
      <c r="K103" s="229"/>
      <c r="L103" s="229"/>
      <c r="M103" s="195"/>
      <c r="N103" s="195"/>
      <c r="O103" s="405" t="s">
        <v>950</v>
      </c>
      <c r="P103" s="12">
        <v>83.6</v>
      </c>
      <c r="V103" s="171"/>
      <c r="W103" s="172"/>
      <c r="X103" s="172"/>
      <c r="Y103" s="172"/>
      <c r="Z103" s="172"/>
      <c r="AA103" s="172"/>
      <c r="AB103" s="172"/>
      <c r="AC103" s="172"/>
      <c r="AD103" s="172"/>
      <c r="AE103" s="172"/>
      <c r="AF103" s="172"/>
      <c r="AG103" s="172"/>
      <c r="AH103" s="172"/>
      <c r="AI103" s="172"/>
      <c r="AJ103" s="172"/>
      <c r="AK103" s="172"/>
      <c r="AL103" s="172"/>
      <c r="AM103" s="172"/>
      <c r="AN103" s="172"/>
      <c r="AO103" s="172"/>
      <c r="AP103" s="172"/>
      <c r="AQ103" s="172"/>
      <c r="AR103" s="172"/>
      <c r="AS103" s="172"/>
    </row>
    <row r="104" spans="1:45" s="35" customFormat="1">
      <c r="A104" s="195" t="s">
        <v>409</v>
      </c>
      <c r="B104" s="47">
        <v>0</v>
      </c>
      <c r="C104" s="202">
        <v>0</v>
      </c>
      <c r="D104" s="75" t="s">
        <v>219</v>
      </c>
      <c r="E104" s="195"/>
      <c r="F104" s="43" t="s">
        <v>405</v>
      </c>
      <c r="G104" s="44">
        <f>$B110</f>
        <v>0</v>
      </c>
      <c r="H104" s="91" t="s">
        <v>443</v>
      </c>
      <c r="I104" s="229"/>
      <c r="J104" s="229"/>
      <c r="K104" s="229"/>
      <c r="L104" s="229"/>
      <c r="M104" s="195"/>
      <c r="N104" s="195"/>
      <c r="O104" s="407" t="str">
        <f>Region</f>
        <v>FIM</v>
      </c>
      <c r="P104" s="406">
        <f>INDEX(P98:P103,RegIndex)</f>
        <v>26.6</v>
      </c>
      <c r="V104" s="171"/>
      <c r="W104" s="172"/>
      <c r="X104" s="172"/>
      <c r="Y104" s="172"/>
      <c r="Z104" s="172"/>
      <c r="AA104" s="172"/>
      <c r="AB104" s="172"/>
      <c r="AC104" s="172"/>
      <c r="AD104" s="172"/>
      <c r="AE104" s="172"/>
      <c r="AF104" s="172"/>
      <c r="AG104" s="172"/>
      <c r="AH104" s="172"/>
      <c r="AI104" s="172"/>
      <c r="AJ104" s="172"/>
      <c r="AK104" s="172"/>
      <c r="AL104" s="172"/>
      <c r="AM104" s="172"/>
      <c r="AN104" s="172"/>
      <c r="AO104" s="172"/>
      <c r="AP104" s="172"/>
      <c r="AQ104" s="172"/>
      <c r="AR104" s="172"/>
      <c r="AS104" s="172"/>
    </row>
    <row r="105" spans="1:45" s="35" customFormat="1">
      <c r="A105" s="195" t="s">
        <v>426</v>
      </c>
      <c r="B105" s="45">
        <v>0</v>
      </c>
      <c r="C105" s="195">
        <v>0</v>
      </c>
      <c r="D105" s="76" t="s">
        <v>220</v>
      </c>
      <c r="E105" s="195"/>
      <c r="F105" s="43" t="s">
        <v>588</v>
      </c>
      <c r="G105" s="44">
        <f>$B111+$B112+$B115+$B116</f>
        <v>0</v>
      </c>
      <c r="H105" s="91" t="s">
        <v>444</v>
      </c>
      <c r="I105" s="229"/>
      <c r="J105" s="229"/>
      <c r="K105" s="229"/>
      <c r="L105" s="229"/>
      <c r="M105" s="195"/>
      <c r="N105" s="195"/>
      <c r="O105" s="195"/>
      <c r="P105" s="195"/>
      <c r="V105" s="171"/>
      <c r="W105" s="172"/>
      <c r="X105" s="172"/>
      <c r="Y105" s="172"/>
      <c r="Z105" s="172"/>
      <c r="AA105" s="172"/>
      <c r="AB105" s="172"/>
      <c r="AC105" s="172"/>
      <c r="AD105" s="172"/>
      <c r="AE105" s="172"/>
      <c r="AF105" s="172"/>
      <c r="AG105" s="172"/>
      <c r="AH105" s="172"/>
      <c r="AI105" s="172"/>
      <c r="AJ105" s="172"/>
      <c r="AK105" s="172"/>
      <c r="AL105" s="172"/>
      <c r="AM105" s="172"/>
      <c r="AN105" s="172"/>
      <c r="AO105" s="172"/>
      <c r="AP105" s="172"/>
      <c r="AQ105" s="172"/>
      <c r="AR105" s="172"/>
      <c r="AS105" s="172"/>
    </row>
    <row r="106" spans="1:45" s="35" customFormat="1">
      <c r="A106" s="205" t="s">
        <v>184</v>
      </c>
      <c r="B106" s="45">
        <v>0</v>
      </c>
      <c r="C106" s="195">
        <v>0</v>
      </c>
      <c r="D106" s="92" t="s">
        <v>647</v>
      </c>
      <c r="E106" s="195"/>
      <c r="F106" s="43" t="s">
        <v>247</v>
      </c>
      <c r="G106" s="44">
        <f>$B117</f>
        <v>16.841363566342292</v>
      </c>
      <c r="H106" s="91" t="s">
        <v>445</v>
      </c>
      <c r="I106" s="229"/>
      <c r="J106" s="229"/>
      <c r="K106" s="229"/>
      <c r="L106" s="229"/>
      <c r="M106" s="195"/>
      <c r="N106" s="195"/>
      <c r="O106" s="195"/>
      <c r="P106" s="195"/>
      <c r="V106" s="171"/>
      <c r="W106" s="172"/>
      <c r="X106" s="172"/>
      <c r="Y106" s="172"/>
      <c r="Z106" s="172"/>
      <c r="AA106" s="172"/>
      <c r="AB106" s="172"/>
      <c r="AC106" s="172"/>
      <c r="AD106" s="172"/>
      <c r="AE106" s="172"/>
      <c r="AF106" s="172"/>
      <c r="AG106" s="172"/>
      <c r="AH106" s="172"/>
      <c r="AI106" s="172"/>
      <c r="AJ106" s="172"/>
      <c r="AK106" s="172"/>
      <c r="AL106" s="172"/>
      <c r="AM106" s="172"/>
      <c r="AN106" s="172"/>
      <c r="AO106" s="172"/>
      <c r="AP106" s="172"/>
      <c r="AQ106" s="172"/>
      <c r="AR106" s="172"/>
      <c r="AS106" s="172"/>
    </row>
    <row r="107" spans="1:45" s="35" customFormat="1">
      <c r="A107" s="205" t="s">
        <v>375</v>
      </c>
      <c r="B107" s="47">
        <v>0</v>
      </c>
      <c r="C107" s="202">
        <v>0</v>
      </c>
      <c r="D107" s="75" t="s">
        <v>437</v>
      </c>
      <c r="E107" s="195"/>
      <c r="F107" s="43" t="s">
        <v>414</v>
      </c>
      <c r="G107" s="44">
        <f>$B118</f>
        <v>15.293160000000002</v>
      </c>
      <c r="H107" s="91" t="s">
        <v>446</v>
      </c>
      <c r="I107" s="229"/>
      <c r="J107" s="229"/>
      <c r="K107" s="229"/>
      <c r="L107" s="229"/>
      <c r="M107" s="195"/>
      <c r="N107" s="195"/>
      <c r="O107" s="195"/>
      <c r="P107" s="195"/>
      <c r="V107" s="171"/>
      <c r="W107" s="172"/>
      <c r="X107" s="172"/>
      <c r="Y107" s="172"/>
      <c r="Z107" s="172"/>
      <c r="AA107" s="172"/>
      <c r="AB107" s="172"/>
      <c r="AC107" s="172"/>
      <c r="AD107" s="172"/>
      <c r="AE107" s="172"/>
      <c r="AF107" s="172"/>
      <c r="AG107" s="172"/>
      <c r="AH107" s="172"/>
      <c r="AI107" s="172"/>
      <c r="AJ107" s="172"/>
      <c r="AK107" s="172"/>
      <c r="AL107" s="172"/>
      <c r="AM107" s="172"/>
      <c r="AN107" s="172"/>
      <c r="AO107" s="172"/>
      <c r="AP107" s="172"/>
      <c r="AQ107" s="172"/>
      <c r="AR107" s="172"/>
      <c r="AS107" s="172"/>
    </row>
    <row r="108" spans="1:45">
      <c r="A108" s="287" t="s">
        <v>376</v>
      </c>
      <c r="B108" s="47">
        <v>0</v>
      </c>
      <c r="C108" s="202">
        <v>0</v>
      </c>
      <c r="D108" s="75" t="s">
        <v>438</v>
      </c>
      <c r="E108" s="195"/>
      <c r="F108" s="43" t="s">
        <v>245</v>
      </c>
      <c r="G108" s="425">
        <f>$C119</f>
        <v>0</v>
      </c>
      <c r="H108" s="91" t="s">
        <v>148</v>
      </c>
      <c r="I108" s="195"/>
      <c r="J108" s="195"/>
      <c r="K108" s="195"/>
      <c r="L108" s="195"/>
      <c r="M108" s="195"/>
      <c r="N108" s="195"/>
      <c r="O108" s="195"/>
      <c r="P108" s="195"/>
      <c r="V108" s="171"/>
      <c r="W108" s="172"/>
      <c r="X108" s="172"/>
      <c r="Y108" s="172"/>
      <c r="Z108" s="172"/>
      <c r="AA108" s="172"/>
      <c r="AB108" s="172"/>
      <c r="AC108" s="172"/>
      <c r="AD108" s="172"/>
      <c r="AE108" s="172"/>
      <c r="AF108" s="172"/>
      <c r="AG108" s="172"/>
      <c r="AH108" s="172"/>
      <c r="AI108" s="172"/>
      <c r="AJ108" s="172"/>
      <c r="AK108" s="172"/>
      <c r="AL108" s="172"/>
      <c r="AM108" s="172"/>
      <c r="AN108" s="172"/>
      <c r="AO108" s="172"/>
      <c r="AP108" s="172"/>
      <c r="AQ108" s="172"/>
      <c r="AR108" s="172"/>
      <c r="AS108" s="172"/>
    </row>
    <row r="109" spans="1:45">
      <c r="A109" s="205" t="s">
        <v>185</v>
      </c>
      <c r="B109" s="47">
        <v>0</v>
      </c>
      <c r="C109" s="202">
        <v>0</v>
      </c>
      <c r="D109" s="75" t="s">
        <v>439</v>
      </c>
      <c r="E109" s="195"/>
      <c r="F109" s="43" t="s">
        <v>246</v>
      </c>
      <c r="G109" s="44">
        <f>$B120</f>
        <v>0</v>
      </c>
      <c r="H109" s="91" t="s">
        <v>149</v>
      </c>
      <c r="I109" s="195"/>
      <c r="J109" s="195"/>
      <c r="K109" s="195"/>
      <c r="L109" s="195"/>
      <c r="M109" s="195"/>
      <c r="N109" s="195"/>
      <c r="O109" s="195"/>
      <c r="P109" s="195"/>
      <c r="V109" s="171"/>
      <c r="W109" s="172"/>
      <c r="X109" s="172"/>
      <c r="Y109" s="172"/>
      <c r="Z109" s="172"/>
      <c r="AA109" s="172"/>
      <c r="AB109" s="172"/>
      <c r="AC109" s="172"/>
      <c r="AD109" s="172"/>
      <c r="AE109" s="172"/>
      <c r="AF109" s="172"/>
      <c r="AG109" s="172"/>
      <c r="AH109" s="172"/>
      <c r="AI109" s="172"/>
      <c r="AJ109" s="172"/>
      <c r="AK109" s="172"/>
      <c r="AL109" s="172"/>
      <c r="AM109" s="172"/>
      <c r="AN109" s="172"/>
      <c r="AO109" s="172"/>
      <c r="AP109" s="172"/>
      <c r="AQ109" s="172"/>
      <c r="AR109" s="172"/>
      <c r="AS109" s="172"/>
    </row>
    <row r="110" spans="1:45">
      <c r="A110" s="195" t="s">
        <v>405</v>
      </c>
      <c r="B110" s="47">
        <v>0</v>
      </c>
      <c r="C110" s="202">
        <v>0</v>
      </c>
      <c r="D110" s="75" t="s">
        <v>110</v>
      </c>
      <c r="E110" s="195"/>
      <c r="F110" s="195"/>
      <c r="G110" s="195"/>
      <c r="H110" s="195"/>
      <c r="I110" s="195"/>
      <c r="J110" s="195"/>
      <c r="K110" s="195"/>
      <c r="L110" s="195"/>
      <c r="M110" s="195"/>
      <c r="N110" s="195"/>
      <c r="O110" s="195"/>
      <c r="P110" s="195"/>
      <c r="V110" s="171"/>
      <c r="W110" s="172"/>
      <c r="X110" s="172"/>
      <c r="Y110" s="172"/>
      <c r="Z110" s="172"/>
      <c r="AA110" s="172"/>
      <c r="AB110" s="172"/>
      <c r="AC110" s="172"/>
      <c r="AD110" s="172"/>
      <c r="AE110" s="172"/>
      <c r="AF110" s="172"/>
      <c r="AG110" s="172"/>
      <c r="AH110" s="172"/>
      <c r="AI110" s="172"/>
      <c r="AJ110" s="172"/>
      <c r="AK110" s="172"/>
      <c r="AL110" s="172"/>
      <c r="AM110" s="172"/>
      <c r="AN110" s="172"/>
      <c r="AO110" s="172"/>
      <c r="AP110" s="172"/>
      <c r="AQ110" s="172"/>
      <c r="AR110" s="172"/>
      <c r="AS110" s="172"/>
    </row>
    <row r="111" spans="1:45">
      <c r="A111" s="195" t="s">
        <v>585</v>
      </c>
      <c r="B111" s="47">
        <v>0</v>
      </c>
      <c r="C111" s="202">
        <v>0</v>
      </c>
      <c r="D111" s="75" t="s">
        <v>53</v>
      </c>
      <c r="E111" s="195"/>
      <c r="F111" s="195"/>
      <c r="G111" s="195"/>
      <c r="H111" s="195"/>
      <c r="I111" s="195"/>
      <c r="J111" s="195"/>
      <c r="K111" s="195"/>
      <c r="L111" s="195"/>
      <c r="M111" s="195"/>
      <c r="N111" s="195"/>
      <c r="O111" s="195"/>
      <c r="P111" s="195"/>
      <c r="V111" s="171"/>
      <c r="W111" s="172"/>
      <c r="X111" s="172"/>
      <c r="Y111" s="172"/>
      <c r="Z111" s="172"/>
      <c r="AA111" s="172"/>
      <c r="AB111" s="172"/>
      <c r="AC111" s="172"/>
      <c r="AD111" s="172"/>
      <c r="AE111" s="172"/>
      <c r="AF111" s="172"/>
      <c r="AG111" s="172"/>
      <c r="AH111" s="172"/>
      <c r="AI111" s="172"/>
      <c r="AJ111" s="172"/>
      <c r="AK111" s="172"/>
      <c r="AL111" s="172"/>
      <c r="AM111" s="172"/>
      <c r="AN111" s="172"/>
      <c r="AO111" s="172"/>
      <c r="AP111" s="172"/>
      <c r="AQ111" s="172"/>
      <c r="AR111" s="172"/>
      <c r="AS111" s="172"/>
    </row>
    <row r="112" spans="1:45">
      <c r="A112" s="195" t="s">
        <v>586</v>
      </c>
      <c r="B112" s="47">
        <v>0</v>
      </c>
      <c r="C112" s="202">
        <v>0</v>
      </c>
      <c r="D112" s="75" t="s">
        <v>589</v>
      </c>
      <c r="E112" s="195"/>
      <c r="F112" s="195"/>
      <c r="G112" s="195"/>
      <c r="H112" s="195"/>
      <c r="I112" s="195"/>
      <c r="J112" s="195"/>
      <c r="K112" s="195"/>
      <c r="L112" s="195"/>
      <c r="M112" s="195"/>
      <c r="N112" s="195"/>
      <c r="O112" s="195"/>
      <c r="P112" s="195"/>
      <c r="V112" s="171"/>
      <c r="W112" s="172"/>
      <c r="X112" s="172"/>
      <c r="Y112" s="172"/>
      <c r="Z112" s="172"/>
      <c r="AA112" s="172"/>
      <c r="AB112" s="172"/>
      <c r="AC112" s="172"/>
      <c r="AD112" s="172"/>
      <c r="AE112" s="172"/>
      <c r="AF112" s="172"/>
      <c r="AG112" s="172"/>
      <c r="AH112" s="172"/>
      <c r="AI112" s="172"/>
      <c r="AJ112" s="172"/>
      <c r="AK112" s="172"/>
      <c r="AL112" s="172"/>
      <c r="AM112" s="172"/>
      <c r="AN112" s="172"/>
      <c r="AO112" s="172"/>
      <c r="AP112" s="172"/>
      <c r="AQ112" s="172"/>
      <c r="AR112" s="172"/>
      <c r="AS112" s="172"/>
    </row>
    <row r="113" spans="1:45">
      <c r="A113" s="195" t="s">
        <v>966</v>
      </c>
      <c r="B113" s="47">
        <v>0</v>
      </c>
      <c r="C113" s="202">
        <v>0</v>
      </c>
      <c r="D113" s="75" t="s">
        <v>742</v>
      </c>
      <c r="E113" s="195"/>
      <c r="F113" s="195"/>
      <c r="G113" s="195"/>
      <c r="H113" s="195"/>
      <c r="I113" s="195"/>
      <c r="J113" s="195"/>
      <c r="K113" s="195"/>
      <c r="L113" s="195"/>
      <c r="M113" s="195"/>
      <c r="N113" s="195"/>
      <c r="O113" s="195"/>
      <c r="P113" s="195"/>
      <c r="V113" s="171"/>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row>
    <row r="114" spans="1:45">
      <c r="A114" s="195" t="s">
        <v>967</v>
      </c>
      <c r="B114" s="47">
        <v>0</v>
      </c>
      <c r="C114" s="202">
        <v>0</v>
      </c>
      <c r="D114" s="75" t="s">
        <v>43</v>
      </c>
      <c r="E114" s="195"/>
      <c r="F114" s="195"/>
      <c r="G114" s="195"/>
      <c r="H114" s="195"/>
      <c r="I114" s="195"/>
      <c r="J114" s="195"/>
      <c r="K114" s="195"/>
      <c r="L114" s="195"/>
      <c r="M114" s="195"/>
      <c r="N114" s="195"/>
      <c r="O114" s="195"/>
      <c r="P114" s="195"/>
      <c r="V114" s="171"/>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row>
    <row r="115" spans="1:45">
      <c r="A115" s="205" t="s">
        <v>367</v>
      </c>
      <c r="B115" s="47">
        <v>0</v>
      </c>
      <c r="C115" s="202">
        <v>0</v>
      </c>
      <c r="D115" s="75" t="s">
        <v>54</v>
      </c>
      <c r="E115" s="195"/>
      <c r="F115" s="195"/>
      <c r="G115" s="195"/>
      <c r="H115" s="195"/>
      <c r="I115" s="195"/>
      <c r="J115" s="195"/>
      <c r="K115" s="195"/>
      <c r="L115" s="195"/>
      <c r="M115" s="195"/>
      <c r="N115" s="195"/>
      <c r="O115" s="195"/>
      <c r="P115" s="195"/>
      <c r="V115" s="171"/>
      <c r="W115" s="172"/>
      <c r="X115" s="172"/>
      <c r="Y115" s="172"/>
      <c r="Z115" s="172"/>
      <c r="AA115" s="172"/>
      <c r="AB115" s="172"/>
      <c r="AC115" s="172"/>
      <c r="AD115" s="172"/>
      <c r="AE115" s="172"/>
      <c r="AF115" s="172"/>
      <c r="AG115" s="172"/>
      <c r="AH115" s="172"/>
      <c r="AI115" s="172"/>
      <c r="AJ115" s="172"/>
      <c r="AK115" s="172"/>
      <c r="AL115" s="172"/>
      <c r="AM115" s="172"/>
      <c r="AN115" s="172"/>
      <c r="AO115" s="172"/>
      <c r="AP115" s="172"/>
      <c r="AQ115" s="172"/>
      <c r="AR115" s="172"/>
      <c r="AS115" s="172"/>
    </row>
    <row r="116" spans="1:45">
      <c r="A116" s="195" t="s">
        <v>587</v>
      </c>
      <c r="B116" s="47">
        <v>0</v>
      </c>
      <c r="C116" s="202">
        <v>0</v>
      </c>
      <c r="D116" s="75" t="s">
        <v>55</v>
      </c>
      <c r="E116" s="195"/>
      <c r="F116" s="195"/>
      <c r="G116" s="195"/>
      <c r="H116" s="195"/>
      <c r="I116" s="195"/>
      <c r="J116" s="195"/>
      <c r="K116" s="195"/>
      <c r="L116" s="195"/>
      <c r="M116" s="195"/>
      <c r="N116" s="195"/>
      <c r="O116" s="195"/>
      <c r="P116" s="195"/>
      <c r="V116" s="171"/>
      <c r="W116" s="172"/>
      <c r="X116" s="172"/>
      <c r="Y116" s="172"/>
      <c r="Z116" s="172"/>
      <c r="AA116" s="172"/>
      <c r="AB116" s="172"/>
      <c r="AC116" s="172"/>
      <c r="AD116" s="172"/>
      <c r="AE116" s="172"/>
      <c r="AF116" s="172"/>
      <c r="AG116" s="172"/>
      <c r="AH116" s="172"/>
      <c r="AI116" s="172"/>
      <c r="AJ116" s="172"/>
      <c r="AK116" s="172"/>
      <c r="AL116" s="172"/>
      <c r="AM116" s="172"/>
      <c r="AN116" s="172"/>
      <c r="AO116" s="172"/>
      <c r="AP116" s="172"/>
      <c r="AQ116" s="172"/>
      <c r="AR116" s="172"/>
      <c r="AS116" s="172"/>
    </row>
    <row r="117" spans="1:45">
      <c r="A117" s="195" t="s">
        <v>404</v>
      </c>
      <c r="B117" s="47">
        <v>16.841363566342292</v>
      </c>
      <c r="C117" s="202">
        <v>16.841363566342292</v>
      </c>
      <c r="D117" s="75" t="s">
        <v>106</v>
      </c>
      <c r="E117" s="195"/>
      <c r="F117" s="195"/>
      <c r="G117" s="195"/>
      <c r="H117" s="195"/>
      <c r="I117" s="195"/>
      <c r="J117" s="195"/>
      <c r="K117" s="195"/>
      <c r="L117" s="195"/>
      <c r="M117" s="195"/>
      <c r="N117" s="195"/>
      <c r="O117" s="195"/>
      <c r="P117" s="195"/>
      <c r="V117" s="171"/>
      <c r="W117" s="172"/>
      <c r="X117" s="172"/>
      <c r="Y117" s="172"/>
      <c r="Z117" s="172"/>
      <c r="AA117" s="172"/>
      <c r="AB117" s="172"/>
      <c r="AC117" s="172"/>
      <c r="AD117" s="172"/>
      <c r="AE117" s="172"/>
      <c r="AF117" s="172"/>
      <c r="AG117" s="172"/>
      <c r="AH117" s="172"/>
      <c r="AI117" s="172"/>
      <c r="AJ117" s="172"/>
      <c r="AK117" s="172"/>
      <c r="AL117" s="172"/>
      <c r="AM117" s="172"/>
      <c r="AN117" s="172"/>
      <c r="AO117" s="172"/>
      <c r="AP117" s="172"/>
      <c r="AQ117" s="172"/>
      <c r="AR117" s="172"/>
      <c r="AS117" s="172"/>
    </row>
    <row r="118" spans="1:45">
      <c r="A118" s="195" t="s">
        <v>408</v>
      </c>
      <c r="B118" s="45">
        <v>15.293160000000002</v>
      </c>
      <c r="C118" s="202">
        <v>15.293160000000002</v>
      </c>
      <c r="D118" s="75" t="s">
        <v>573</v>
      </c>
      <c r="E118" s="195"/>
      <c r="F118" s="195"/>
      <c r="G118" s="195"/>
      <c r="H118" s="195"/>
      <c r="I118" s="195"/>
      <c r="J118" s="195"/>
      <c r="K118" s="211"/>
      <c r="L118" s="198" t="s">
        <v>250</v>
      </c>
      <c r="M118" s="195"/>
      <c r="N118" s="195"/>
      <c r="O118" s="195"/>
      <c r="P118" s="195"/>
      <c r="V118" s="171"/>
      <c r="W118" s="172"/>
      <c r="X118" s="172"/>
      <c r="Y118" s="172"/>
      <c r="Z118" s="172"/>
      <c r="AA118" s="172"/>
      <c r="AB118" s="172"/>
      <c r="AC118" s="172"/>
      <c r="AD118" s="172"/>
      <c r="AE118" s="172"/>
      <c r="AF118" s="172"/>
      <c r="AG118" s="172"/>
      <c r="AH118" s="172"/>
      <c r="AI118" s="172"/>
      <c r="AJ118" s="172"/>
      <c r="AK118" s="172"/>
      <c r="AL118" s="172"/>
      <c r="AM118" s="172"/>
      <c r="AN118" s="172"/>
      <c r="AO118" s="172"/>
      <c r="AP118" s="172"/>
      <c r="AQ118" s="172"/>
      <c r="AR118" s="172"/>
      <c r="AS118" s="172"/>
    </row>
    <row r="119" spans="1:45">
      <c r="A119" s="195" t="s">
        <v>578</v>
      </c>
      <c r="B119" s="45">
        <v>0</v>
      </c>
      <c r="C119" s="202">
        <v>0</v>
      </c>
      <c r="D119" s="75" t="s">
        <v>579</v>
      </c>
      <c r="E119" s="195"/>
      <c r="F119" s="195"/>
      <c r="G119" s="195"/>
      <c r="H119" s="195"/>
      <c r="I119" s="195"/>
      <c r="J119" s="195"/>
      <c r="K119" s="211"/>
      <c r="L119" s="198"/>
      <c r="M119" s="195"/>
      <c r="N119" s="195"/>
      <c r="O119" s="195"/>
      <c r="P119" s="195"/>
      <c r="V119" s="171"/>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row>
    <row r="120" spans="1:45">
      <c r="A120" s="195" t="s">
        <v>602</v>
      </c>
      <c r="B120" s="45">
        <v>0</v>
      </c>
      <c r="C120" s="202">
        <v>0</v>
      </c>
      <c r="D120" s="75" t="s">
        <v>580</v>
      </c>
      <c r="E120" s="195"/>
      <c r="F120" s="195"/>
      <c r="G120" s="195"/>
      <c r="H120" s="195"/>
      <c r="I120" s="195"/>
      <c r="J120" s="195"/>
      <c r="K120" s="211"/>
      <c r="L120" s="198"/>
      <c r="M120" s="195"/>
      <c r="N120" s="195"/>
      <c r="O120" s="195"/>
      <c r="P120" s="195"/>
      <c r="V120" s="171"/>
      <c r="W120" s="172"/>
      <c r="X120" s="172"/>
      <c r="Y120" s="172"/>
      <c r="Z120" s="172"/>
      <c r="AA120" s="172"/>
      <c r="AB120" s="172"/>
      <c r="AC120" s="172"/>
      <c r="AD120" s="172"/>
      <c r="AE120" s="172"/>
      <c r="AF120" s="172"/>
      <c r="AG120" s="172"/>
      <c r="AH120" s="172"/>
      <c r="AI120" s="172"/>
      <c r="AJ120" s="172"/>
      <c r="AK120" s="172"/>
      <c r="AL120" s="172"/>
      <c r="AM120" s="172"/>
      <c r="AN120" s="172"/>
      <c r="AO120" s="172"/>
      <c r="AP120" s="172"/>
      <c r="AQ120" s="172"/>
      <c r="AR120" s="172"/>
      <c r="AS120" s="172"/>
    </row>
    <row r="121" spans="1:45">
      <c r="A121" s="195" t="s">
        <v>406</v>
      </c>
      <c r="B121" s="47">
        <v>32.955409927758105</v>
      </c>
      <c r="C121" s="202">
        <v>32.955409927758105</v>
      </c>
      <c r="D121" s="46">
        <f>(B121-C121)/B121</f>
        <v>0</v>
      </c>
      <c r="E121" s="195"/>
      <c r="F121" s="195"/>
      <c r="G121" s="195"/>
      <c r="H121" s="195"/>
      <c r="I121" s="195"/>
      <c r="J121" s="195"/>
      <c r="K121" s="211"/>
      <c r="L121" s="198"/>
      <c r="M121" s="195"/>
      <c r="N121" s="195"/>
      <c r="O121" s="195"/>
      <c r="P121" s="195"/>
    </row>
    <row r="122" spans="1:45">
      <c r="A122" s="195"/>
      <c r="B122" s="47"/>
      <c r="C122" s="202"/>
      <c r="D122" s="46"/>
      <c r="E122" s="195"/>
      <c r="F122" s="195"/>
      <c r="G122" s="195"/>
      <c r="H122" s="195"/>
      <c r="I122" s="195"/>
      <c r="J122" s="195"/>
      <c r="K122" s="211"/>
      <c r="L122" s="198"/>
      <c r="M122" s="195"/>
      <c r="N122" s="195"/>
      <c r="O122" s="195"/>
      <c r="P122" s="195"/>
    </row>
    <row r="123" spans="1:45">
      <c r="A123" s="195"/>
      <c r="B123" s="195"/>
      <c r="C123" s="195"/>
      <c r="D123" s="195"/>
      <c r="E123" s="195"/>
      <c r="F123" s="195"/>
      <c r="G123" s="195"/>
      <c r="H123" s="195"/>
      <c r="I123" s="195"/>
      <c r="J123" s="195"/>
      <c r="K123" s="211"/>
      <c r="L123" s="198"/>
      <c r="M123" s="195"/>
      <c r="N123" s="195"/>
      <c r="O123" s="195"/>
      <c r="P123" s="195"/>
    </row>
    <row r="124" spans="1:45" ht="18">
      <c r="A124" s="131" t="s">
        <v>526</v>
      </c>
      <c r="B124" s="98"/>
      <c r="C124" s="98"/>
      <c r="D124" s="98"/>
      <c r="E124" s="98"/>
      <c r="F124" s="98"/>
      <c r="G124" s="98"/>
      <c r="H124" s="181" t="s">
        <v>522</v>
      </c>
      <c r="I124" s="182"/>
      <c r="J124" s="182"/>
      <c r="K124" s="211"/>
      <c r="L124" s="198"/>
      <c r="M124" s="195"/>
      <c r="N124" s="195"/>
      <c r="O124" s="195"/>
      <c r="P124" s="195"/>
      <c r="Q124" s="9"/>
      <c r="V124" s="171"/>
    </row>
    <row r="125" spans="1:45" s="35" customFormat="1" ht="22.5">
      <c r="A125" s="236"/>
      <c r="B125" s="235" t="s">
        <v>213</v>
      </c>
      <c r="C125" s="235" t="s">
        <v>105</v>
      </c>
      <c r="D125" s="235" t="s">
        <v>179</v>
      </c>
      <c r="E125" s="235" t="s">
        <v>104</v>
      </c>
      <c r="F125" s="235" t="s">
        <v>180</v>
      </c>
      <c r="G125" s="235" t="s">
        <v>181</v>
      </c>
      <c r="H125" s="237" t="s">
        <v>72</v>
      </c>
      <c r="I125" s="237" t="s">
        <v>216</v>
      </c>
      <c r="J125" s="235"/>
      <c r="K125" s="229"/>
      <c r="L125" s="198"/>
      <c r="M125" s="195"/>
      <c r="N125" s="195"/>
      <c r="O125" s="195"/>
      <c r="P125" s="195"/>
      <c r="V125" s="171"/>
      <c r="W125" s="172"/>
      <c r="X125" s="172"/>
      <c r="Y125" s="172"/>
      <c r="Z125" s="172"/>
      <c r="AA125" s="172"/>
      <c r="AB125" s="172"/>
      <c r="AC125" s="172"/>
      <c r="AD125" s="172"/>
      <c r="AE125" s="172"/>
      <c r="AF125" s="172"/>
      <c r="AG125" s="172"/>
      <c r="AH125" s="172"/>
      <c r="AI125" s="172"/>
      <c r="AJ125" s="172"/>
      <c r="AK125" s="172"/>
      <c r="AL125" s="172"/>
      <c r="AM125" s="172"/>
      <c r="AN125" s="172"/>
      <c r="AO125" s="172"/>
      <c r="AP125" s="172"/>
      <c r="AQ125" s="172"/>
      <c r="AR125" s="172"/>
      <c r="AS125" s="172"/>
    </row>
    <row r="126" spans="1:45">
      <c r="A126" s="195"/>
      <c r="B126" s="262" t="s">
        <v>214</v>
      </c>
      <c r="C126" s="262" t="s">
        <v>610</v>
      </c>
      <c r="D126" s="262" t="s">
        <v>235</v>
      </c>
      <c r="E126" s="262" t="s">
        <v>103</v>
      </c>
      <c r="F126" s="262" t="s">
        <v>71</v>
      </c>
      <c r="G126" s="262" t="s">
        <v>70</v>
      </c>
      <c r="H126" s="262" t="s">
        <v>482</v>
      </c>
      <c r="I126" s="262" t="s">
        <v>215</v>
      </c>
      <c r="J126" s="205" t="s">
        <v>248</v>
      </c>
      <c r="K126" s="195"/>
      <c r="L126" s="198"/>
      <c r="M126" s="195"/>
      <c r="N126" s="195"/>
      <c r="O126" s="195"/>
      <c r="P126" s="195"/>
      <c r="V126" s="171"/>
      <c r="W126" s="172"/>
      <c r="X126" s="172"/>
      <c r="Y126" s="172"/>
      <c r="Z126" s="172"/>
      <c r="AA126" s="172"/>
      <c r="AB126" s="172"/>
      <c r="AC126" s="172"/>
      <c r="AD126" s="172"/>
      <c r="AE126" s="172"/>
      <c r="AF126" s="172"/>
      <c r="AG126" s="172"/>
      <c r="AH126" s="172"/>
      <c r="AI126" s="172"/>
      <c r="AJ126" s="172"/>
      <c r="AK126" s="172"/>
      <c r="AL126" s="172"/>
      <c r="AM126" s="172"/>
      <c r="AN126" s="172"/>
      <c r="AO126" s="172"/>
      <c r="AP126" s="172"/>
      <c r="AQ126" s="172"/>
      <c r="AR126" s="172"/>
      <c r="AS126" s="172"/>
    </row>
    <row r="127" spans="1:45">
      <c r="A127" s="211" t="s">
        <v>244</v>
      </c>
      <c r="B127" s="77">
        <f ca="1">1-SUM(C127:I127)</f>
        <v>0.72</v>
      </c>
      <c r="C127" s="41">
        <f ca="1">SUMIF(OFFSET(CalibData2!$M$3,1,0,$Q$2),ROW()+COLUMN()/100,OFFSET(CalibData2!$N$3,1,0,$Q$2))</f>
        <v>0</v>
      </c>
      <c r="D127" s="41">
        <f ca="1">SUMIF(OFFSET(CalibData2!$M$3,1,0,$Q$2),ROW()+COLUMN()/100,OFFSET(CalibData2!$N$3,1,0,$Q$2))</f>
        <v>0.18</v>
      </c>
      <c r="E127" s="227">
        <v>0</v>
      </c>
      <c r="F127" s="41">
        <f ca="1">SUMIF(OFFSET(CalibData2!$M$3,1,0,$Q$2),ROW()+COLUMN()/100,OFFSET(CalibData2!$N$3,1,0,$Q$2))</f>
        <v>0.1</v>
      </c>
      <c r="G127" s="227"/>
      <c r="H127" s="227"/>
      <c r="I127" s="41">
        <f ca="1">SUMIF(OFFSET(CalibData2!$M$3,1,0,$Q$2),ROW()+COLUMN()/100,OFFSET(CalibData2!$N$3,1,0,$Q$2))</f>
        <v>0</v>
      </c>
      <c r="J127" s="212">
        <f t="shared" ref="J127:J137" ca="1" si="30">SUM(B127:I127)</f>
        <v>0.99999999999999989</v>
      </c>
      <c r="K127" s="220" t="str">
        <f t="shared" ref="K127:K137" ca="1" si="31">IF(G99&gt;0,IF(J127&lt;&gt;1,"ERROR",""),"")</f>
        <v/>
      </c>
      <c r="L127" s="198"/>
      <c r="M127" s="195"/>
      <c r="N127" s="195"/>
      <c r="O127" s="195"/>
      <c r="P127" s="195"/>
      <c r="V127" s="171"/>
      <c r="W127" s="172"/>
      <c r="X127" s="172"/>
      <c r="Y127" s="172"/>
      <c r="Z127" s="172"/>
      <c r="AA127" s="172"/>
      <c r="AB127" s="172"/>
      <c r="AC127" s="172"/>
      <c r="AD127" s="172"/>
      <c r="AE127" s="172"/>
      <c r="AF127" s="172"/>
      <c r="AG127" s="172"/>
      <c r="AH127" s="172"/>
      <c r="AI127" s="172"/>
      <c r="AJ127" s="172"/>
      <c r="AK127" s="172"/>
      <c r="AL127" s="172"/>
      <c r="AM127" s="172"/>
      <c r="AN127" s="172"/>
      <c r="AO127" s="172"/>
      <c r="AP127" s="172"/>
      <c r="AQ127" s="172"/>
      <c r="AR127" s="172"/>
      <c r="AS127" s="172"/>
    </row>
    <row r="128" spans="1:45">
      <c r="A128" s="211" t="s">
        <v>663</v>
      </c>
      <c r="B128" s="77">
        <f t="shared" ref="B128:B137" ca="1" si="32">1-SUM(C128:I128)</f>
        <v>0.75189289347684718</v>
      </c>
      <c r="C128" s="41">
        <f ca="1">SUMIF(OFFSET(CalibData2!$M$3,1,0,$Q$2),ROW()+COLUMN()/100,OFFSET(CalibData2!$N$3,1,0,$Q$2))</f>
        <v>0</v>
      </c>
      <c r="D128" s="41">
        <f ca="1">SUMIF(OFFSET(CalibData2!$M$3,1,0,$Q$2),ROW()+COLUMN()/100,OFFSET(CalibData2!$N$3,1,0,$Q$2))</f>
        <v>0.18797322336921182</v>
      </c>
      <c r="E128" s="227">
        <v>0</v>
      </c>
      <c r="F128" s="41">
        <f ca="1">SUMIF(OFFSET(CalibData2!$M$3,1,0,$Q$2),ROW()+COLUMN()/100,OFFSET(CalibData2!$N$3,1,0,$Q$2))</f>
        <v>0</v>
      </c>
      <c r="G128" s="227"/>
      <c r="H128" s="227"/>
      <c r="I128" s="41">
        <f ca="1">SUMIF(OFFSET(CalibData2!$M$3,1,0,$Q$2),ROW()+COLUMN()/100,OFFSET(CalibData2!$N$3,1,0,$Q$2))</f>
        <v>6.0133883153940991E-2</v>
      </c>
      <c r="J128" s="212">
        <f t="shared" ca="1" si="30"/>
        <v>1</v>
      </c>
      <c r="K128" s="220" t="str">
        <f t="shared" ca="1" si="31"/>
        <v/>
      </c>
      <c r="L128" s="198"/>
      <c r="M128" s="195"/>
      <c r="N128" s="195"/>
      <c r="O128" s="195"/>
      <c r="P128" s="195"/>
      <c r="V128" s="171"/>
      <c r="W128" s="172"/>
      <c r="X128" s="172"/>
      <c r="Y128" s="172"/>
      <c r="Z128" s="172"/>
      <c r="AA128" s="172"/>
      <c r="AB128" s="172"/>
      <c r="AC128" s="172"/>
      <c r="AD128" s="172"/>
      <c r="AE128" s="172"/>
      <c r="AF128" s="172"/>
      <c r="AG128" s="172"/>
      <c r="AH128" s="172"/>
      <c r="AI128" s="172"/>
      <c r="AJ128" s="172"/>
      <c r="AK128" s="172"/>
      <c r="AL128" s="172"/>
      <c r="AM128" s="172"/>
      <c r="AN128" s="172"/>
      <c r="AO128" s="172"/>
      <c r="AP128" s="172"/>
      <c r="AQ128" s="172"/>
      <c r="AR128" s="172"/>
      <c r="AS128" s="172"/>
    </row>
    <row r="129" spans="1:45">
      <c r="A129" s="211" t="s">
        <v>87</v>
      </c>
      <c r="B129" s="77">
        <f t="shared" ca="1" si="32"/>
        <v>0.8</v>
      </c>
      <c r="C129" s="227"/>
      <c r="D129" s="41">
        <f ca="1">SUMIF(OFFSET(CalibData2!$M$3,1,0,$Q$2),ROW()+COLUMN()/100,OFFSET(CalibData2!$N$3,1,0,$Q$2))</f>
        <v>0.2</v>
      </c>
      <c r="E129" s="227"/>
      <c r="F129" s="227"/>
      <c r="G129" s="227"/>
      <c r="H129" s="227"/>
      <c r="I129" s="227"/>
      <c r="J129" s="212">
        <f t="shared" ca="1" si="30"/>
        <v>1</v>
      </c>
      <c r="K129" s="220" t="str">
        <f t="shared" si="31"/>
        <v/>
      </c>
      <c r="L129" s="198"/>
      <c r="M129" s="195"/>
      <c r="N129" s="195"/>
      <c r="O129" s="195"/>
      <c r="P129" s="195"/>
      <c r="V129" s="171"/>
      <c r="W129" s="172"/>
      <c r="X129" s="172"/>
      <c r="Y129" s="172"/>
      <c r="Z129" s="172"/>
      <c r="AA129" s="172"/>
      <c r="AB129" s="172"/>
      <c r="AC129" s="172"/>
      <c r="AD129" s="172"/>
      <c r="AE129" s="172"/>
      <c r="AF129" s="172"/>
      <c r="AG129" s="172"/>
      <c r="AH129" s="172"/>
      <c r="AI129" s="172"/>
      <c r="AJ129" s="172"/>
      <c r="AK129" s="172"/>
      <c r="AL129" s="172"/>
      <c r="AM129" s="172"/>
      <c r="AN129" s="172"/>
      <c r="AO129" s="172"/>
      <c r="AP129" s="172"/>
      <c r="AQ129" s="172"/>
      <c r="AR129" s="172"/>
      <c r="AS129" s="172"/>
    </row>
    <row r="130" spans="1:45">
      <c r="A130" s="211" t="s">
        <v>576</v>
      </c>
      <c r="B130" s="77">
        <f t="shared" ca="1" si="32"/>
        <v>0.8</v>
      </c>
      <c r="C130" s="227"/>
      <c r="D130" s="41">
        <f ca="1">SUMIF(OFFSET(CalibData2!$M$3,1,0,$Q$2),ROW()+COLUMN()/100,OFFSET(CalibData2!$N$3,1,0,$Q$2))</f>
        <v>0.2</v>
      </c>
      <c r="E130" s="41">
        <f ca="1">SUMIF(OFFSET(CalibData2!$M$3,1,0,$Q$2),ROW()+COLUMN()/100,OFFSET(CalibData2!$N$3,1,0,$Q$2))</f>
        <v>0</v>
      </c>
      <c r="F130" s="41">
        <f ca="1">SUMIF(OFFSET(CalibData2!$M$3,1,0,$Q$2),ROW()+COLUMN()/100,OFFSET(CalibData2!$N$3,1,0,$Q$2))</f>
        <v>0</v>
      </c>
      <c r="G130" s="227"/>
      <c r="H130" s="227"/>
      <c r="I130" s="227"/>
      <c r="J130" s="212">
        <f t="shared" ca="1" si="30"/>
        <v>1</v>
      </c>
      <c r="K130" s="220" t="str">
        <f t="shared" si="31"/>
        <v/>
      </c>
      <c r="L130" s="198"/>
      <c r="M130" s="195"/>
      <c r="N130" s="195"/>
      <c r="O130" s="195"/>
      <c r="P130" s="195"/>
      <c r="V130" s="171"/>
      <c r="W130" s="172"/>
      <c r="X130" s="172"/>
      <c r="Y130" s="172"/>
      <c r="Z130" s="172"/>
      <c r="AA130" s="172"/>
      <c r="AB130" s="172"/>
      <c r="AC130" s="172"/>
      <c r="AD130" s="172"/>
      <c r="AE130" s="172"/>
      <c r="AF130" s="172"/>
      <c r="AG130" s="172"/>
      <c r="AH130" s="172"/>
      <c r="AI130" s="172"/>
      <c r="AJ130" s="172"/>
      <c r="AK130" s="172"/>
      <c r="AL130" s="172"/>
      <c r="AM130" s="172"/>
      <c r="AN130" s="172"/>
      <c r="AO130" s="172"/>
      <c r="AP130" s="172"/>
      <c r="AQ130" s="172"/>
      <c r="AR130" s="172"/>
      <c r="AS130" s="172"/>
    </row>
    <row r="131" spans="1:45">
      <c r="A131" s="211" t="s">
        <v>412</v>
      </c>
      <c r="B131" s="77">
        <f t="shared" ca="1" si="32"/>
        <v>0.8</v>
      </c>
      <c r="C131" s="227"/>
      <c r="D131" s="41">
        <f ca="1">SUMIF(OFFSET(CalibData2!$M$3,1,0,$Q$2),ROW()+COLUMN()/100,OFFSET(CalibData2!$N$3,1,0,$Q$2))</f>
        <v>0.2</v>
      </c>
      <c r="E131" s="227"/>
      <c r="F131" s="41">
        <f ca="1">SUMIF(OFFSET(CalibData2!$M$3,1,0,$Q$2),ROW()+COLUMN()/100,OFFSET(CalibData2!$N$3,1,0,$Q$2))</f>
        <v>0</v>
      </c>
      <c r="G131" s="227"/>
      <c r="H131" s="227"/>
      <c r="I131" s="227"/>
      <c r="J131" s="212">
        <f t="shared" ca="1" si="30"/>
        <v>1</v>
      </c>
      <c r="K131" s="220" t="str">
        <f t="shared" si="31"/>
        <v/>
      </c>
      <c r="L131" s="198"/>
      <c r="M131" s="195"/>
      <c r="N131" s="195"/>
      <c r="O131" s="195"/>
      <c r="P131" s="195"/>
      <c r="V131" s="171"/>
      <c r="W131" s="172"/>
      <c r="X131" s="172"/>
      <c r="Y131" s="172"/>
      <c r="Z131" s="172"/>
      <c r="AA131" s="172"/>
      <c r="AB131" s="172"/>
      <c r="AC131" s="172"/>
      <c r="AD131" s="172"/>
      <c r="AE131" s="172"/>
      <c r="AF131" s="172"/>
      <c r="AG131" s="172"/>
      <c r="AH131" s="172"/>
      <c r="AI131" s="172"/>
      <c r="AJ131" s="172"/>
      <c r="AK131" s="172"/>
      <c r="AL131" s="172"/>
      <c r="AM131" s="172"/>
      <c r="AN131" s="172"/>
      <c r="AO131" s="172"/>
      <c r="AP131" s="172"/>
      <c r="AQ131" s="172"/>
      <c r="AR131" s="172"/>
      <c r="AS131" s="172"/>
    </row>
    <row r="132" spans="1:45">
      <c r="A132" s="211" t="s">
        <v>212</v>
      </c>
      <c r="B132" s="77">
        <f t="shared" ca="1" si="32"/>
        <v>0.44999999999999996</v>
      </c>
      <c r="C132" s="227">
        <v>0</v>
      </c>
      <c r="D132" s="41">
        <f ca="1">SUMIF(OFFSET(CalibData2!$M$3,1,0,$Q$2),ROW()+COLUMN()/100,OFFSET(CalibData2!$N$3,1,0,$Q$2))</f>
        <v>0.3</v>
      </c>
      <c r="E132" s="227"/>
      <c r="F132" s="41">
        <f ca="1">SUMIF(OFFSET(CalibData2!$M$3,1,0,$Q$2),ROW()+COLUMN()/100,OFFSET(CalibData2!$N$3,1,0,$Q$2))</f>
        <v>0.25</v>
      </c>
      <c r="G132" s="227"/>
      <c r="H132" s="227"/>
      <c r="I132" s="227"/>
      <c r="J132" s="212">
        <f t="shared" ca="1" si="30"/>
        <v>1</v>
      </c>
      <c r="K132" s="220" t="str">
        <f t="shared" si="31"/>
        <v/>
      </c>
      <c r="L132" s="198"/>
      <c r="M132" s="195"/>
      <c r="N132" s="195"/>
      <c r="O132" s="195"/>
      <c r="P132" s="195"/>
      <c r="V132" s="171"/>
      <c r="W132" s="172"/>
      <c r="X132" s="172"/>
      <c r="Y132" s="172"/>
      <c r="Z132" s="172"/>
      <c r="AA132" s="172"/>
      <c r="AB132" s="172"/>
      <c r="AC132" s="172"/>
      <c r="AD132" s="172"/>
      <c r="AE132" s="172"/>
      <c r="AF132" s="172"/>
      <c r="AG132" s="172"/>
      <c r="AH132" s="172"/>
      <c r="AI132" s="172"/>
      <c r="AJ132" s="172"/>
      <c r="AK132" s="172"/>
      <c r="AL132" s="172"/>
      <c r="AM132" s="172"/>
      <c r="AN132" s="172"/>
      <c r="AO132" s="172"/>
      <c r="AP132" s="172"/>
      <c r="AQ132" s="172"/>
      <c r="AR132" s="172"/>
      <c r="AS132" s="172"/>
    </row>
    <row r="133" spans="1:45">
      <c r="A133" s="211" t="s">
        <v>588</v>
      </c>
      <c r="B133" s="77">
        <f t="shared" ca="1" si="32"/>
        <v>1</v>
      </c>
      <c r="C133" s="227"/>
      <c r="D133" s="41">
        <f ca="1">SUMIF(OFFSET(CalibData2!$M$3,1,0,$Q$2),ROW()+COLUMN()/100,OFFSET(CalibData2!$N$3,1,0,$Q$2))</f>
        <v>0</v>
      </c>
      <c r="E133" s="227"/>
      <c r="F133" s="41">
        <f ca="1">SUMIF(OFFSET(CalibData2!$M$3,1,0,$Q$2),ROW()+COLUMN()/100,OFFSET(CalibData2!$N$3,1,0,$Q$2))</f>
        <v>0</v>
      </c>
      <c r="G133" s="227"/>
      <c r="H133" s="227"/>
      <c r="I133" s="227"/>
      <c r="J133" s="212">
        <f t="shared" ca="1" si="30"/>
        <v>1</v>
      </c>
      <c r="K133" s="220" t="str">
        <f t="shared" si="31"/>
        <v/>
      </c>
      <c r="L133" s="198"/>
      <c r="M133" s="195"/>
      <c r="N133" s="195"/>
      <c r="O133" s="195"/>
      <c r="P133" s="195"/>
      <c r="V133" s="171"/>
      <c r="W133" s="172"/>
      <c r="X133" s="172"/>
      <c r="Y133" s="172"/>
      <c r="Z133" s="172"/>
      <c r="AA133" s="172"/>
      <c r="AB133" s="172"/>
      <c r="AC133" s="172"/>
      <c r="AD133" s="172"/>
      <c r="AE133" s="172"/>
      <c r="AF133" s="172"/>
      <c r="AG133" s="172"/>
      <c r="AH133" s="172"/>
      <c r="AI133" s="172"/>
      <c r="AJ133" s="172"/>
      <c r="AK133" s="172"/>
      <c r="AL133" s="172"/>
      <c r="AM133" s="172"/>
      <c r="AN133" s="172"/>
      <c r="AO133" s="172"/>
      <c r="AP133" s="172"/>
      <c r="AQ133" s="172"/>
      <c r="AR133" s="172"/>
      <c r="AS133" s="172"/>
    </row>
    <row r="134" spans="1:45">
      <c r="A134" s="211" t="s">
        <v>247</v>
      </c>
      <c r="B134" s="77">
        <f t="shared" ca="1" si="32"/>
        <v>3.5577123688439127E-2</v>
      </c>
      <c r="C134" s="41">
        <f ca="1">SUMIF(OFFSET(CalibData2!$M$3,1,0,$Q$2),ROW()+COLUMN()/100,OFFSET(CalibData2!$N$3,1,0,$Q$2))</f>
        <v>4.3572103949758967E-2</v>
      </c>
      <c r="D134" s="41">
        <f ca="1">SUMIF(OFFSET(CalibData2!$M$3,1,0,$Q$2),ROW()+COLUMN()/100,OFFSET(CalibData2!$N$3,1,0,$Q$2))</f>
        <v>8.8942809221097749E-3</v>
      </c>
      <c r="E134" s="41">
        <f ca="1">SUMIF(OFFSET(CalibData2!$M$3,1,0,$Q$2),ROW()+COLUMN()/100,OFFSET(CalibData2!$N$3,1,0,$Q$2))</f>
        <v>0.30576915052462433</v>
      </c>
      <c r="F134" s="41">
        <f ca="1">SUMIF(OFFSET(CalibData2!$M$3,1,0,$Q$2),ROW()+COLUMN()/100,OFFSET(CalibData2!$N$3,1,0,$Q$2))</f>
        <v>0.04</v>
      </c>
      <c r="G134" s="41">
        <f ca="1">SUMIF(OFFSET(CalibData2!$M$3,1,0,$Q$2),ROW()+COLUMN()/100,OFFSET(CalibData2!$N$3,1,0,$Q$2))</f>
        <v>7.0000000000000007E-2</v>
      </c>
      <c r="H134" s="41">
        <f ca="1">SUMIF(OFFSET(CalibData2!$M$3,1,0,$Q$2),ROW()+COLUMN()/100,OFFSET(CalibData2!$N$3,1,0,$Q$2))</f>
        <v>7.5352214814200805E-2</v>
      </c>
      <c r="I134" s="41">
        <f ca="1">SUMIF(OFFSET(CalibData2!$M$3,1,0,$Q$2),ROW()+COLUMN()/100,OFFSET(CalibData2!$N$3,1,0,$Q$2))</f>
        <v>0.42083512610086704</v>
      </c>
      <c r="J134" s="212">
        <f t="shared" ca="1" si="30"/>
        <v>1</v>
      </c>
      <c r="K134" s="220" t="str">
        <f t="shared" ca="1" si="31"/>
        <v/>
      </c>
      <c r="L134" s="198"/>
      <c r="M134" s="195"/>
      <c r="N134" s="195"/>
      <c r="O134" s="195"/>
      <c r="P134" s="195"/>
    </row>
    <row r="135" spans="1:45">
      <c r="A135" s="211" t="s">
        <v>414</v>
      </c>
      <c r="B135" s="77">
        <f t="shared" ca="1" si="32"/>
        <v>0.78116805159953862</v>
      </c>
      <c r="C135" s="41">
        <f ca="1">SUMIF(OFFSET(CalibData2!$M$3,1,0,$Q$2),ROW()+COLUMN()/100,OFFSET(CalibData2!$N$3,1,0,$Q$2))</f>
        <v>1.883194840046138E-2</v>
      </c>
      <c r="D135" s="41">
        <f ca="1">SUMIF(OFFSET(CalibData2!$M$3,1,0,$Q$2),ROW()+COLUMN()/100,OFFSET(CalibData2!$N$3,1,0,$Q$2))</f>
        <v>0.2</v>
      </c>
      <c r="E135" s="227"/>
      <c r="F135" s="227"/>
      <c r="G135" s="227"/>
      <c r="H135" s="227"/>
      <c r="I135" s="227"/>
      <c r="J135" s="212">
        <f t="shared" ca="1" si="30"/>
        <v>1</v>
      </c>
      <c r="K135" s="220" t="str">
        <f t="shared" ca="1" si="31"/>
        <v/>
      </c>
      <c r="L135" s="198"/>
      <c r="M135" s="195"/>
      <c r="N135" s="195"/>
      <c r="O135" s="195"/>
      <c r="P135" s="195"/>
      <c r="V135" s="171"/>
    </row>
    <row r="136" spans="1:45">
      <c r="A136" s="211" t="s">
        <v>245</v>
      </c>
      <c r="B136" s="77">
        <f t="shared" ca="1" si="32"/>
        <v>1</v>
      </c>
      <c r="C136" s="41">
        <f ca="1">SUMIF(OFFSET(CalibData2!$M$3,1,0,$Q$2),ROW()+COLUMN()/100,OFFSET(CalibData2!$N$3,1,0,$Q$2))</f>
        <v>0</v>
      </c>
      <c r="D136" s="41">
        <f ca="1">SUMIF(OFFSET(CalibData2!$M$3,1,0,$Q$2),ROW()+COLUMN()/100,OFFSET(CalibData2!$N$3,1,0,$Q$2))</f>
        <v>0</v>
      </c>
      <c r="E136" s="227"/>
      <c r="F136" s="227"/>
      <c r="G136" s="227"/>
      <c r="H136" s="227"/>
      <c r="I136" s="227"/>
      <c r="J136" s="212">
        <f t="shared" ca="1" si="30"/>
        <v>1</v>
      </c>
      <c r="K136" s="220" t="str">
        <f t="shared" si="31"/>
        <v/>
      </c>
      <c r="L136" s="198"/>
      <c r="M136" s="195"/>
      <c r="N136" s="195"/>
      <c r="O136" s="195"/>
      <c r="P136" s="195"/>
      <c r="V136" s="171"/>
      <c r="W136" s="172"/>
      <c r="X136" s="172"/>
      <c r="Y136" s="172"/>
      <c r="Z136" s="172"/>
      <c r="AA136" s="172"/>
      <c r="AB136" s="172"/>
      <c r="AC136" s="172"/>
      <c r="AD136" s="172"/>
      <c r="AE136" s="172"/>
      <c r="AF136" s="172"/>
      <c r="AG136" s="172"/>
      <c r="AH136" s="172"/>
      <c r="AI136" s="172"/>
      <c r="AJ136" s="172"/>
      <c r="AK136" s="172"/>
      <c r="AL136" s="172"/>
      <c r="AM136" s="172"/>
      <c r="AN136" s="172"/>
      <c r="AO136" s="172"/>
      <c r="AP136" s="172"/>
      <c r="AQ136" s="172"/>
      <c r="AR136" s="172"/>
      <c r="AS136" s="172"/>
    </row>
    <row r="137" spans="1:45">
      <c r="A137" s="211" t="s">
        <v>246</v>
      </c>
      <c r="B137" s="227">
        <f t="shared" ca="1" si="32"/>
        <v>1</v>
      </c>
      <c r="C137" s="227"/>
      <c r="D137" s="41">
        <f ca="1">SUMIF(OFFSET(CalibData2!$M$3,1,0,$Q$2),ROW()+COLUMN()/100,OFFSET(CalibData2!$N$3,1,0,$Q$2))</f>
        <v>0</v>
      </c>
      <c r="E137" s="227"/>
      <c r="F137" s="41">
        <f ca="1">SUMIF(OFFSET(CalibData2!$M$3,1,0,$Q$2),ROW()+COLUMN()/100,OFFSET(CalibData2!$N$3,1,0,$Q$2))</f>
        <v>0</v>
      </c>
      <c r="G137" s="227"/>
      <c r="H137" s="227"/>
      <c r="I137" s="227"/>
      <c r="J137" s="212">
        <f t="shared" ca="1" si="30"/>
        <v>1</v>
      </c>
      <c r="K137" s="220" t="str">
        <f t="shared" si="31"/>
        <v/>
      </c>
      <c r="L137" s="198"/>
      <c r="M137" s="195"/>
      <c r="N137" s="195"/>
      <c r="O137" s="195"/>
      <c r="P137" s="195"/>
      <c r="V137" s="171"/>
      <c r="W137" s="172"/>
      <c r="X137" s="172"/>
      <c r="Y137" s="172"/>
      <c r="Z137" s="172"/>
      <c r="AA137" s="172"/>
      <c r="AB137" s="172"/>
      <c r="AC137" s="172"/>
      <c r="AD137" s="172"/>
      <c r="AE137" s="172"/>
      <c r="AF137" s="172"/>
      <c r="AG137" s="172"/>
      <c r="AH137" s="172"/>
      <c r="AI137" s="172"/>
      <c r="AJ137" s="172"/>
      <c r="AK137" s="172"/>
      <c r="AL137" s="172"/>
      <c r="AM137" s="172"/>
      <c r="AN137" s="172"/>
      <c r="AO137" s="172"/>
      <c r="AP137" s="172"/>
      <c r="AQ137" s="172"/>
      <c r="AR137" s="172"/>
      <c r="AS137" s="172"/>
    </row>
    <row r="138" spans="1:45">
      <c r="A138" s="195"/>
      <c r="B138" s="195"/>
      <c r="C138" s="195"/>
      <c r="D138" s="195"/>
      <c r="E138" s="195"/>
      <c r="F138" s="195"/>
      <c r="G138" s="195"/>
      <c r="H138" s="195"/>
      <c r="I138" s="195"/>
      <c r="J138" s="195"/>
      <c r="K138" s="195"/>
      <c r="L138" s="198"/>
      <c r="M138" s="195"/>
      <c r="N138" s="195"/>
      <c r="O138" s="195"/>
      <c r="P138" s="195"/>
      <c r="V138" s="171"/>
      <c r="W138" s="172"/>
      <c r="X138" s="172"/>
      <c r="Y138" s="172"/>
      <c r="Z138" s="172"/>
      <c r="AA138" s="172"/>
      <c r="AB138" s="172"/>
      <c r="AC138" s="172"/>
      <c r="AD138" s="172"/>
      <c r="AE138" s="172"/>
      <c r="AF138" s="172"/>
      <c r="AG138" s="172"/>
      <c r="AH138" s="172"/>
      <c r="AI138" s="172"/>
      <c r="AJ138" s="172"/>
      <c r="AK138" s="172"/>
      <c r="AL138" s="172"/>
      <c r="AM138" s="172"/>
      <c r="AN138" s="172"/>
      <c r="AO138" s="172"/>
      <c r="AP138" s="172"/>
      <c r="AQ138" s="172"/>
      <c r="AR138" s="172"/>
      <c r="AS138" s="172"/>
    </row>
    <row r="139" spans="1:45">
      <c r="A139" s="211"/>
      <c r="B139" s="195"/>
      <c r="C139" s="195"/>
      <c r="D139" s="195"/>
      <c r="E139" s="195"/>
      <c r="F139" s="195"/>
      <c r="G139" s="195"/>
      <c r="H139" s="195"/>
      <c r="I139" s="195"/>
      <c r="J139" s="195"/>
      <c r="K139" s="195"/>
      <c r="L139" s="198"/>
      <c r="M139" s="195"/>
      <c r="N139" s="195"/>
      <c r="O139" s="195"/>
      <c r="P139" s="195"/>
      <c r="V139" s="171"/>
      <c r="W139" s="172"/>
      <c r="X139" s="172"/>
      <c r="Y139" s="172"/>
      <c r="Z139" s="172"/>
      <c r="AA139" s="172"/>
      <c r="AB139" s="172"/>
      <c r="AC139" s="172"/>
      <c r="AD139" s="172"/>
      <c r="AE139" s="172"/>
      <c r="AF139" s="172"/>
      <c r="AG139" s="172"/>
      <c r="AH139" s="172"/>
      <c r="AI139" s="172"/>
      <c r="AJ139" s="172"/>
      <c r="AK139" s="172"/>
      <c r="AL139" s="172"/>
      <c r="AM139" s="172"/>
      <c r="AN139" s="172"/>
      <c r="AO139" s="172"/>
      <c r="AP139" s="172"/>
      <c r="AQ139" s="172"/>
      <c r="AR139" s="172"/>
      <c r="AS139" s="172"/>
    </row>
    <row r="140" spans="1:45">
      <c r="A140" s="211"/>
      <c r="B140" s="195"/>
      <c r="C140" s="195"/>
      <c r="D140" s="195"/>
      <c r="E140" s="195"/>
      <c r="F140" s="195"/>
      <c r="G140" s="195"/>
      <c r="H140" s="211"/>
      <c r="I140" s="238"/>
      <c r="J140" s="238"/>
      <c r="K140" s="238"/>
      <c r="L140" s="198"/>
      <c r="M140" s="195"/>
      <c r="N140" s="195"/>
      <c r="O140" s="195"/>
      <c r="P140" s="195"/>
      <c r="V140" s="171"/>
      <c r="W140" s="172"/>
      <c r="X140" s="172"/>
      <c r="Y140" s="172"/>
      <c r="Z140" s="172"/>
      <c r="AA140" s="172"/>
      <c r="AB140" s="172"/>
      <c r="AC140" s="172"/>
      <c r="AD140" s="172"/>
      <c r="AE140" s="172"/>
      <c r="AF140" s="172"/>
      <c r="AG140" s="172"/>
      <c r="AH140" s="172"/>
      <c r="AI140" s="172"/>
      <c r="AJ140" s="172"/>
      <c r="AK140" s="172"/>
      <c r="AL140" s="172"/>
      <c r="AM140" s="172"/>
      <c r="AN140" s="172"/>
      <c r="AO140" s="172"/>
      <c r="AP140" s="172"/>
      <c r="AQ140" s="172"/>
      <c r="AR140" s="172"/>
      <c r="AS140" s="172"/>
    </row>
    <row r="141" spans="1:45" ht="18">
      <c r="A141" s="131" t="s">
        <v>393</v>
      </c>
      <c r="B141" s="98"/>
      <c r="C141" s="98"/>
      <c r="D141" s="98"/>
      <c r="E141" s="98"/>
      <c r="F141" s="98"/>
      <c r="G141" s="211"/>
      <c r="H141" s="211"/>
      <c r="I141" s="239"/>
      <c r="J141" s="239"/>
      <c r="K141" s="239"/>
      <c r="L141" s="198"/>
      <c r="M141" s="195"/>
      <c r="N141" s="195"/>
      <c r="O141" s="195"/>
      <c r="P141" s="195"/>
      <c r="V141" s="171"/>
      <c r="W141" s="172"/>
      <c r="X141" s="172"/>
      <c r="Y141" s="172"/>
      <c r="Z141" s="172"/>
      <c r="AA141" s="172"/>
      <c r="AB141" s="172"/>
      <c r="AC141" s="172"/>
      <c r="AD141" s="172"/>
      <c r="AE141" s="172"/>
      <c r="AF141" s="172"/>
      <c r="AG141" s="172"/>
      <c r="AH141" s="172"/>
      <c r="AI141" s="172"/>
      <c r="AJ141" s="172"/>
      <c r="AK141" s="172"/>
      <c r="AL141" s="172"/>
      <c r="AM141" s="172"/>
      <c r="AN141" s="172"/>
      <c r="AO141" s="172"/>
      <c r="AP141" s="172"/>
      <c r="AQ141" s="172"/>
      <c r="AR141" s="172"/>
      <c r="AS141" s="172"/>
    </row>
    <row r="142" spans="1:45">
      <c r="A142" s="211"/>
      <c r="B142" s="62" t="s">
        <v>458</v>
      </c>
      <c r="C142" s="62" t="s">
        <v>720</v>
      </c>
      <c r="D142" s="62" t="s">
        <v>721</v>
      </c>
      <c r="E142" s="62" t="s">
        <v>722</v>
      </c>
      <c r="F142" s="195"/>
      <c r="G142" s="195"/>
      <c r="H142" s="195"/>
      <c r="I142" s="195"/>
      <c r="J142" s="195"/>
      <c r="K142" s="195"/>
      <c r="L142" s="195"/>
      <c r="M142" s="195"/>
      <c r="N142" s="195"/>
      <c r="O142" s="195"/>
      <c r="P142" s="195"/>
      <c r="V142" s="171"/>
      <c r="W142" s="172"/>
      <c r="X142" s="172"/>
      <c r="Y142" s="172"/>
      <c r="Z142" s="172"/>
      <c r="AA142" s="172"/>
      <c r="AB142" s="172"/>
      <c r="AC142" s="172"/>
      <c r="AD142" s="172"/>
      <c r="AE142" s="172"/>
      <c r="AF142" s="172"/>
      <c r="AG142" s="172"/>
      <c r="AH142" s="172"/>
      <c r="AI142" s="172"/>
      <c r="AJ142" s="172"/>
      <c r="AK142" s="172"/>
      <c r="AL142" s="172"/>
      <c r="AM142" s="172"/>
      <c r="AN142" s="172"/>
      <c r="AO142" s="172"/>
      <c r="AP142" s="172"/>
      <c r="AQ142" s="172"/>
      <c r="AR142" s="172"/>
      <c r="AS142" s="172"/>
    </row>
    <row r="143" spans="1:45">
      <c r="A143" s="198" t="s">
        <v>282</v>
      </c>
      <c r="B143" s="195"/>
      <c r="C143" s="195"/>
      <c r="D143" s="195"/>
      <c r="E143" s="195"/>
      <c r="F143" s="195"/>
      <c r="G143" s="195"/>
      <c r="H143" s="195"/>
      <c r="I143" s="195"/>
      <c r="J143" s="195"/>
      <c r="K143" s="195"/>
      <c r="L143" s="195"/>
      <c r="M143" s="195"/>
      <c r="N143" s="195"/>
      <c r="O143" s="195"/>
      <c r="P143" s="195"/>
      <c r="V143" s="171"/>
      <c r="W143" s="172"/>
      <c r="X143" s="172"/>
      <c r="Y143" s="172"/>
      <c r="Z143" s="172"/>
      <c r="AA143" s="172"/>
      <c r="AB143" s="172"/>
      <c r="AC143" s="172"/>
      <c r="AD143" s="172"/>
      <c r="AE143" s="172"/>
      <c r="AF143" s="172"/>
      <c r="AG143" s="172"/>
      <c r="AH143" s="172"/>
      <c r="AI143" s="172"/>
      <c r="AJ143" s="172"/>
      <c r="AK143" s="172"/>
      <c r="AL143" s="172"/>
      <c r="AM143" s="172"/>
      <c r="AN143" s="172"/>
      <c r="AO143" s="172"/>
      <c r="AP143" s="172"/>
      <c r="AQ143" s="172"/>
      <c r="AR143" s="172"/>
      <c r="AS143" s="172"/>
    </row>
    <row r="144" spans="1:45">
      <c r="A144" s="198"/>
      <c r="B144" s="198" t="str">
        <f>B142</f>
        <v>Region1</v>
      </c>
      <c r="C144" s="198" t="str">
        <f>C142</f>
        <v>Region2</v>
      </c>
      <c r="D144" s="198" t="str">
        <f>D142</f>
        <v>Region3</v>
      </c>
      <c r="E144" s="198" t="str">
        <f>E142</f>
        <v>Region4</v>
      </c>
      <c r="F144" s="195" t="s">
        <v>248</v>
      </c>
      <c r="G144" s="195"/>
      <c r="H144" s="195"/>
      <c r="I144" s="195"/>
      <c r="J144" s="195"/>
      <c r="K144" s="195"/>
      <c r="L144" s="195"/>
      <c r="M144" s="195"/>
      <c r="N144" s="195"/>
      <c r="O144" s="195"/>
      <c r="P144" s="195"/>
      <c r="V144" s="171"/>
      <c r="W144" s="172"/>
      <c r="X144" s="172"/>
      <c r="Y144" s="172"/>
      <c r="Z144" s="172"/>
      <c r="AA144" s="172"/>
      <c r="AB144" s="172"/>
      <c r="AC144" s="172"/>
      <c r="AD144" s="172"/>
      <c r="AE144" s="172"/>
      <c r="AF144" s="172"/>
      <c r="AG144" s="172"/>
      <c r="AH144" s="172"/>
      <c r="AI144" s="172"/>
      <c r="AJ144" s="172"/>
      <c r="AK144" s="172"/>
      <c r="AL144" s="172"/>
      <c r="AM144" s="172"/>
      <c r="AN144" s="172"/>
      <c r="AO144" s="172"/>
      <c r="AP144" s="172"/>
      <c r="AQ144" s="172"/>
      <c r="AR144" s="172"/>
      <c r="AS144" s="172"/>
    </row>
    <row r="145" spans="1:45">
      <c r="A145" s="195" t="s">
        <v>244</v>
      </c>
      <c r="B145" s="41">
        <f ca="1">MAX(0,1-SUM(C145:E145))</f>
        <v>1</v>
      </c>
      <c r="C145" s="41">
        <f ca="1">SUMIF(OFFSET(CalibData2!$M$3,1,0,$Q$2),ROW()+COLUMN()/100,OFFSET(CalibData2!$N$3,1,0,$Q$2))</f>
        <v>0</v>
      </c>
      <c r="D145" s="41">
        <f ca="1">SUMIF(OFFSET(CalibData2!$M$3,1,0,$Q$2),ROW()+COLUMN()/100,OFFSET(CalibData2!$N$3,1,0,$Q$2))</f>
        <v>0</v>
      </c>
      <c r="E145" s="41">
        <f ca="1">SUMIF(OFFSET(CalibData2!$M$3,1,0,$Q$2),ROW()+COLUMN()/100,OFFSET(CalibData2!$N$3,1,0,$Q$2))</f>
        <v>0</v>
      </c>
      <c r="F145" s="228">
        <f t="shared" ref="F145:F154" ca="1" si="33">SUM(B145:E145)</f>
        <v>1</v>
      </c>
      <c r="G145" s="195"/>
      <c r="H145" s="195"/>
      <c r="I145" s="195"/>
      <c r="J145" s="195"/>
      <c r="K145" s="195"/>
      <c r="L145" s="195"/>
      <c r="M145" s="195"/>
      <c r="N145" s="195"/>
      <c r="O145" s="195"/>
      <c r="P145" s="195"/>
      <c r="V145" s="171"/>
      <c r="W145" s="172"/>
      <c r="X145" s="172"/>
      <c r="Y145" s="172"/>
      <c r="Z145" s="172"/>
      <c r="AA145" s="172"/>
      <c r="AB145" s="172"/>
      <c r="AC145" s="172"/>
      <c r="AD145" s="172"/>
      <c r="AE145" s="172"/>
      <c r="AF145" s="172"/>
      <c r="AG145" s="172"/>
      <c r="AH145" s="172"/>
      <c r="AI145" s="172"/>
      <c r="AJ145" s="172"/>
      <c r="AK145" s="172"/>
      <c r="AL145" s="172"/>
      <c r="AM145" s="172"/>
      <c r="AN145" s="172"/>
      <c r="AO145" s="172"/>
      <c r="AP145" s="172"/>
      <c r="AQ145" s="172"/>
      <c r="AR145" s="172"/>
      <c r="AS145" s="172"/>
    </row>
    <row r="146" spans="1:45">
      <c r="A146" s="195" t="s">
        <v>663</v>
      </c>
      <c r="B146" s="41">
        <f t="shared" ref="B146:B154" ca="1" si="34">MAX(0,1-SUM(C146:E146))</f>
        <v>1</v>
      </c>
      <c r="C146" s="41">
        <f ca="1">SUMIF(OFFSET(CalibData2!$M$3,1,0,$Q$2),ROW()+COLUMN()/100,OFFSET(CalibData2!$N$3,1,0,$Q$2))</f>
        <v>0</v>
      </c>
      <c r="D146" s="41">
        <f ca="1">SUMIF(OFFSET(CalibData2!$M$3,1,0,$Q$2),ROW()+COLUMN()/100,OFFSET(CalibData2!$N$3,1,0,$Q$2))</f>
        <v>0</v>
      </c>
      <c r="E146" s="41">
        <f ca="1">SUMIF(OFFSET(CalibData2!$M$3,1,0,$Q$2),ROW()+COLUMN()/100,OFFSET(CalibData2!$N$3,1,0,$Q$2))</f>
        <v>0</v>
      </c>
      <c r="F146" s="228">
        <f t="shared" ca="1" si="33"/>
        <v>1</v>
      </c>
      <c r="G146" s="195"/>
      <c r="H146" s="195"/>
      <c r="I146" s="195"/>
      <c r="J146" s="195"/>
      <c r="K146" s="195"/>
      <c r="L146" s="195"/>
      <c r="M146" s="195"/>
      <c r="N146" s="195"/>
      <c r="O146" s="195"/>
      <c r="P146" s="195"/>
      <c r="V146" s="171"/>
      <c r="W146" s="172"/>
      <c r="X146" s="172"/>
      <c r="Y146" s="172"/>
      <c r="Z146" s="172"/>
      <c r="AA146" s="172"/>
      <c r="AB146" s="172"/>
      <c r="AC146" s="172"/>
      <c r="AD146" s="172"/>
      <c r="AE146" s="172"/>
      <c r="AF146" s="172"/>
      <c r="AG146" s="172"/>
      <c r="AH146" s="172"/>
      <c r="AI146" s="172"/>
      <c r="AJ146" s="172"/>
      <c r="AK146" s="172"/>
      <c r="AL146" s="172"/>
      <c r="AM146" s="172"/>
      <c r="AN146" s="172"/>
      <c r="AO146" s="172"/>
      <c r="AP146" s="172"/>
      <c r="AQ146" s="172"/>
      <c r="AR146" s="172"/>
      <c r="AS146" s="172"/>
    </row>
    <row r="147" spans="1:45">
      <c r="A147" s="195" t="s">
        <v>87</v>
      </c>
      <c r="B147" s="41">
        <f t="shared" ca="1" si="34"/>
        <v>1</v>
      </c>
      <c r="C147" s="41">
        <f ca="1">SUMIF(OFFSET(CalibData2!$M$3,1,0,$Q$2),ROW()+COLUMN()/100,OFFSET(CalibData2!$N$3,1,0,$Q$2))</f>
        <v>0</v>
      </c>
      <c r="D147" s="41">
        <f ca="1">SUMIF(OFFSET(CalibData2!$M$3,1,0,$Q$2),ROW()+COLUMN()/100,OFFSET(CalibData2!$N$3,1,0,$Q$2))</f>
        <v>0</v>
      </c>
      <c r="E147" s="41">
        <f ca="1">SUMIF(OFFSET(CalibData2!$M$3,1,0,$Q$2),ROW()+COLUMN()/100,OFFSET(CalibData2!$N$3,1,0,$Q$2))</f>
        <v>0</v>
      </c>
      <c r="F147" s="228">
        <f t="shared" ca="1" si="33"/>
        <v>1</v>
      </c>
      <c r="G147" s="195"/>
      <c r="H147" s="195"/>
      <c r="I147" s="195"/>
      <c r="J147" s="195"/>
      <c r="K147" s="195"/>
      <c r="L147" s="195"/>
      <c r="M147" s="195"/>
      <c r="N147" s="195"/>
      <c r="O147" s="195"/>
      <c r="P147" s="195"/>
      <c r="V147" s="171"/>
      <c r="W147" s="172"/>
      <c r="X147" s="172"/>
      <c r="Y147" s="172"/>
      <c r="Z147" s="172"/>
      <c r="AA147" s="172"/>
      <c r="AB147" s="172"/>
      <c r="AC147" s="172"/>
      <c r="AD147" s="172"/>
      <c r="AE147" s="172"/>
      <c r="AF147" s="172"/>
      <c r="AG147" s="172"/>
      <c r="AH147" s="172"/>
      <c r="AI147" s="172"/>
      <c r="AJ147" s="172"/>
      <c r="AK147" s="172"/>
      <c r="AL147" s="172"/>
      <c r="AM147" s="172"/>
      <c r="AN147" s="172"/>
      <c r="AO147" s="172"/>
      <c r="AP147" s="172"/>
      <c r="AQ147" s="172"/>
      <c r="AR147" s="172"/>
      <c r="AS147" s="172"/>
    </row>
    <row r="148" spans="1:45">
      <c r="A148" s="195" t="s">
        <v>576</v>
      </c>
      <c r="B148" s="41">
        <f t="shared" ca="1" si="34"/>
        <v>1</v>
      </c>
      <c r="C148" s="41">
        <f ca="1">SUMIF(OFFSET(CalibData2!$M$3,1,0,$Q$2),ROW()+COLUMN()/100,OFFSET(CalibData2!$N$3,1,0,$Q$2))</f>
        <v>0</v>
      </c>
      <c r="D148" s="41">
        <f ca="1">SUMIF(OFFSET(CalibData2!$M$3,1,0,$Q$2),ROW()+COLUMN()/100,OFFSET(CalibData2!$N$3,1,0,$Q$2))</f>
        <v>0</v>
      </c>
      <c r="E148" s="41">
        <f ca="1">SUMIF(OFFSET(CalibData2!$M$3,1,0,$Q$2),ROW()+COLUMN()/100,OFFSET(CalibData2!$N$3,1,0,$Q$2))</f>
        <v>0</v>
      </c>
      <c r="F148" s="228">
        <f t="shared" ca="1" si="33"/>
        <v>1</v>
      </c>
      <c r="G148" s="195"/>
      <c r="H148" s="195"/>
      <c r="I148" s="195"/>
      <c r="J148" s="195"/>
      <c r="K148" s="195"/>
      <c r="L148" s="195"/>
      <c r="M148" s="195"/>
      <c r="N148" s="195"/>
      <c r="O148" s="195"/>
      <c r="P148" s="195"/>
      <c r="V148" s="171"/>
      <c r="W148" s="172"/>
      <c r="X148" s="172"/>
      <c r="Y148" s="172"/>
      <c r="Z148" s="172"/>
      <c r="AA148" s="172"/>
      <c r="AB148" s="172"/>
      <c r="AC148" s="172"/>
      <c r="AD148" s="172"/>
      <c r="AE148" s="172"/>
      <c r="AF148" s="172"/>
      <c r="AG148" s="172"/>
      <c r="AH148" s="172"/>
      <c r="AI148" s="172"/>
      <c r="AJ148" s="172"/>
      <c r="AK148" s="172"/>
      <c r="AL148" s="172"/>
      <c r="AM148" s="172"/>
      <c r="AN148" s="172"/>
      <c r="AO148" s="172"/>
      <c r="AP148" s="172"/>
      <c r="AQ148" s="172"/>
      <c r="AR148" s="172"/>
      <c r="AS148" s="172"/>
    </row>
    <row r="149" spans="1:45">
      <c r="A149" s="195" t="s">
        <v>664</v>
      </c>
      <c r="B149" s="41">
        <f t="shared" ca="1" si="34"/>
        <v>1</v>
      </c>
      <c r="C149" s="41">
        <f ca="1">SUMIF(OFFSET(CalibData2!$M$3,1,0,$Q$2),ROW()+COLUMN()/100,OFFSET(CalibData2!$N$3,1,0,$Q$2))</f>
        <v>0</v>
      </c>
      <c r="D149" s="41">
        <f ca="1">SUMIF(OFFSET(CalibData2!$M$3,1,0,$Q$2),ROW()+COLUMN()/100,OFFSET(CalibData2!$N$3,1,0,$Q$2))</f>
        <v>0</v>
      </c>
      <c r="E149" s="41">
        <f ca="1">SUMIF(OFFSET(CalibData2!$M$3,1,0,$Q$2),ROW()+COLUMN()/100,OFFSET(CalibData2!$N$3,1,0,$Q$2))</f>
        <v>0</v>
      </c>
      <c r="F149" s="228">
        <f t="shared" ca="1" si="33"/>
        <v>1</v>
      </c>
      <c r="G149" s="195"/>
      <c r="H149" s="195"/>
      <c r="I149" s="195"/>
      <c r="J149" s="195"/>
      <c r="K149" s="195"/>
      <c r="L149" s="195"/>
      <c r="M149" s="195"/>
      <c r="N149" s="195"/>
      <c r="O149" s="195"/>
      <c r="P149" s="195"/>
      <c r="V149" s="171"/>
      <c r="W149" s="172"/>
      <c r="X149" s="172"/>
      <c r="Y149" s="172"/>
      <c r="Z149" s="172"/>
      <c r="AA149" s="172"/>
      <c r="AB149" s="172"/>
      <c r="AC149" s="172"/>
      <c r="AD149" s="172"/>
      <c r="AE149" s="172"/>
      <c r="AF149" s="172"/>
      <c r="AG149" s="172"/>
      <c r="AH149" s="172"/>
      <c r="AI149" s="172"/>
      <c r="AJ149" s="172"/>
      <c r="AK149" s="172"/>
      <c r="AL149" s="172"/>
      <c r="AM149" s="172"/>
      <c r="AN149" s="172"/>
      <c r="AO149" s="172"/>
      <c r="AP149" s="172"/>
      <c r="AQ149" s="172"/>
      <c r="AR149" s="172"/>
      <c r="AS149" s="172"/>
    </row>
    <row r="150" spans="1:45">
      <c r="A150" s="195" t="s">
        <v>665</v>
      </c>
      <c r="B150" s="41">
        <f t="shared" ca="1" si="34"/>
        <v>1</v>
      </c>
      <c r="C150" s="41">
        <f ca="1">SUMIF(OFFSET(CalibData2!$M$3,1,0,$Q$2),ROW()+COLUMN()/100,OFFSET(CalibData2!$N$3,1,0,$Q$2))</f>
        <v>0</v>
      </c>
      <c r="D150" s="41">
        <f ca="1">SUMIF(OFFSET(CalibData2!$M$3,1,0,$Q$2),ROW()+COLUMN()/100,OFFSET(CalibData2!$N$3,1,0,$Q$2))</f>
        <v>0</v>
      </c>
      <c r="E150" s="41">
        <f ca="1">SUMIF(OFFSET(CalibData2!$M$3,1,0,$Q$2),ROW()+COLUMN()/100,OFFSET(CalibData2!$N$3,1,0,$Q$2))</f>
        <v>0</v>
      </c>
      <c r="F150" s="228">
        <f t="shared" ca="1" si="33"/>
        <v>1</v>
      </c>
      <c r="G150" s="195"/>
      <c r="H150" s="195"/>
      <c r="I150" s="195"/>
      <c r="J150" s="195"/>
      <c r="K150" s="195"/>
      <c r="L150" s="195"/>
      <c r="M150" s="195"/>
      <c r="N150" s="195"/>
      <c r="O150" s="195"/>
      <c r="P150" s="195"/>
      <c r="Q150" s="102"/>
      <c r="V150" s="171"/>
      <c r="W150" s="172"/>
      <c r="X150" s="172"/>
      <c r="Y150" s="172"/>
      <c r="Z150" s="172"/>
      <c r="AA150" s="172"/>
      <c r="AB150" s="172"/>
      <c r="AC150" s="172"/>
      <c r="AD150" s="172"/>
      <c r="AE150" s="172"/>
      <c r="AF150" s="172"/>
      <c r="AG150" s="172"/>
      <c r="AH150" s="172"/>
      <c r="AI150" s="172"/>
      <c r="AJ150" s="172"/>
      <c r="AK150" s="172"/>
      <c r="AL150" s="172"/>
      <c r="AM150" s="172"/>
      <c r="AN150" s="172"/>
      <c r="AO150" s="172"/>
      <c r="AP150" s="172"/>
      <c r="AQ150" s="172"/>
      <c r="AR150" s="172"/>
      <c r="AS150" s="172"/>
    </row>
    <row r="151" spans="1:45">
      <c r="A151" s="240" t="s">
        <v>588</v>
      </c>
      <c r="B151" s="41">
        <f t="shared" ca="1" si="34"/>
        <v>1</v>
      </c>
      <c r="C151" s="41">
        <f ca="1">SUMIF(OFFSET(CalibData2!$M$3,1,0,$Q$2),ROW()+COLUMN()/100,OFFSET(CalibData2!$N$3,1,0,$Q$2))</f>
        <v>0</v>
      </c>
      <c r="D151" s="41">
        <f ca="1">SUMIF(OFFSET(CalibData2!$M$3,1,0,$Q$2),ROW()+COLUMN()/100,OFFSET(CalibData2!$N$3,1,0,$Q$2))</f>
        <v>0</v>
      </c>
      <c r="E151" s="41">
        <f ca="1">SUMIF(OFFSET(CalibData2!$M$3,1,0,$Q$2),ROW()+COLUMN()/100,OFFSET(CalibData2!$N$3,1,0,$Q$2))</f>
        <v>0</v>
      </c>
      <c r="F151" s="228">
        <f t="shared" ca="1" si="33"/>
        <v>1</v>
      </c>
      <c r="G151" s="195"/>
      <c r="H151" s="195"/>
      <c r="I151" s="195"/>
      <c r="J151" s="195"/>
      <c r="K151" s="195"/>
      <c r="L151" s="195"/>
      <c r="M151" s="195"/>
      <c r="N151" s="195"/>
      <c r="O151" s="195"/>
      <c r="P151" s="195"/>
      <c r="Q151" s="102"/>
      <c r="V151" s="171"/>
      <c r="W151" s="172"/>
      <c r="X151" s="172"/>
      <c r="Y151" s="172"/>
      <c r="Z151" s="172"/>
      <c r="AA151" s="172"/>
      <c r="AB151" s="172"/>
      <c r="AC151" s="172"/>
      <c r="AD151" s="172"/>
      <c r="AE151" s="172"/>
      <c r="AF151" s="172"/>
      <c r="AG151" s="172"/>
      <c r="AH151" s="172"/>
      <c r="AI151" s="172"/>
      <c r="AJ151" s="172"/>
      <c r="AK151" s="172"/>
      <c r="AL151" s="172"/>
      <c r="AM151" s="172"/>
      <c r="AN151" s="172"/>
      <c r="AO151" s="172"/>
      <c r="AP151" s="172"/>
      <c r="AQ151" s="172"/>
      <c r="AR151" s="172"/>
      <c r="AS151" s="172"/>
    </row>
    <row r="152" spans="1:45">
      <c r="A152" s="195" t="s">
        <v>247</v>
      </c>
      <c r="B152" s="41">
        <f t="shared" ca="1" si="34"/>
        <v>1</v>
      </c>
      <c r="C152" s="41">
        <f ca="1">SUMIF(OFFSET(CalibData2!$M$3,1,0,$Q$2),ROW()+COLUMN()/100,OFFSET(CalibData2!$N$3,1,0,$Q$2))</f>
        <v>0</v>
      </c>
      <c r="D152" s="41">
        <f ca="1">SUMIF(OFFSET(CalibData2!$M$3,1,0,$Q$2),ROW()+COLUMN()/100,OFFSET(CalibData2!$N$3,1,0,$Q$2))</f>
        <v>0</v>
      </c>
      <c r="E152" s="41">
        <f ca="1">SUMIF(OFFSET(CalibData2!$M$3,1,0,$Q$2),ROW()+COLUMN()/100,OFFSET(CalibData2!$N$3,1,0,$Q$2))</f>
        <v>0</v>
      </c>
      <c r="F152" s="228">
        <f t="shared" ca="1" si="33"/>
        <v>1</v>
      </c>
      <c r="G152" s="195"/>
      <c r="H152" s="195"/>
      <c r="I152" s="195"/>
      <c r="J152" s="195"/>
      <c r="K152" s="195"/>
      <c r="L152" s="195"/>
      <c r="M152" s="195"/>
      <c r="N152" s="195"/>
      <c r="O152" s="195"/>
      <c r="P152" s="195"/>
      <c r="Q152" s="102"/>
    </row>
    <row r="153" spans="1:45">
      <c r="A153" s="195" t="s">
        <v>414</v>
      </c>
      <c r="B153" s="41">
        <f t="shared" ca="1" si="34"/>
        <v>1</v>
      </c>
      <c r="C153" s="41">
        <f ca="1">SUMIF(OFFSET(CalibData2!$M$3,1,0,$Q$2),ROW()+COLUMN()/100,OFFSET(CalibData2!$N$3,1,0,$Q$2))</f>
        <v>0</v>
      </c>
      <c r="D153" s="41">
        <f ca="1">SUMIF(OFFSET(CalibData2!$M$3,1,0,$Q$2),ROW()+COLUMN()/100,OFFSET(CalibData2!$N$3,1,0,$Q$2))</f>
        <v>0</v>
      </c>
      <c r="E153" s="41">
        <f ca="1">SUMIF(OFFSET(CalibData2!$M$3,1,0,$Q$2),ROW()+COLUMN()/100,OFFSET(CalibData2!$N$3,1,0,$Q$2))</f>
        <v>0</v>
      </c>
      <c r="F153" s="228">
        <f t="shared" ca="1" si="33"/>
        <v>1</v>
      </c>
      <c r="G153" s="195"/>
      <c r="H153" s="195"/>
      <c r="I153" s="195"/>
      <c r="J153" s="195"/>
      <c r="K153" s="195"/>
      <c r="L153" s="195"/>
      <c r="M153" s="195"/>
      <c r="N153" s="195"/>
      <c r="O153" s="195"/>
      <c r="P153" s="195"/>
      <c r="Q153" s="102"/>
      <c r="V153" s="171"/>
    </row>
    <row r="154" spans="1:45">
      <c r="A154" s="195" t="s">
        <v>245</v>
      </c>
      <c r="B154" s="41">
        <f t="shared" ca="1" si="34"/>
        <v>1</v>
      </c>
      <c r="C154" s="41">
        <f ca="1">SUMIF(OFFSET(CalibData2!$M$3,1,0,$Q$2),ROW()+COLUMN()/100,OFFSET(CalibData2!$N$3,1,0,$Q$2))</f>
        <v>0</v>
      </c>
      <c r="D154" s="41">
        <f ca="1">SUMIF(OFFSET(CalibData2!$M$3,1,0,$Q$2),ROW()+COLUMN()/100,OFFSET(CalibData2!$N$3,1,0,$Q$2))</f>
        <v>0</v>
      </c>
      <c r="E154" s="41">
        <f ca="1">SUMIF(OFFSET(CalibData2!$M$3,1,0,$Q$2),ROW()+COLUMN()/100,OFFSET(CalibData2!$N$3,1,0,$Q$2))</f>
        <v>0</v>
      </c>
      <c r="F154" s="228">
        <f t="shared" ca="1" si="33"/>
        <v>1</v>
      </c>
      <c r="G154" s="195"/>
      <c r="H154" s="195"/>
      <c r="I154" s="195"/>
      <c r="J154" s="195"/>
      <c r="K154" s="195"/>
      <c r="L154" s="195"/>
      <c r="M154" s="195"/>
      <c r="N154" s="195"/>
      <c r="O154" s="195"/>
      <c r="P154" s="195"/>
      <c r="Q154" s="102"/>
    </row>
    <row r="155" spans="1:45">
      <c r="A155" s="195"/>
      <c r="B155" s="213"/>
      <c r="C155" s="213"/>
      <c r="D155" s="213"/>
      <c r="E155" s="195"/>
      <c r="F155" s="195"/>
      <c r="G155" s="195"/>
      <c r="H155" s="195"/>
      <c r="I155" s="195"/>
      <c r="J155" s="195"/>
      <c r="K155" s="195"/>
      <c r="L155" s="195"/>
      <c r="M155" s="195"/>
      <c r="N155" s="195"/>
      <c r="O155" s="195"/>
      <c r="P155" s="195"/>
      <c r="Q155" s="102"/>
      <c r="V155" s="171"/>
      <c r="W155" s="172"/>
      <c r="X155" s="172"/>
      <c r="Y155" s="172"/>
      <c r="Z155" s="172"/>
      <c r="AA155" s="172"/>
      <c r="AB155" s="172"/>
      <c r="AC155" s="172"/>
      <c r="AD155" s="172"/>
      <c r="AE155" s="172"/>
      <c r="AF155" s="172"/>
      <c r="AG155" s="172"/>
      <c r="AH155" s="172"/>
      <c r="AI155" s="172"/>
      <c r="AJ155" s="172"/>
      <c r="AK155" s="172"/>
      <c r="AL155" s="172"/>
      <c r="AM155" s="172"/>
      <c r="AN155" s="172"/>
      <c r="AO155" s="172"/>
      <c r="AP155" s="172"/>
      <c r="AQ155" s="172"/>
      <c r="AR155" s="172"/>
      <c r="AS155" s="172"/>
    </row>
    <row r="156" spans="1:45">
      <c r="A156" s="198" t="s">
        <v>283</v>
      </c>
      <c r="B156" s="213"/>
      <c r="C156" s="213"/>
      <c r="D156" s="213"/>
      <c r="E156" s="195"/>
      <c r="F156" s="195"/>
      <c r="G156" s="195"/>
      <c r="H156" s="195"/>
      <c r="I156" s="195"/>
      <c r="J156" s="195"/>
      <c r="K156" s="195"/>
      <c r="L156" s="195"/>
      <c r="M156" s="195"/>
      <c r="N156" s="195"/>
      <c r="O156" s="195"/>
      <c r="P156" s="195"/>
      <c r="Q156" s="102"/>
      <c r="V156" s="171"/>
      <c r="W156" s="172"/>
      <c r="X156" s="172"/>
      <c r="Y156" s="172"/>
      <c r="Z156" s="172"/>
      <c r="AA156" s="172"/>
      <c r="AB156" s="172"/>
      <c r="AC156" s="172"/>
      <c r="AD156" s="172"/>
      <c r="AE156" s="172"/>
      <c r="AF156" s="172"/>
      <c r="AG156" s="172"/>
      <c r="AH156" s="172"/>
      <c r="AI156" s="172"/>
      <c r="AJ156" s="172"/>
      <c r="AK156" s="172"/>
      <c r="AL156" s="172"/>
      <c r="AM156" s="172"/>
      <c r="AN156" s="172"/>
      <c r="AO156" s="172"/>
      <c r="AP156" s="172"/>
      <c r="AQ156" s="172"/>
      <c r="AR156" s="172"/>
      <c r="AS156" s="172"/>
    </row>
    <row r="157" spans="1:45">
      <c r="A157" s="198"/>
      <c r="B157" s="242" t="str">
        <f>B142</f>
        <v>Region1</v>
      </c>
      <c r="C157" s="242" t="str">
        <f>C142</f>
        <v>Region2</v>
      </c>
      <c r="D157" s="242" t="str">
        <f>D142</f>
        <v>Region3</v>
      </c>
      <c r="E157" s="242" t="str">
        <f>E142</f>
        <v>Region4</v>
      </c>
      <c r="F157" s="195" t="s">
        <v>248</v>
      </c>
      <c r="G157" s="195"/>
      <c r="H157" s="195"/>
      <c r="I157" s="195"/>
      <c r="J157" s="195"/>
      <c r="K157" s="195"/>
      <c r="L157" s="195"/>
      <c r="M157" s="195"/>
      <c r="N157" s="195"/>
      <c r="O157" s="195"/>
      <c r="P157" s="195"/>
      <c r="Q157" s="102"/>
      <c r="V157" s="171"/>
      <c r="W157" s="172"/>
      <c r="X157" s="172"/>
      <c r="Y157" s="172"/>
      <c r="Z157" s="172"/>
      <c r="AA157" s="172"/>
      <c r="AB157" s="172"/>
      <c r="AC157" s="172"/>
      <c r="AD157" s="172"/>
      <c r="AE157" s="172"/>
      <c r="AF157" s="172"/>
      <c r="AG157" s="172"/>
      <c r="AH157" s="172"/>
      <c r="AI157" s="172"/>
      <c r="AJ157" s="172"/>
      <c r="AK157" s="172"/>
      <c r="AL157" s="172"/>
      <c r="AM157" s="172"/>
      <c r="AN157" s="172"/>
      <c r="AO157" s="172"/>
      <c r="AP157" s="172"/>
      <c r="AQ157" s="172"/>
      <c r="AR157" s="172"/>
      <c r="AS157" s="172"/>
    </row>
    <row r="158" spans="1:45">
      <c r="A158" s="195" t="s">
        <v>244</v>
      </c>
      <c r="B158" s="41">
        <f ca="1">MAX(0,1-SUM(C158:E158))</f>
        <v>1</v>
      </c>
      <c r="C158" s="41">
        <f ca="1">SUMIF(OFFSET(CalibData2!$M$3,1,0,$Q$2),ROW()+COLUMN()/100,OFFSET(CalibData2!$N$3,1,0,$Q$2))</f>
        <v>0</v>
      </c>
      <c r="D158" s="41">
        <f ca="1">SUMIF(OFFSET(CalibData2!$M$3,1,0,$Q$2),ROW()+COLUMN()/100,OFFSET(CalibData2!$N$3,1,0,$Q$2))</f>
        <v>0</v>
      </c>
      <c r="E158" s="41">
        <f ca="1">SUMIF(OFFSET(CalibData2!$M$3,1,0,$Q$2),ROW()+COLUMN()/100,OFFSET(CalibData2!$N$3,1,0,$Q$2))</f>
        <v>0</v>
      </c>
      <c r="F158" s="228">
        <f t="shared" ref="F158:F167" ca="1" si="35">SUM(B158:E158)</f>
        <v>1</v>
      </c>
      <c r="G158" s="195"/>
      <c r="H158" s="195"/>
      <c r="I158" s="195"/>
      <c r="J158" s="195"/>
      <c r="K158" s="195"/>
      <c r="L158" s="195"/>
      <c r="M158" s="195"/>
      <c r="N158" s="195"/>
      <c r="O158" s="195"/>
      <c r="P158" s="195"/>
      <c r="Q158" s="102"/>
      <c r="V158" s="171"/>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row>
    <row r="159" spans="1:45">
      <c r="A159" s="195" t="s">
        <v>663</v>
      </c>
      <c r="B159" s="41">
        <f t="shared" ref="B159:B167" ca="1" si="36">MAX(0,1-SUM(C159:E159))</f>
        <v>1</v>
      </c>
      <c r="C159" s="41">
        <f ca="1">SUMIF(OFFSET(CalibData2!$M$3,1,0,$Q$2),ROW()+COLUMN()/100,OFFSET(CalibData2!$N$3,1,0,$Q$2))</f>
        <v>0</v>
      </c>
      <c r="D159" s="41">
        <f ca="1">SUMIF(OFFSET(CalibData2!$M$3,1,0,$Q$2),ROW()+COLUMN()/100,OFFSET(CalibData2!$N$3,1,0,$Q$2))</f>
        <v>0</v>
      </c>
      <c r="E159" s="41">
        <f ca="1">SUMIF(OFFSET(CalibData2!$M$3,1,0,$Q$2),ROW()+COLUMN()/100,OFFSET(CalibData2!$N$3,1,0,$Q$2))</f>
        <v>0</v>
      </c>
      <c r="F159" s="228">
        <f t="shared" ca="1" si="35"/>
        <v>1</v>
      </c>
      <c r="G159" s="195"/>
      <c r="H159" s="195"/>
      <c r="I159" s="195"/>
      <c r="J159" s="195"/>
      <c r="K159" s="195"/>
      <c r="L159" s="195"/>
      <c r="M159" s="195"/>
      <c r="N159" s="195"/>
      <c r="O159" s="195"/>
      <c r="P159" s="195"/>
      <c r="Q159" s="102"/>
      <c r="V159" s="171"/>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row>
    <row r="160" spans="1:45">
      <c r="A160" s="195" t="s">
        <v>574</v>
      </c>
      <c r="B160" s="41">
        <f t="shared" ca="1" si="36"/>
        <v>1</v>
      </c>
      <c r="C160" s="41">
        <f ca="1">SUMIF(OFFSET(CalibData2!$M$3,1,0,$Q$2),ROW()+COLUMN()/100,OFFSET(CalibData2!$N$3,1,0,$Q$2))</f>
        <v>0</v>
      </c>
      <c r="D160" s="41">
        <f ca="1">SUMIF(OFFSET(CalibData2!$M$3,1,0,$Q$2),ROW()+COLUMN()/100,OFFSET(CalibData2!$N$3,1,0,$Q$2))</f>
        <v>0</v>
      </c>
      <c r="E160" s="41">
        <f ca="1">SUMIF(OFFSET(CalibData2!$M$3,1,0,$Q$2),ROW()+COLUMN()/100,OFFSET(CalibData2!$N$3,1,0,$Q$2))</f>
        <v>0</v>
      </c>
      <c r="F160" s="228">
        <f t="shared" ca="1" si="35"/>
        <v>1</v>
      </c>
      <c r="G160" s="195"/>
      <c r="H160" s="195"/>
      <c r="I160" s="195"/>
      <c r="J160" s="195"/>
      <c r="K160" s="195"/>
      <c r="L160" s="195"/>
      <c r="M160" s="195"/>
      <c r="N160" s="195"/>
      <c r="O160" s="195"/>
      <c r="P160" s="195"/>
      <c r="Q160" s="102"/>
    </row>
    <row r="161" spans="1:45">
      <c r="A161" s="195" t="s">
        <v>576</v>
      </c>
      <c r="B161" s="41">
        <f t="shared" ca="1" si="36"/>
        <v>1</v>
      </c>
      <c r="C161" s="41">
        <f ca="1">SUMIF(OFFSET(CalibData2!$M$3,1,0,$Q$2),ROW()+COLUMN()/100,OFFSET(CalibData2!$N$3,1,0,$Q$2))</f>
        <v>0</v>
      </c>
      <c r="D161" s="41">
        <f ca="1">SUMIF(OFFSET(CalibData2!$M$3,1,0,$Q$2),ROW()+COLUMN()/100,OFFSET(CalibData2!$N$3,1,0,$Q$2))</f>
        <v>0</v>
      </c>
      <c r="E161" s="41">
        <f ca="1">SUMIF(OFFSET(CalibData2!$M$3,1,0,$Q$2),ROW()+COLUMN()/100,OFFSET(CalibData2!$N$3,1,0,$Q$2))</f>
        <v>0</v>
      </c>
      <c r="F161" s="228">
        <f t="shared" ca="1" si="35"/>
        <v>1</v>
      </c>
      <c r="G161" s="195"/>
      <c r="H161" s="195"/>
      <c r="I161" s="195"/>
      <c r="J161" s="195"/>
      <c r="K161" s="195"/>
      <c r="L161" s="195"/>
      <c r="M161" s="195"/>
      <c r="N161" s="195"/>
      <c r="O161" s="195"/>
      <c r="P161" s="195"/>
      <c r="Q161" s="102"/>
    </row>
    <row r="162" spans="1:45">
      <c r="A162" s="195" t="s">
        <v>664</v>
      </c>
      <c r="B162" s="41">
        <f t="shared" ca="1" si="36"/>
        <v>1</v>
      </c>
      <c r="C162" s="41">
        <f ca="1">SUMIF(OFFSET(CalibData2!$M$3,1,0,$Q$2),ROW()+COLUMN()/100,OFFSET(CalibData2!$N$3,1,0,$Q$2))</f>
        <v>0</v>
      </c>
      <c r="D162" s="41">
        <f ca="1">SUMIF(OFFSET(CalibData2!$M$3,1,0,$Q$2),ROW()+COLUMN()/100,OFFSET(CalibData2!$N$3,1,0,$Q$2))</f>
        <v>0</v>
      </c>
      <c r="E162" s="41">
        <f ca="1">SUMIF(OFFSET(CalibData2!$M$3,1,0,$Q$2),ROW()+COLUMN()/100,OFFSET(CalibData2!$N$3,1,0,$Q$2))</f>
        <v>0</v>
      </c>
      <c r="F162" s="228">
        <f t="shared" ca="1" si="35"/>
        <v>1</v>
      </c>
      <c r="G162" s="195"/>
      <c r="H162" s="195"/>
      <c r="I162" s="195"/>
      <c r="J162" s="195"/>
      <c r="K162" s="195"/>
      <c r="L162" s="195"/>
      <c r="M162" s="195"/>
      <c r="N162" s="195"/>
      <c r="O162" s="195"/>
      <c r="P162" s="195"/>
      <c r="Q162" s="102"/>
    </row>
    <row r="163" spans="1:45">
      <c r="A163" s="195" t="s">
        <v>665</v>
      </c>
      <c r="B163" s="41">
        <f t="shared" ca="1" si="36"/>
        <v>1</v>
      </c>
      <c r="C163" s="41">
        <f ca="1">SUMIF(OFFSET(CalibData2!$M$3,1,0,$Q$2),ROW()+COLUMN()/100,OFFSET(CalibData2!$N$3,1,0,$Q$2))</f>
        <v>0</v>
      </c>
      <c r="D163" s="41">
        <f ca="1">SUMIF(OFFSET(CalibData2!$M$3,1,0,$Q$2),ROW()+COLUMN()/100,OFFSET(CalibData2!$N$3,1,0,$Q$2))</f>
        <v>0</v>
      </c>
      <c r="E163" s="41">
        <f ca="1">SUMIF(OFFSET(CalibData2!$M$3,1,0,$Q$2),ROW()+COLUMN()/100,OFFSET(CalibData2!$N$3,1,0,$Q$2))</f>
        <v>0</v>
      </c>
      <c r="F163" s="228">
        <f t="shared" ca="1" si="35"/>
        <v>1</v>
      </c>
      <c r="G163" s="195"/>
      <c r="H163" s="195"/>
      <c r="I163" s="195"/>
      <c r="J163" s="195"/>
      <c r="K163" s="195"/>
      <c r="L163" s="195"/>
      <c r="M163" s="195"/>
      <c r="N163" s="195"/>
      <c r="O163" s="195"/>
      <c r="P163" s="195"/>
      <c r="Q163" s="102"/>
    </row>
    <row r="164" spans="1:45">
      <c r="A164" s="241" t="s">
        <v>588</v>
      </c>
      <c r="B164" s="41">
        <f t="shared" ca="1" si="36"/>
        <v>1</v>
      </c>
      <c r="C164" s="41">
        <f ca="1">SUMIF(OFFSET(CalibData2!$M$3,1,0,$Q$2),ROW()+COLUMN()/100,OFFSET(CalibData2!$N$3,1,0,$Q$2))</f>
        <v>0</v>
      </c>
      <c r="D164" s="41">
        <f ca="1">SUMIF(OFFSET(CalibData2!$M$3,1,0,$Q$2),ROW()+COLUMN()/100,OFFSET(CalibData2!$N$3,1,0,$Q$2))</f>
        <v>0</v>
      </c>
      <c r="E164" s="41">
        <f ca="1">SUMIF(OFFSET(CalibData2!$M$3,1,0,$Q$2),ROW()+COLUMN()/100,OFFSET(CalibData2!$N$3,1,0,$Q$2))</f>
        <v>0</v>
      </c>
      <c r="F164" s="228">
        <f t="shared" ca="1" si="35"/>
        <v>1</v>
      </c>
      <c r="G164" s="195"/>
      <c r="H164" s="195"/>
      <c r="I164" s="195"/>
      <c r="J164" s="195"/>
      <c r="K164" s="195"/>
      <c r="L164" s="195"/>
      <c r="M164" s="195"/>
      <c r="N164" s="195"/>
      <c r="O164" s="195"/>
      <c r="P164" s="195"/>
      <c r="Q164" s="102"/>
      <c r="V164" s="171"/>
    </row>
    <row r="165" spans="1:45">
      <c r="A165" s="195" t="s">
        <v>247</v>
      </c>
      <c r="B165" s="41">
        <f t="shared" ca="1" si="36"/>
        <v>1</v>
      </c>
      <c r="C165" s="41">
        <f ca="1">SUMIF(OFFSET(CalibData2!$M$3,1,0,$Q$2),ROW()+COLUMN()/100,OFFSET(CalibData2!$N$3,1,0,$Q$2))</f>
        <v>0</v>
      </c>
      <c r="D165" s="41">
        <f ca="1">SUMIF(OFFSET(CalibData2!$M$3,1,0,$Q$2),ROW()+COLUMN()/100,OFFSET(CalibData2!$N$3,1,0,$Q$2))</f>
        <v>0</v>
      </c>
      <c r="E165" s="41">
        <f ca="1">SUMIF(OFFSET(CalibData2!$M$3,1,0,$Q$2),ROW()+COLUMN()/100,OFFSET(CalibData2!$N$3,1,0,$Q$2))</f>
        <v>0</v>
      </c>
      <c r="F165" s="228">
        <f t="shared" ca="1" si="35"/>
        <v>1</v>
      </c>
      <c r="G165" s="195"/>
      <c r="H165" s="195"/>
      <c r="I165" s="195"/>
      <c r="J165" s="195"/>
      <c r="K165" s="195"/>
      <c r="L165" s="195"/>
      <c r="M165" s="195"/>
      <c r="N165" s="195"/>
      <c r="O165" s="195"/>
      <c r="P165" s="195"/>
      <c r="Q165" s="102"/>
      <c r="V165" s="171"/>
    </row>
    <row r="166" spans="1:45">
      <c r="A166" s="195" t="s">
        <v>414</v>
      </c>
      <c r="B166" s="41">
        <f t="shared" ca="1" si="36"/>
        <v>1</v>
      </c>
      <c r="C166" s="41">
        <f ca="1">SUMIF(OFFSET(CalibData2!$M$3,1,0,$Q$2),ROW()+COLUMN()/100,OFFSET(CalibData2!$N$3,1,0,$Q$2))</f>
        <v>0</v>
      </c>
      <c r="D166" s="41">
        <f ca="1">SUMIF(OFFSET(CalibData2!$M$3,1,0,$Q$2),ROW()+COLUMN()/100,OFFSET(CalibData2!$N$3,1,0,$Q$2))</f>
        <v>0</v>
      </c>
      <c r="E166" s="41">
        <f ca="1">SUMIF(OFFSET(CalibData2!$M$3,1,0,$Q$2),ROW()+COLUMN()/100,OFFSET(CalibData2!$N$3,1,0,$Q$2))</f>
        <v>0</v>
      </c>
      <c r="F166" s="228">
        <f t="shared" ca="1" si="35"/>
        <v>1</v>
      </c>
      <c r="G166" s="195"/>
      <c r="H166" s="195"/>
      <c r="I166" s="195"/>
      <c r="J166" s="195"/>
      <c r="K166" s="195"/>
      <c r="L166" s="195"/>
      <c r="M166" s="195"/>
      <c r="N166" s="195"/>
      <c r="O166" s="195"/>
      <c r="P166" s="195"/>
      <c r="Q166" s="102"/>
    </row>
    <row r="167" spans="1:45">
      <c r="A167" s="195" t="s">
        <v>245</v>
      </c>
      <c r="B167" s="41">
        <f t="shared" ca="1" si="36"/>
        <v>1</v>
      </c>
      <c r="C167" s="41">
        <f ca="1">SUMIF(OFFSET(CalibData2!$M$3,1,0,$Q$2),ROW()+COLUMN()/100,OFFSET(CalibData2!$N$3,1,0,$Q$2))</f>
        <v>0</v>
      </c>
      <c r="D167" s="41">
        <f ca="1">SUMIF(OFFSET(CalibData2!$M$3,1,0,$Q$2),ROW()+COLUMN()/100,OFFSET(CalibData2!$N$3,1,0,$Q$2))</f>
        <v>0</v>
      </c>
      <c r="E167" s="41">
        <f ca="1">SUMIF(OFFSET(CalibData2!$M$3,1,0,$Q$2),ROW()+COLUMN()/100,OFFSET(CalibData2!$N$3,1,0,$Q$2))</f>
        <v>0</v>
      </c>
      <c r="F167" s="228">
        <f t="shared" ca="1" si="35"/>
        <v>1</v>
      </c>
      <c r="G167" s="195"/>
      <c r="H167" s="195"/>
      <c r="I167" s="195"/>
      <c r="J167" s="195"/>
      <c r="K167" s="195"/>
      <c r="L167" s="195"/>
      <c r="M167" s="195"/>
      <c r="N167" s="195"/>
      <c r="O167" s="195"/>
      <c r="P167" s="195"/>
      <c r="Q167" s="102"/>
    </row>
    <row r="168" spans="1:45">
      <c r="A168" s="195"/>
      <c r="B168" s="195"/>
      <c r="C168" s="195"/>
      <c r="D168" s="195"/>
      <c r="E168" s="195"/>
      <c r="F168" s="195"/>
      <c r="G168" s="195"/>
      <c r="H168" s="195"/>
      <c r="I168" s="195"/>
      <c r="J168" s="22"/>
      <c r="K168" s="195"/>
      <c r="L168" s="195"/>
      <c r="M168" s="195"/>
      <c r="N168" s="195"/>
      <c r="O168" s="195"/>
      <c r="P168" s="195"/>
      <c r="Q168" s="102"/>
    </row>
    <row r="169" spans="1:45" ht="18">
      <c r="A169" s="131" t="s">
        <v>394</v>
      </c>
      <c r="B169" s="98"/>
      <c r="C169" s="98"/>
      <c r="D169" s="98"/>
      <c r="E169" s="98"/>
      <c r="F169" s="98"/>
      <c r="G169" s="98"/>
      <c r="H169" s="98"/>
      <c r="I169" s="98"/>
      <c r="J169" s="195"/>
      <c r="K169" s="195"/>
      <c r="L169" s="195"/>
      <c r="M169" s="195"/>
      <c r="N169" s="195"/>
      <c r="O169" s="195"/>
      <c r="P169" s="195"/>
      <c r="Q169" s="102"/>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row>
    <row r="170" spans="1:45" ht="22.5">
      <c r="A170" s="236"/>
      <c r="B170" s="235" t="s">
        <v>213</v>
      </c>
      <c r="C170" s="235" t="s">
        <v>105</v>
      </c>
      <c r="D170" s="235" t="s">
        <v>179</v>
      </c>
      <c r="E170" s="235" t="s">
        <v>104</v>
      </c>
      <c r="F170" s="235" t="s">
        <v>180</v>
      </c>
      <c r="G170" s="235" t="s">
        <v>181</v>
      </c>
      <c r="H170" s="237" t="s">
        <v>72</v>
      </c>
      <c r="I170" s="237" t="s">
        <v>216</v>
      </c>
      <c r="J170" s="235"/>
      <c r="K170" s="195"/>
      <c r="L170" s="195"/>
      <c r="M170" s="195"/>
      <c r="N170" s="195"/>
      <c r="O170" s="195"/>
      <c r="P170" s="195"/>
      <c r="Q170" s="102"/>
      <c r="V170" s="171"/>
      <c r="W170" s="172"/>
      <c r="X170" s="172"/>
      <c r="Y170" s="172"/>
      <c r="Z170" s="172"/>
      <c r="AA170" s="172"/>
      <c r="AB170" s="172"/>
      <c r="AC170" s="172"/>
      <c r="AD170" s="172"/>
      <c r="AE170" s="172"/>
      <c r="AF170" s="172"/>
      <c r="AG170" s="172"/>
      <c r="AH170" s="172"/>
      <c r="AI170" s="172"/>
      <c r="AJ170" s="172"/>
      <c r="AK170" s="172"/>
      <c r="AL170" s="172"/>
      <c r="AM170" s="172"/>
      <c r="AN170" s="172"/>
      <c r="AO170" s="172"/>
      <c r="AP170" s="172"/>
      <c r="AQ170" s="172"/>
      <c r="AR170" s="172"/>
      <c r="AS170" s="172"/>
    </row>
    <row r="171" spans="1:45">
      <c r="A171" s="195"/>
      <c r="B171" s="262" t="s">
        <v>214</v>
      </c>
      <c r="C171" s="262" t="s">
        <v>610</v>
      </c>
      <c r="D171" s="262" t="s">
        <v>235</v>
      </c>
      <c r="E171" s="262" t="s">
        <v>103</v>
      </c>
      <c r="F171" s="262" t="s">
        <v>71</v>
      </c>
      <c r="G171" s="262" t="s">
        <v>70</v>
      </c>
      <c r="H171" s="262" t="s">
        <v>482</v>
      </c>
      <c r="I171" s="262" t="s">
        <v>215</v>
      </c>
      <c r="J171" s="195" t="s">
        <v>248</v>
      </c>
      <c r="K171" s="195"/>
      <c r="L171" s="195"/>
      <c r="M171" s="195"/>
      <c r="N171" s="195"/>
      <c r="O171" s="195"/>
      <c r="P171" s="195"/>
      <c r="Q171" s="102"/>
      <c r="V171" s="171"/>
      <c r="W171" s="172"/>
      <c r="X171" s="172"/>
      <c r="Y171" s="172"/>
      <c r="Z171" s="172"/>
      <c r="AA171" s="172"/>
      <c r="AB171" s="172"/>
      <c r="AC171" s="172"/>
      <c r="AD171" s="172"/>
      <c r="AE171" s="172"/>
      <c r="AF171" s="172"/>
      <c r="AG171" s="172"/>
      <c r="AH171" s="172"/>
      <c r="AI171" s="172"/>
      <c r="AJ171" s="172"/>
      <c r="AK171" s="172"/>
      <c r="AL171" s="172"/>
      <c r="AM171" s="172"/>
      <c r="AN171" s="172"/>
      <c r="AO171" s="172"/>
      <c r="AP171" s="172"/>
      <c r="AQ171" s="172"/>
      <c r="AR171" s="172"/>
      <c r="AS171" s="172"/>
    </row>
    <row r="172" spans="1:45">
      <c r="A172" s="211" t="s">
        <v>244</v>
      </c>
      <c r="B172" s="33">
        <f t="shared" ref="B172:I182" ca="1" si="37">B127*$G99</f>
        <v>0.23327999999999999</v>
      </c>
      <c r="C172" s="33">
        <f t="shared" ca="1" si="37"/>
        <v>0</v>
      </c>
      <c r="D172" s="33">
        <f t="shared" ca="1" si="37"/>
        <v>5.8319999999999997E-2</v>
      </c>
      <c r="E172" s="33">
        <f t="shared" si="37"/>
        <v>0</v>
      </c>
      <c r="F172" s="33">
        <f t="shared" ca="1" si="37"/>
        <v>3.2400000000000005E-2</v>
      </c>
      <c r="G172" s="33">
        <f t="shared" si="37"/>
        <v>0</v>
      </c>
      <c r="H172" s="33">
        <f t="shared" si="37"/>
        <v>0</v>
      </c>
      <c r="I172" s="33">
        <f t="shared" ca="1" si="37"/>
        <v>0</v>
      </c>
      <c r="J172" s="213">
        <f t="shared" ref="J172:J183" ca="1" si="38">SUM(B172:I172)</f>
        <v>0.32399999999999995</v>
      </c>
      <c r="K172" s="221">
        <f t="shared" ref="K172:K183" ca="1" si="39">J172/$J$183</f>
        <v>9.8314662360517949E-3</v>
      </c>
      <c r="L172" s="195"/>
      <c r="M172" s="195"/>
      <c r="N172" s="195"/>
      <c r="O172" s="195"/>
      <c r="P172" s="195"/>
      <c r="Q172" s="102"/>
      <c r="V172" s="171"/>
      <c r="W172" s="172"/>
      <c r="X172" s="172"/>
      <c r="Y172" s="172"/>
      <c r="Z172" s="172"/>
      <c r="AA172" s="172"/>
      <c r="AB172" s="172"/>
      <c r="AC172" s="172"/>
      <c r="AD172" s="172"/>
      <c r="AE172" s="172"/>
      <c r="AF172" s="172"/>
      <c r="AG172" s="172"/>
      <c r="AH172" s="172"/>
      <c r="AI172" s="172"/>
      <c r="AJ172" s="172"/>
      <c r="AK172" s="172"/>
      <c r="AL172" s="172"/>
      <c r="AM172" s="172"/>
      <c r="AN172" s="172"/>
      <c r="AO172" s="172"/>
      <c r="AP172" s="172"/>
      <c r="AQ172" s="172"/>
      <c r="AR172" s="172"/>
      <c r="AS172" s="172"/>
    </row>
    <row r="173" spans="1:45">
      <c r="A173" s="211" t="s">
        <v>663</v>
      </c>
      <c r="B173" s="33">
        <f t="shared" ca="1" si="37"/>
        <v>0.37360532401411417</v>
      </c>
      <c r="C173" s="33">
        <f t="shared" ca="1" si="37"/>
        <v>0</v>
      </c>
      <c r="D173" s="33">
        <f t="shared" ca="1" si="37"/>
        <v>9.3401331003528557E-2</v>
      </c>
      <c r="E173" s="33">
        <f t="shared" si="37"/>
        <v>0</v>
      </c>
      <c r="F173" s="33">
        <f t="shared" ca="1" si="37"/>
        <v>0</v>
      </c>
      <c r="G173" s="33">
        <f t="shared" si="37"/>
        <v>0</v>
      </c>
      <c r="H173" s="33">
        <f t="shared" si="37"/>
        <v>0</v>
      </c>
      <c r="I173" s="33">
        <f t="shared" ca="1" si="37"/>
        <v>2.987970639816508E-2</v>
      </c>
      <c r="J173" s="213">
        <f t="shared" ca="1" si="38"/>
        <v>0.49688636141580778</v>
      </c>
      <c r="K173" s="221">
        <f t="shared" ca="1" si="39"/>
        <v>1.5077535448809088E-2</v>
      </c>
      <c r="L173" s="195"/>
      <c r="M173" s="195"/>
      <c r="N173" s="195"/>
      <c r="O173" s="195"/>
      <c r="P173" s="195"/>
      <c r="Q173" s="102"/>
      <c r="V173" s="171"/>
      <c r="W173" s="172"/>
      <c r="X173" s="172"/>
      <c r="Y173" s="172"/>
      <c r="Z173" s="172"/>
      <c r="AA173" s="172"/>
      <c r="AB173" s="172"/>
      <c r="AC173" s="172"/>
      <c r="AD173" s="172"/>
      <c r="AE173" s="172"/>
      <c r="AF173" s="172"/>
      <c r="AG173" s="172"/>
      <c r="AH173" s="172"/>
      <c r="AI173" s="172"/>
      <c r="AJ173" s="172"/>
      <c r="AK173" s="172"/>
      <c r="AL173" s="172"/>
      <c r="AM173" s="172"/>
      <c r="AN173" s="172"/>
      <c r="AO173" s="172"/>
      <c r="AP173" s="172"/>
      <c r="AQ173" s="172"/>
      <c r="AR173" s="172"/>
      <c r="AS173" s="172"/>
    </row>
    <row r="174" spans="1:45">
      <c r="A174" s="211" t="s">
        <v>87</v>
      </c>
      <c r="B174" s="33">
        <f t="shared" ca="1" si="37"/>
        <v>0</v>
      </c>
      <c r="C174" s="33">
        <f t="shared" si="37"/>
        <v>0</v>
      </c>
      <c r="D174" s="33">
        <f t="shared" ca="1" si="37"/>
        <v>0</v>
      </c>
      <c r="E174" s="33">
        <f t="shared" si="37"/>
        <v>0</v>
      </c>
      <c r="F174" s="33">
        <f t="shared" si="37"/>
        <v>0</v>
      </c>
      <c r="G174" s="33">
        <f t="shared" si="37"/>
        <v>0</v>
      </c>
      <c r="H174" s="33">
        <f t="shared" si="37"/>
        <v>0</v>
      </c>
      <c r="I174" s="33">
        <f t="shared" si="37"/>
        <v>0</v>
      </c>
      <c r="J174" s="213">
        <f t="shared" ca="1" si="38"/>
        <v>0</v>
      </c>
      <c r="K174" s="221">
        <f t="shared" ca="1" si="39"/>
        <v>0</v>
      </c>
      <c r="L174" s="195"/>
      <c r="M174" s="195"/>
      <c r="N174" s="195"/>
      <c r="O174" s="195"/>
      <c r="P174" s="195"/>
      <c r="Q174" s="102"/>
      <c r="V174" s="171"/>
      <c r="W174" s="172"/>
      <c r="X174" s="172"/>
      <c r="Y174" s="172"/>
      <c r="Z174" s="172"/>
      <c r="AA174" s="172"/>
      <c r="AB174" s="172"/>
      <c r="AC174" s="172"/>
      <c r="AD174" s="172"/>
      <c r="AE174" s="172"/>
      <c r="AF174" s="172"/>
      <c r="AG174" s="172"/>
      <c r="AH174" s="172"/>
      <c r="AI174" s="172"/>
      <c r="AJ174" s="172"/>
      <c r="AK174" s="172"/>
      <c r="AL174" s="172"/>
      <c r="AM174" s="172"/>
      <c r="AN174" s="172"/>
      <c r="AO174" s="172"/>
      <c r="AP174" s="172"/>
      <c r="AQ174" s="172"/>
      <c r="AR174" s="172"/>
      <c r="AS174" s="172"/>
    </row>
    <row r="175" spans="1:45">
      <c r="A175" s="211" t="s">
        <v>576</v>
      </c>
      <c r="B175" s="33">
        <f t="shared" ca="1" si="37"/>
        <v>0</v>
      </c>
      <c r="C175" s="33">
        <f t="shared" si="37"/>
        <v>0</v>
      </c>
      <c r="D175" s="33">
        <f t="shared" ca="1" si="37"/>
        <v>0</v>
      </c>
      <c r="E175" s="33">
        <f t="shared" ca="1" si="37"/>
        <v>0</v>
      </c>
      <c r="F175" s="33">
        <f t="shared" ca="1" si="37"/>
        <v>0</v>
      </c>
      <c r="G175" s="33">
        <f t="shared" si="37"/>
        <v>0</v>
      </c>
      <c r="H175" s="33">
        <f t="shared" si="37"/>
        <v>0</v>
      </c>
      <c r="I175" s="33">
        <f t="shared" si="37"/>
        <v>0</v>
      </c>
      <c r="J175" s="213">
        <f t="shared" ca="1" si="38"/>
        <v>0</v>
      </c>
      <c r="K175" s="221">
        <f t="shared" ca="1" si="39"/>
        <v>0</v>
      </c>
      <c r="L175" s="195"/>
      <c r="M175" s="195"/>
      <c r="N175" s="195"/>
      <c r="O175" s="195"/>
      <c r="P175" s="195"/>
      <c r="Q175" s="102"/>
      <c r="V175" s="171"/>
      <c r="W175" s="172"/>
      <c r="X175" s="172"/>
      <c r="Y175" s="172"/>
      <c r="Z175" s="172"/>
      <c r="AA175" s="172"/>
      <c r="AB175" s="172"/>
      <c r="AC175" s="172"/>
      <c r="AD175" s="172"/>
      <c r="AE175" s="172"/>
      <c r="AF175" s="172"/>
      <c r="AG175" s="172"/>
      <c r="AH175" s="172"/>
      <c r="AI175" s="172"/>
      <c r="AJ175" s="172"/>
      <c r="AK175" s="172"/>
      <c r="AL175" s="172"/>
      <c r="AM175" s="172"/>
      <c r="AN175" s="172"/>
      <c r="AO175" s="172"/>
      <c r="AP175" s="172"/>
      <c r="AQ175" s="172"/>
      <c r="AR175" s="172"/>
      <c r="AS175" s="172"/>
    </row>
    <row r="176" spans="1:45">
      <c r="A176" s="211" t="str">
        <f>A131</f>
        <v>Coal-Commercial</v>
      </c>
      <c r="B176" s="33">
        <f t="shared" ca="1" si="37"/>
        <v>0</v>
      </c>
      <c r="C176" s="33">
        <f t="shared" si="37"/>
        <v>0</v>
      </c>
      <c r="D176" s="33">
        <f t="shared" ca="1" si="37"/>
        <v>0</v>
      </c>
      <c r="E176" s="33">
        <f t="shared" si="37"/>
        <v>0</v>
      </c>
      <c r="F176" s="33">
        <f t="shared" ca="1" si="37"/>
        <v>0</v>
      </c>
      <c r="G176" s="33">
        <f t="shared" si="37"/>
        <v>0</v>
      </c>
      <c r="H176" s="33">
        <f t="shared" si="37"/>
        <v>0</v>
      </c>
      <c r="I176" s="33">
        <f t="shared" si="37"/>
        <v>0</v>
      </c>
      <c r="J176" s="213">
        <f t="shared" ca="1" si="38"/>
        <v>0</v>
      </c>
      <c r="K176" s="221">
        <f t="shared" ca="1" si="39"/>
        <v>0</v>
      </c>
      <c r="L176" s="195"/>
      <c r="M176" s="195"/>
      <c r="N176" s="195"/>
      <c r="O176" s="195"/>
      <c r="P176" s="195"/>
      <c r="Q176" s="102"/>
      <c r="V176" s="171"/>
      <c r="W176" s="172"/>
      <c r="X176" s="172"/>
      <c r="Y176" s="172"/>
      <c r="Z176" s="172"/>
      <c r="AA176" s="172"/>
      <c r="AB176" s="172"/>
      <c r="AC176" s="172"/>
      <c r="AD176" s="172"/>
      <c r="AE176" s="172"/>
      <c r="AF176" s="172"/>
      <c r="AG176" s="172"/>
      <c r="AH176" s="172"/>
      <c r="AI176" s="172"/>
      <c r="AJ176" s="172"/>
      <c r="AK176" s="172"/>
      <c r="AL176" s="172"/>
      <c r="AM176" s="172"/>
      <c r="AN176" s="172"/>
      <c r="AO176" s="172"/>
      <c r="AP176" s="172"/>
      <c r="AQ176" s="172"/>
      <c r="AR176" s="172"/>
      <c r="AS176" s="172"/>
    </row>
    <row r="177" spans="1:66">
      <c r="A177" s="211" t="s">
        <v>665</v>
      </c>
      <c r="B177" s="33">
        <f t="shared" ca="1" si="37"/>
        <v>0</v>
      </c>
      <c r="C177" s="33">
        <f t="shared" si="37"/>
        <v>0</v>
      </c>
      <c r="D177" s="33">
        <f t="shared" ca="1" si="37"/>
        <v>0</v>
      </c>
      <c r="E177" s="33">
        <f t="shared" si="37"/>
        <v>0</v>
      </c>
      <c r="F177" s="33">
        <f t="shared" ca="1" si="37"/>
        <v>0</v>
      </c>
      <c r="G177" s="33">
        <f t="shared" si="37"/>
        <v>0</v>
      </c>
      <c r="H177" s="33">
        <f t="shared" si="37"/>
        <v>0</v>
      </c>
      <c r="I177" s="33">
        <f t="shared" si="37"/>
        <v>0</v>
      </c>
      <c r="J177" s="213">
        <f t="shared" ca="1" si="38"/>
        <v>0</v>
      </c>
      <c r="K177" s="221">
        <f t="shared" ca="1" si="39"/>
        <v>0</v>
      </c>
      <c r="L177" s="195"/>
      <c r="M177" s="195"/>
      <c r="N177" s="195"/>
      <c r="O177" s="195"/>
      <c r="P177" s="195"/>
      <c r="Q177" s="102"/>
      <c r="V177" s="171"/>
      <c r="W177" s="172"/>
      <c r="X177" s="172"/>
      <c r="Y177" s="172"/>
      <c r="Z177" s="172"/>
      <c r="AA177" s="172"/>
      <c r="AB177" s="172"/>
      <c r="AC177" s="172"/>
      <c r="AD177" s="172"/>
      <c r="AE177" s="172"/>
      <c r="AF177" s="172"/>
      <c r="AG177" s="172"/>
      <c r="AH177" s="172"/>
      <c r="AI177" s="172"/>
      <c r="AJ177" s="172"/>
      <c r="AK177" s="172"/>
      <c r="AL177" s="172"/>
      <c r="AM177" s="172"/>
      <c r="AN177" s="172"/>
      <c r="AO177" s="172"/>
      <c r="AP177" s="172"/>
      <c r="AQ177" s="172"/>
      <c r="AR177" s="172"/>
      <c r="AS177" s="172"/>
    </row>
    <row r="178" spans="1:66">
      <c r="A178" s="211" t="s">
        <v>588</v>
      </c>
      <c r="B178" s="33">
        <f t="shared" ca="1" si="37"/>
        <v>0</v>
      </c>
      <c r="C178" s="33">
        <f t="shared" si="37"/>
        <v>0</v>
      </c>
      <c r="D178" s="33">
        <f t="shared" ca="1" si="37"/>
        <v>0</v>
      </c>
      <c r="E178" s="33">
        <f t="shared" si="37"/>
        <v>0</v>
      </c>
      <c r="F178" s="33">
        <f t="shared" ca="1" si="37"/>
        <v>0</v>
      </c>
      <c r="G178" s="33">
        <f t="shared" si="37"/>
        <v>0</v>
      </c>
      <c r="H178" s="33">
        <f t="shared" si="37"/>
        <v>0</v>
      </c>
      <c r="I178" s="33">
        <f t="shared" si="37"/>
        <v>0</v>
      </c>
      <c r="J178" s="213">
        <f t="shared" ca="1" si="38"/>
        <v>0</v>
      </c>
      <c r="K178" s="221">
        <f t="shared" ca="1" si="39"/>
        <v>0</v>
      </c>
      <c r="L178" s="195"/>
      <c r="M178" s="195"/>
      <c r="N178" s="195"/>
      <c r="O178" s="195"/>
      <c r="P178" s="195"/>
      <c r="Q178" s="102"/>
      <c r="V178" s="171"/>
      <c r="W178" s="172"/>
      <c r="X178" s="172"/>
      <c r="Y178" s="172"/>
      <c r="Z178" s="172"/>
      <c r="AA178" s="172"/>
      <c r="AB178" s="172"/>
      <c r="AC178" s="172"/>
      <c r="AD178" s="172"/>
      <c r="AE178" s="172"/>
      <c r="AF178" s="172"/>
      <c r="AG178" s="172"/>
      <c r="AH178" s="172"/>
      <c r="AI178" s="172"/>
      <c r="AJ178" s="172"/>
      <c r="AK178" s="172"/>
      <c r="AL178" s="172"/>
      <c r="AM178" s="172"/>
      <c r="AN178" s="172"/>
      <c r="AO178" s="172"/>
      <c r="AP178" s="172"/>
      <c r="AQ178" s="172"/>
      <c r="AR178" s="172"/>
      <c r="AS178" s="172"/>
    </row>
    <row r="179" spans="1:66">
      <c r="A179" s="211" t="s">
        <v>247</v>
      </c>
      <c r="B179" s="33">
        <f t="shared" ca="1" si="37"/>
        <v>0.59916727468173203</v>
      </c>
      <c r="C179" s="33">
        <f t="shared" ca="1" si="37"/>
        <v>0.73381364396834969</v>
      </c>
      <c r="D179" s="33">
        <f t="shared" ca="1" si="37"/>
        <v>0.1497918186704329</v>
      </c>
      <c r="E179" s="33">
        <f t="shared" ca="1" si="37"/>
        <v>5.1495694313568405</v>
      </c>
      <c r="F179" s="33">
        <f t="shared" ca="1" si="37"/>
        <v>0.67365454265369162</v>
      </c>
      <c r="G179" s="33">
        <f t="shared" ca="1" si="37"/>
        <v>1.1788954496439605</v>
      </c>
      <c r="H179" s="33">
        <f t="shared" ca="1" si="37"/>
        <v>1.2690340452150792</v>
      </c>
      <c r="I179" s="33">
        <f t="shared" ca="1" si="37"/>
        <v>7.0874373601522063</v>
      </c>
      <c r="J179" s="213">
        <f t="shared" ca="1" si="38"/>
        <v>16.841363566342295</v>
      </c>
      <c r="K179" s="221">
        <f t="shared" ca="1" si="39"/>
        <v>0.51103486812212084</v>
      </c>
      <c r="L179" s="195"/>
      <c r="M179" s="195"/>
      <c r="N179" s="195"/>
      <c r="O179" s="195"/>
      <c r="P179" s="195"/>
      <c r="Q179" s="102"/>
      <c r="V179" s="171"/>
      <c r="W179" s="172"/>
      <c r="X179" s="172"/>
      <c r="Y179" s="172"/>
      <c r="Z179" s="172"/>
      <c r="AA179" s="172"/>
      <c r="AB179" s="172"/>
      <c r="AC179" s="172"/>
      <c r="AD179" s="172"/>
      <c r="AE179" s="172"/>
      <c r="AF179" s="172"/>
      <c r="AG179" s="172"/>
      <c r="AH179" s="172"/>
      <c r="AI179" s="172"/>
      <c r="AJ179" s="172"/>
      <c r="AK179" s="172"/>
      <c r="AL179" s="172"/>
      <c r="AM179" s="172"/>
      <c r="AN179" s="172"/>
      <c r="AO179" s="172"/>
      <c r="AP179" s="172"/>
      <c r="AQ179" s="172"/>
      <c r="AR179" s="172"/>
      <c r="AS179" s="172"/>
    </row>
    <row r="180" spans="1:66">
      <c r="A180" s="211" t="str">
        <f>A135</f>
        <v>Heat</v>
      </c>
      <c r="B180" s="33">
        <f t="shared" ca="1" si="37"/>
        <v>11.946528000000002</v>
      </c>
      <c r="C180" s="33">
        <f ca="1">MAX(C135*$G107,$P$104*3.6/1000)</f>
        <v>0.28799999999999998</v>
      </c>
      <c r="D180" s="33">
        <f t="shared" ca="1" si="37"/>
        <v>3.0586320000000007</v>
      </c>
      <c r="E180" s="33">
        <f t="shared" si="37"/>
        <v>0</v>
      </c>
      <c r="F180" s="33">
        <f t="shared" si="37"/>
        <v>0</v>
      </c>
      <c r="G180" s="33">
        <f t="shared" si="37"/>
        <v>0</v>
      </c>
      <c r="H180" s="33">
        <f t="shared" si="37"/>
        <v>0</v>
      </c>
      <c r="I180" s="33">
        <f t="shared" si="37"/>
        <v>0</v>
      </c>
      <c r="J180" s="213">
        <f t="shared" ca="1" si="38"/>
        <v>15.293160000000004</v>
      </c>
      <c r="K180" s="221">
        <f t="shared" ca="1" si="39"/>
        <v>0.46405613019301833</v>
      </c>
      <c r="L180" s="195"/>
      <c r="M180" s="195"/>
      <c r="N180" s="195"/>
      <c r="O180" s="195"/>
      <c r="P180" s="195"/>
      <c r="Q180" s="102"/>
      <c r="V180" s="171"/>
      <c r="W180" s="172"/>
      <c r="X180" s="172"/>
      <c r="Y180" s="172"/>
      <c r="Z180" s="172"/>
      <c r="AA180" s="172"/>
      <c r="AB180" s="172"/>
      <c r="AC180" s="172"/>
      <c r="AD180" s="172"/>
      <c r="AE180" s="172"/>
      <c r="AF180" s="172"/>
      <c r="AG180" s="172"/>
      <c r="AH180" s="172"/>
      <c r="AI180" s="172"/>
      <c r="AJ180" s="172"/>
      <c r="AK180" s="172"/>
      <c r="AL180" s="172"/>
      <c r="AM180" s="172"/>
      <c r="AN180" s="172"/>
      <c r="AO180" s="172"/>
      <c r="AP180" s="172"/>
      <c r="AQ180" s="172"/>
      <c r="AR180" s="172"/>
      <c r="AS180" s="172"/>
    </row>
    <row r="181" spans="1:66">
      <c r="A181" s="211" t="s">
        <v>245</v>
      </c>
      <c r="B181" s="33">
        <f t="shared" ca="1" si="37"/>
        <v>0</v>
      </c>
      <c r="C181" s="33">
        <f t="shared" ca="1" si="37"/>
        <v>0</v>
      </c>
      <c r="D181" s="33">
        <f t="shared" ca="1" si="37"/>
        <v>0</v>
      </c>
      <c r="E181" s="33">
        <f t="shared" si="37"/>
        <v>0</v>
      </c>
      <c r="F181" s="33">
        <f t="shared" si="37"/>
        <v>0</v>
      </c>
      <c r="G181" s="33">
        <f t="shared" si="37"/>
        <v>0</v>
      </c>
      <c r="H181" s="33">
        <f t="shared" si="37"/>
        <v>0</v>
      </c>
      <c r="I181" s="33">
        <f t="shared" si="37"/>
        <v>0</v>
      </c>
      <c r="J181" s="213">
        <f t="shared" ca="1" si="38"/>
        <v>0</v>
      </c>
      <c r="K181" s="221">
        <f t="shared" ca="1" si="39"/>
        <v>0</v>
      </c>
      <c r="L181" s="195"/>
      <c r="M181" s="195"/>
      <c r="N181" s="195"/>
      <c r="O181" s="195"/>
      <c r="P181" s="195"/>
      <c r="Q181" s="102"/>
      <c r="V181" s="171"/>
      <c r="W181" s="172"/>
      <c r="X181" s="172"/>
      <c r="Y181" s="172"/>
      <c r="Z181" s="172"/>
      <c r="AA181" s="172"/>
      <c r="AB181" s="172"/>
      <c r="AC181" s="172"/>
      <c r="AD181" s="172"/>
      <c r="AE181" s="172"/>
      <c r="AF181" s="172"/>
      <c r="AG181" s="172"/>
      <c r="AH181" s="172"/>
      <c r="AI181" s="172"/>
      <c r="AJ181" s="172"/>
      <c r="AK181" s="172"/>
      <c r="AL181" s="172"/>
      <c r="AM181" s="172"/>
      <c r="AN181" s="172"/>
      <c r="AO181" s="172"/>
      <c r="AP181" s="172"/>
      <c r="AQ181" s="172"/>
      <c r="AR181" s="172"/>
      <c r="AS181" s="172"/>
    </row>
    <row r="182" spans="1:66">
      <c r="A182" s="211" t="s">
        <v>246</v>
      </c>
      <c r="B182" s="33">
        <f t="shared" ca="1" si="37"/>
        <v>0</v>
      </c>
      <c r="C182" s="33">
        <f t="shared" si="37"/>
        <v>0</v>
      </c>
      <c r="D182" s="33">
        <f t="shared" ca="1" si="37"/>
        <v>0</v>
      </c>
      <c r="E182" s="33">
        <f t="shared" si="37"/>
        <v>0</v>
      </c>
      <c r="F182" s="33">
        <f t="shared" ca="1" si="37"/>
        <v>0</v>
      </c>
      <c r="G182" s="33">
        <f t="shared" si="37"/>
        <v>0</v>
      </c>
      <c r="H182" s="33">
        <f t="shared" si="37"/>
        <v>0</v>
      </c>
      <c r="I182" s="33">
        <f t="shared" si="37"/>
        <v>0</v>
      </c>
      <c r="J182" s="213">
        <f t="shared" ca="1" si="38"/>
        <v>0</v>
      </c>
      <c r="K182" s="221">
        <f t="shared" ca="1" si="39"/>
        <v>0</v>
      </c>
      <c r="L182" s="195"/>
      <c r="M182" s="195"/>
      <c r="N182" s="195"/>
      <c r="O182" s="195"/>
      <c r="P182" s="195"/>
      <c r="Q182" s="102"/>
      <c r="V182" s="171"/>
      <c r="W182" s="172"/>
      <c r="X182" s="172"/>
      <c r="Y182" s="172"/>
      <c r="Z182" s="172"/>
      <c r="AA182" s="172"/>
      <c r="AB182" s="172"/>
      <c r="AC182" s="172"/>
      <c r="AD182" s="172"/>
      <c r="AE182" s="172"/>
      <c r="AF182" s="172"/>
      <c r="AG182" s="172"/>
      <c r="AH182" s="172"/>
      <c r="AI182" s="172"/>
      <c r="AJ182" s="172"/>
      <c r="AK182" s="172"/>
      <c r="AL182" s="172"/>
      <c r="AM182" s="172"/>
      <c r="AN182" s="172"/>
      <c r="AO182" s="172"/>
      <c r="AP182" s="172"/>
      <c r="AQ182" s="172"/>
      <c r="AR182" s="172"/>
      <c r="AS182" s="172"/>
    </row>
    <row r="183" spans="1:66">
      <c r="A183" s="195" t="s">
        <v>248</v>
      </c>
      <c r="B183" s="213">
        <f t="shared" ref="B183:I183" ca="1" si="40">SUM(B172:B182)</f>
        <v>13.152580598695849</v>
      </c>
      <c r="C183" s="213">
        <f t="shared" ca="1" si="40"/>
        <v>1.0218136439683496</v>
      </c>
      <c r="D183" s="213">
        <f t="shared" ca="1" si="40"/>
        <v>3.3601451496739623</v>
      </c>
      <c r="E183" s="213">
        <f t="shared" ca="1" si="40"/>
        <v>5.1495694313568405</v>
      </c>
      <c r="F183" s="213">
        <f t="shared" ca="1" si="40"/>
        <v>0.70605454265369161</v>
      </c>
      <c r="G183" s="213">
        <f t="shared" ca="1" si="40"/>
        <v>1.1788954496439605</v>
      </c>
      <c r="H183" s="213">
        <f t="shared" ca="1" si="40"/>
        <v>1.2690340452150792</v>
      </c>
      <c r="I183" s="213">
        <f t="shared" ca="1" si="40"/>
        <v>7.1173170665503713</v>
      </c>
      <c r="J183" s="213">
        <f t="shared" ca="1" si="38"/>
        <v>32.955409927758105</v>
      </c>
      <c r="K183" s="221">
        <f t="shared" ca="1" si="39"/>
        <v>1</v>
      </c>
      <c r="L183" s="195"/>
      <c r="M183" s="195"/>
      <c r="N183" s="195"/>
      <c r="O183" s="195"/>
      <c r="P183" s="195"/>
      <c r="Q183" s="102"/>
      <c r="V183" s="171"/>
      <c r="W183" s="172"/>
      <c r="X183" s="172"/>
      <c r="Y183" s="172"/>
      <c r="Z183" s="172"/>
      <c r="AA183" s="172"/>
      <c r="AB183" s="172"/>
      <c r="AC183" s="172"/>
      <c r="AD183" s="172"/>
      <c r="AE183" s="172"/>
      <c r="AF183" s="172"/>
      <c r="AG183" s="172"/>
      <c r="AH183" s="172"/>
      <c r="AI183" s="172"/>
      <c r="AJ183" s="172"/>
      <c r="AK183" s="172"/>
      <c r="AL183" s="172"/>
      <c r="AM183" s="172"/>
      <c r="AN183" s="172"/>
      <c r="AO183" s="172"/>
      <c r="AP183" s="172"/>
      <c r="AQ183" s="172"/>
      <c r="AR183" s="172"/>
      <c r="AS183" s="172"/>
    </row>
    <row r="184" spans="1:66">
      <c r="A184" s="195" t="s">
        <v>337</v>
      </c>
      <c r="B184" s="215">
        <f t="shared" ref="B184:J184" ca="1" si="41">B183/$J$183</f>
        <v>0.39910232121304989</v>
      </c>
      <c r="C184" s="215">
        <f t="shared" ca="1" si="41"/>
        <v>3.1005945494481116E-2</v>
      </c>
      <c r="D184" s="215">
        <f t="shared" ca="1" si="41"/>
        <v>0.10196035057794066</v>
      </c>
      <c r="E184" s="215">
        <f t="shared" ca="1" si="41"/>
        <v>0.1562586975141643</v>
      </c>
      <c r="F184" s="215">
        <f t="shared" ca="1" si="41"/>
        <v>2.1424541348490006E-2</v>
      </c>
      <c r="G184" s="215">
        <f t="shared" ca="1" si="41"/>
        <v>3.5772440768548457E-2</v>
      </c>
      <c r="H184" s="215">
        <f t="shared" ca="1" si="41"/>
        <v>3.8507609160284818E-2</v>
      </c>
      <c r="I184" s="215">
        <f t="shared" ca="1" si="41"/>
        <v>0.21596809392304073</v>
      </c>
      <c r="J184" s="215">
        <f t="shared" ca="1" si="41"/>
        <v>1</v>
      </c>
      <c r="K184" s="195"/>
      <c r="L184" s="195"/>
      <c r="M184" s="195"/>
      <c r="N184" s="195"/>
      <c r="O184" s="195"/>
      <c r="P184" s="195"/>
      <c r="Q184" s="102"/>
      <c r="V184" s="171"/>
      <c r="W184" s="172"/>
      <c r="X184" s="172"/>
      <c r="Y184" s="172"/>
      <c r="Z184" s="172"/>
      <c r="AA184" s="172"/>
      <c r="AB184" s="172"/>
      <c r="AC184" s="172"/>
      <c r="AD184" s="172"/>
      <c r="AE184" s="172"/>
      <c r="AF184" s="172"/>
      <c r="AG184" s="172"/>
      <c r="AH184" s="172"/>
      <c r="AI184" s="172"/>
      <c r="AJ184" s="172"/>
      <c r="AK184" s="172"/>
      <c r="AL184" s="172"/>
      <c r="AM184" s="172"/>
      <c r="AN184" s="172"/>
      <c r="AO184" s="172"/>
      <c r="AP184" s="172"/>
      <c r="AQ184" s="172"/>
      <c r="AR184" s="172"/>
      <c r="AS184" s="172"/>
    </row>
    <row r="185" spans="1:66">
      <c r="A185" s="195"/>
      <c r="B185" s="195"/>
      <c r="C185" s="195"/>
      <c r="D185" s="195"/>
      <c r="E185" s="195"/>
      <c r="F185" s="195"/>
      <c r="G185" s="195"/>
      <c r="H185" s="195"/>
      <c r="I185" s="195"/>
      <c r="J185" s="195"/>
      <c r="K185" s="195"/>
      <c r="L185" s="195"/>
      <c r="M185" s="195"/>
      <c r="N185" s="195"/>
      <c r="O185" s="195"/>
      <c r="P185" s="195"/>
      <c r="Q185" s="102"/>
      <c r="V185" s="171"/>
      <c r="W185" s="172"/>
      <c r="X185" s="172"/>
      <c r="Y185" s="172"/>
      <c r="Z185" s="172"/>
      <c r="AA185" s="172"/>
      <c r="AB185" s="172"/>
      <c r="AC185" s="172"/>
      <c r="AD185" s="172"/>
      <c r="AE185" s="172"/>
      <c r="AF185" s="172"/>
      <c r="AG185" s="172"/>
      <c r="AH185" s="172"/>
      <c r="AI185" s="172"/>
      <c r="AJ185" s="172"/>
      <c r="AK185" s="172"/>
      <c r="AL185" s="172"/>
      <c r="AM185" s="172"/>
      <c r="AN185" s="172"/>
      <c r="AO185" s="172"/>
      <c r="AP185" s="172"/>
      <c r="AQ185" s="172"/>
      <c r="AR185" s="172"/>
      <c r="AS185" s="172"/>
    </row>
    <row r="186" spans="1:66">
      <c r="A186" s="195"/>
      <c r="B186" s="195"/>
      <c r="C186" s="195"/>
      <c r="D186" s="195"/>
      <c r="E186" s="195"/>
      <c r="F186" s="195"/>
      <c r="G186" s="195"/>
      <c r="H186" s="195"/>
      <c r="I186" s="195"/>
      <c r="J186" s="195"/>
      <c r="K186" s="195"/>
      <c r="L186" s="195"/>
      <c r="M186" s="195"/>
      <c r="N186" s="195"/>
      <c r="O186" s="195"/>
      <c r="P186" s="195"/>
      <c r="Q186" s="102"/>
      <c r="V186" s="171"/>
      <c r="W186" s="172"/>
      <c r="X186" s="172"/>
      <c r="Y186" s="172"/>
      <c r="Z186" s="172"/>
      <c r="AA186" s="172"/>
      <c r="AB186" s="172"/>
      <c r="AC186" s="172"/>
      <c r="AD186" s="172"/>
      <c r="AE186" s="172"/>
      <c r="AF186" s="172"/>
      <c r="AG186" s="172"/>
      <c r="AH186" s="172"/>
      <c r="AI186" s="172"/>
      <c r="AJ186" s="172"/>
      <c r="AK186" s="172"/>
      <c r="AL186" s="172"/>
      <c r="AM186" s="172"/>
      <c r="AN186" s="172"/>
      <c r="AO186" s="172"/>
      <c r="AP186" s="172"/>
      <c r="AQ186" s="172"/>
      <c r="AR186" s="172"/>
      <c r="AS186" s="172"/>
    </row>
    <row r="187" spans="1:66" ht="18">
      <c r="A187" s="243" t="s">
        <v>236</v>
      </c>
      <c r="B187" s="195"/>
      <c r="C187" s="195"/>
      <c r="D187" s="195"/>
      <c r="E187" s="195"/>
      <c r="F187" s="195"/>
      <c r="G187" s="195"/>
      <c r="H187" s="230"/>
      <c r="I187" s="195"/>
      <c r="J187" s="195"/>
      <c r="K187" s="195"/>
      <c r="L187" s="195"/>
      <c r="M187" s="195"/>
      <c r="N187" s="195"/>
      <c r="O187" s="195"/>
      <c r="P187" s="195"/>
      <c r="Q187" s="102"/>
      <c r="V187" s="171"/>
      <c r="W187" s="172"/>
      <c r="X187" s="172"/>
      <c r="Y187" s="172"/>
      <c r="Z187" s="172"/>
      <c r="AA187" s="172"/>
      <c r="AB187" s="172"/>
      <c r="AC187" s="172"/>
      <c r="AD187" s="172"/>
      <c r="AE187" s="172"/>
      <c r="AF187" s="172"/>
      <c r="AG187" s="172"/>
      <c r="AH187" s="172"/>
      <c r="AI187" s="172"/>
      <c r="AJ187" s="172"/>
      <c r="AK187" s="172"/>
      <c r="AL187" s="172"/>
      <c r="AM187" s="172"/>
      <c r="AN187" s="172"/>
      <c r="AO187" s="172"/>
      <c r="AP187" s="172"/>
      <c r="AQ187" s="172"/>
      <c r="AR187" s="172"/>
      <c r="AS187" s="172"/>
    </row>
    <row r="188" spans="1:66" s="22" customFormat="1" ht="18">
      <c r="A188" s="204"/>
      <c r="B188" s="131" t="s">
        <v>527</v>
      </c>
      <c r="C188" s="98"/>
      <c r="D188" s="98"/>
      <c r="E188" s="195"/>
      <c r="F188" s="131" t="s">
        <v>528</v>
      </c>
      <c r="G188" s="98"/>
      <c r="H188" s="134"/>
      <c r="I188" s="98"/>
      <c r="J188" s="195"/>
      <c r="K188" s="131" t="s">
        <v>723</v>
      </c>
      <c r="L188" s="98"/>
      <c r="M188" s="134"/>
      <c r="N188" s="134"/>
      <c r="O188" s="195"/>
      <c r="P188" s="195"/>
      <c r="Q188" s="102"/>
      <c r="R188"/>
      <c r="S188"/>
      <c r="T188"/>
      <c r="U188"/>
      <c r="V188" s="171"/>
      <c r="W188" s="172"/>
      <c r="X188" s="172"/>
      <c r="Y188" s="172"/>
      <c r="Z188" s="172"/>
      <c r="AA188" s="172"/>
      <c r="AB188" s="172"/>
      <c r="AC188" s="172"/>
      <c r="AD188" s="172"/>
      <c r="AE188" s="172"/>
      <c r="AF188" s="172"/>
      <c r="AG188" s="172"/>
      <c r="AH188" s="172"/>
      <c r="AI188" s="172"/>
      <c r="AJ188" s="172"/>
      <c r="AK188" s="172"/>
      <c r="AL188" s="172"/>
      <c r="AM188" s="172"/>
      <c r="AN188" s="172"/>
      <c r="AO188" s="172"/>
      <c r="AP188" s="172"/>
      <c r="AQ188" s="172"/>
      <c r="AR188" s="172"/>
      <c r="AS188" s="172"/>
      <c r="AT188"/>
      <c r="AU188"/>
      <c r="AV188"/>
      <c r="AW188"/>
      <c r="AX188"/>
      <c r="AY188"/>
      <c r="AZ188"/>
      <c r="BA188"/>
      <c r="BB188"/>
      <c r="BC188"/>
      <c r="BD188"/>
      <c r="BE188"/>
      <c r="BF188"/>
      <c r="BG188"/>
      <c r="BH188"/>
      <c r="BI188"/>
      <c r="BJ188"/>
      <c r="BK188"/>
      <c r="BL188"/>
      <c r="BM188"/>
    </row>
    <row r="189" spans="1:66" s="22" customFormat="1">
      <c r="A189" s="196" t="s">
        <v>374</v>
      </c>
      <c r="B189" s="200" t="s">
        <v>369</v>
      </c>
      <c r="C189" s="195"/>
      <c r="D189" s="195"/>
      <c r="E189" s="195"/>
      <c r="L189" s="306" t="s">
        <v>724</v>
      </c>
      <c r="M189" s="306" t="s">
        <v>725</v>
      </c>
      <c r="N189" s="306" t="s">
        <v>414</v>
      </c>
      <c r="O189" s="306" t="s">
        <v>724</v>
      </c>
      <c r="P189" s="306" t="s">
        <v>725</v>
      </c>
      <c r="Q189" s="306" t="s">
        <v>414</v>
      </c>
      <c r="R189"/>
      <c r="S189"/>
      <c r="T189"/>
      <c r="U189"/>
      <c r="V189" s="171"/>
      <c r="W189" s="172"/>
      <c r="X189" s="172"/>
      <c r="Y189" s="172"/>
      <c r="Z189" s="172"/>
      <c r="AA189" s="172"/>
      <c r="AB189" s="172"/>
      <c r="AC189" s="172"/>
      <c r="AD189" s="172"/>
      <c r="AE189" s="172"/>
      <c r="AF189" s="172"/>
      <c r="AG189" s="172"/>
      <c r="AH189" s="172"/>
      <c r="AI189" s="172"/>
      <c r="AJ189" s="172"/>
      <c r="AK189" s="172"/>
      <c r="AL189" s="172"/>
      <c r="AM189" s="172"/>
      <c r="AN189" s="172"/>
      <c r="AO189" s="172"/>
      <c r="AP189" s="172"/>
      <c r="AQ189" s="172"/>
      <c r="AR189" s="172"/>
      <c r="AS189" s="172"/>
      <c r="AT189"/>
      <c r="AU189"/>
      <c r="AV189"/>
      <c r="AW189"/>
      <c r="AX189"/>
      <c r="AY189"/>
      <c r="AZ189"/>
      <c r="BA189"/>
      <c r="BB189"/>
      <c r="BC189"/>
      <c r="BD189"/>
      <c r="BE189"/>
      <c r="BF189"/>
      <c r="BG189"/>
      <c r="BH189"/>
      <c r="BI189"/>
      <c r="BJ189"/>
      <c r="BK189"/>
      <c r="BL189"/>
      <c r="BM189"/>
    </row>
    <row r="190" spans="1:66" s="22" customFormat="1">
      <c r="A190" s="195" t="s">
        <v>403</v>
      </c>
      <c r="B190" s="47">
        <v>5.3999999999999999E-2</v>
      </c>
      <c r="C190" s="202">
        <v>5.3999999999999999E-2</v>
      </c>
      <c r="D190" s="75" t="s">
        <v>436</v>
      </c>
      <c r="E190" s="195"/>
      <c r="F190" s="43" t="s">
        <v>244</v>
      </c>
      <c r="G190" s="44">
        <f>$B190+$B191+$B192+$B205</f>
        <v>5.3999999999999999E-2</v>
      </c>
      <c r="H190" s="91" t="s">
        <v>427</v>
      </c>
      <c r="I190" s="195"/>
      <c r="J190" s="195"/>
      <c r="K190" s="43" t="s">
        <v>427</v>
      </c>
      <c r="L190" s="268"/>
      <c r="M190" s="268">
        <v>0.1</v>
      </c>
      <c r="N190" s="268">
        <f t="shared" ref="N190:N201" si="42">1-SUM(L190:M190)</f>
        <v>0.9</v>
      </c>
      <c r="O190" s="308">
        <f t="array" ref="O190:Q201">L190:N201*G190:G201</f>
        <v>0</v>
      </c>
      <c r="P190" s="308">
        <v>5.4000000000000003E-3</v>
      </c>
      <c r="Q190" s="308">
        <v>4.8599999999999997E-2</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row>
    <row r="191" spans="1:66" s="22" customFormat="1">
      <c r="A191" s="205" t="s">
        <v>182</v>
      </c>
      <c r="B191" s="47">
        <v>0</v>
      </c>
      <c r="C191" s="202">
        <v>0</v>
      </c>
      <c r="D191" s="75" t="s">
        <v>440</v>
      </c>
      <c r="E191" s="195"/>
      <c r="F191" s="43" t="s">
        <v>413</v>
      </c>
      <c r="G191" s="44">
        <f>$B193+$B197+B204</f>
        <v>5.3999999999999999E-2</v>
      </c>
      <c r="H191" s="91" t="s">
        <v>428</v>
      </c>
      <c r="I191" s="195"/>
      <c r="J191" s="195"/>
      <c r="K191" s="43" t="s">
        <v>428</v>
      </c>
      <c r="L191" s="268">
        <v>0.8</v>
      </c>
      <c r="M191" s="268">
        <v>0</v>
      </c>
      <c r="N191" s="268">
        <f t="shared" si="42"/>
        <v>0.19999999999999996</v>
      </c>
      <c r="O191" s="308">
        <v>4.3200000000000002E-2</v>
      </c>
      <c r="P191" s="308">
        <v>0</v>
      </c>
      <c r="Q191" s="308">
        <v>1.0799999999999997E-2</v>
      </c>
      <c r="R191"/>
      <c r="S191"/>
      <c r="T191"/>
      <c r="U191"/>
      <c r="V191" s="171"/>
      <c r="W191" s="172"/>
      <c r="X191" s="172"/>
      <c r="Y191" s="172"/>
      <c r="Z191" s="172"/>
      <c r="AA191" s="172"/>
      <c r="AB191" s="172"/>
      <c r="AC191" s="172"/>
      <c r="AD191" s="172"/>
      <c r="AE191" s="172"/>
      <c r="AF191" s="172"/>
      <c r="AG191" s="172"/>
      <c r="AH191" s="172"/>
      <c r="AI191" s="172"/>
      <c r="AJ191" s="172"/>
      <c r="AK191" s="172"/>
      <c r="AL191" s="172"/>
      <c r="AM191" s="172"/>
      <c r="AN191" s="172"/>
      <c r="AO191" s="172"/>
      <c r="AP191" s="172"/>
      <c r="AQ191" s="172"/>
      <c r="AR191" s="172"/>
      <c r="AS191" s="172"/>
      <c r="AT191"/>
      <c r="AU191"/>
      <c r="AV191"/>
      <c r="AW191"/>
      <c r="AX191"/>
      <c r="AY191"/>
      <c r="AZ191"/>
      <c r="BA191"/>
      <c r="BB191"/>
      <c r="BC191"/>
      <c r="BD191"/>
      <c r="BE191"/>
      <c r="BF191"/>
      <c r="BG191"/>
      <c r="BH191"/>
      <c r="BI191"/>
      <c r="BJ191"/>
      <c r="BK191"/>
      <c r="BL191"/>
      <c r="BM191"/>
      <c r="BN191"/>
    </row>
    <row r="192" spans="1:66" s="22" customFormat="1">
      <c r="A192" s="205" t="s">
        <v>183</v>
      </c>
      <c r="B192" s="47">
        <v>0</v>
      </c>
      <c r="C192" s="202">
        <v>0</v>
      </c>
      <c r="D192" s="75" t="s">
        <v>441</v>
      </c>
      <c r="E192" s="195"/>
      <c r="F192" s="43" t="s">
        <v>251</v>
      </c>
      <c r="G192" s="44">
        <f>$B196</f>
        <v>0</v>
      </c>
      <c r="H192" s="91" t="s">
        <v>137</v>
      </c>
      <c r="I192" s="195"/>
      <c r="J192" s="195"/>
      <c r="K192" s="43" t="s">
        <v>137</v>
      </c>
      <c r="L192" s="268">
        <v>1</v>
      </c>
      <c r="M192" s="268"/>
      <c r="N192" s="268">
        <f t="shared" si="42"/>
        <v>0</v>
      </c>
      <c r="O192" s="308">
        <v>0</v>
      </c>
      <c r="P192" s="308">
        <v>0</v>
      </c>
      <c r="Q192" s="308">
        <v>0</v>
      </c>
      <c r="R192"/>
      <c r="S192"/>
      <c r="T192"/>
      <c r="U192"/>
      <c r="V192" s="171"/>
      <c r="W192" s="172"/>
      <c r="X192" s="172"/>
      <c r="Y192" s="172"/>
      <c r="Z192" s="172"/>
      <c r="AA192" s="172"/>
      <c r="AB192" s="172"/>
      <c r="AC192" s="172"/>
      <c r="AD192" s="172"/>
      <c r="AE192" s="172"/>
      <c r="AF192" s="172"/>
      <c r="AG192" s="172"/>
      <c r="AH192" s="172"/>
      <c r="AI192" s="172"/>
      <c r="AJ192" s="172"/>
      <c r="AK192" s="172"/>
      <c r="AL192" s="172"/>
      <c r="AM192" s="172"/>
      <c r="AN192" s="172"/>
      <c r="AO192" s="172"/>
      <c r="AP192" s="172"/>
      <c r="AQ192" s="172"/>
      <c r="AR192" s="172"/>
      <c r="AS192" s="172"/>
      <c r="AT192"/>
      <c r="AU192"/>
      <c r="AV192"/>
      <c r="AW192"/>
      <c r="AX192"/>
      <c r="AY192"/>
      <c r="AZ192"/>
      <c r="BA192"/>
      <c r="BB192"/>
      <c r="BC192"/>
      <c r="BD192"/>
      <c r="BE192"/>
      <c r="BF192"/>
      <c r="BG192"/>
      <c r="BH192"/>
      <c r="BI192"/>
      <c r="BJ192"/>
      <c r="BK192"/>
      <c r="BL192"/>
      <c r="BM192"/>
      <c r="BN192"/>
    </row>
    <row r="193" spans="1:66" s="22" customFormat="1">
      <c r="A193" s="195" t="s">
        <v>411</v>
      </c>
      <c r="B193" s="47">
        <v>5.3999999999999999E-2</v>
      </c>
      <c r="C193" s="202">
        <v>5.3999999999999999E-2</v>
      </c>
      <c r="D193" s="75" t="s">
        <v>221</v>
      </c>
      <c r="E193" s="195"/>
      <c r="F193" s="43" t="s">
        <v>574</v>
      </c>
      <c r="G193" s="44">
        <f>$B194</f>
        <v>0</v>
      </c>
      <c r="H193" s="91" t="s">
        <v>583</v>
      </c>
      <c r="I193" s="195"/>
      <c r="J193" s="195"/>
      <c r="K193" s="43" t="s">
        <v>583</v>
      </c>
      <c r="L193" s="268"/>
      <c r="M193" s="268"/>
      <c r="N193" s="268">
        <f t="shared" si="42"/>
        <v>1</v>
      </c>
      <c r="O193" s="308">
        <v>0</v>
      </c>
      <c r="P193" s="308">
        <v>0</v>
      </c>
      <c r="Q193" s="308">
        <v>0</v>
      </c>
      <c r="R193"/>
      <c r="S193"/>
      <c r="T193"/>
      <c r="U193"/>
      <c r="V193" s="171"/>
      <c r="W193" s="172"/>
      <c r="X193" s="172"/>
      <c r="Y193" s="172"/>
      <c r="Z193" s="172"/>
      <c r="AA193" s="172"/>
      <c r="AB193" s="172"/>
      <c r="AC193" s="172"/>
      <c r="AD193" s="172"/>
      <c r="AE193" s="172"/>
      <c r="AF193" s="172"/>
      <c r="AG193" s="172"/>
      <c r="AH193" s="172"/>
      <c r="AI193" s="172"/>
      <c r="AJ193" s="172"/>
      <c r="AK193" s="172"/>
      <c r="AL193" s="172"/>
      <c r="AM193" s="172"/>
      <c r="AN193" s="172"/>
      <c r="AO193" s="172"/>
      <c r="AP193" s="172"/>
      <c r="AQ193" s="172"/>
      <c r="AR193" s="172"/>
      <c r="AS193" s="172"/>
      <c r="AT193"/>
      <c r="AU193"/>
      <c r="AV193"/>
      <c r="AW193"/>
      <c r="AX193"/>
      <c r="AY193"/>
      <c r="AZ193"/>
      <c r="BA193"/>
      <c r="BB193"/>
      <c r="BC193"/>
      <c r="BD193"/>
      <c r="BE193"/>
      <c r="BF193"/>
      <c r="BG193"/>
      <c r="BH193"/>
      <c r="BI193"/>
      <c r="BJ193"/>
      <c r="BK193"/>
      <c r="BL193"/>
      <c r="BM193"/>
      <c r="BN193"/>
    </row>
    <row r="194" spans="1:66" s="22" customFormat="1">
      <c r="A194" s="195" t="s">
        <v>410</v>
      </c>
      <c r="B194" s="47">
        <v>0</v>
      </c>
      <c r="C194" s="202">
        <v>0</v>
      </c>
      <c r="D194" s="75" t="s">
        <v>217</v>
      </c>
      <c r="E194" s="195"/>
      <c r="F194" s="43" t="s">
        <v>576</v>
      </c>
      <c r="G194" s="44">
        <f>$B195</f>
        <v>0</v>
      </c>
      <c r="H194" s="91" t="s">
        <v>584</v>
      </c>
      <c r="I194" s="195"/>
      <c r="J194" s="195"/>
      <c r="K194" s="43" t="s">
        <v>584</v>
      </c>
      <c r="L194" s="268"/>
      <c r="M194" s="268">
        <v>0.2</v>
      </c>
      <c r="N194" s="268">
        <f t="shared" si="42"/>
        <v>0.8</v>
      </c>
      <c r="O194" s="308">
        <v>0</v>
      </c>
      <c r="P194" s="308">
        <v>0</v>
      </c>
      <c r="Q194" s="308">
        <v>0</v>
      </c>
      <c r="R194"/>
      <c r="S194"/>
      <c r="T194"/>
      <c r="U194"/>
      <c r="V194" s="171"/>
      <c r="W194" s="172"/>
      <c r="X194" s="172"/>
      <c r="Y194" s="172"/>
      <c r="Z194" s="172"/>
      <c r="AA194" s="172"/>
      <c r="AB194" s="172"/>
      <c r="AC194" s="172"/>
      <c r="AD194" s="172"/>
      <c r="AE194" s="172"/>
      <c r="AF194" s="172"/>
      <c r="AG194" s="172"/>
      <c r="AH194" s="172"/>
      <c r="AI194" s="172"/>
      <c r="AJ194" s="172"/>
      <c r="AK194" s="172"/>
      <c r="AL194" s="172"/>
      <c r="AM194" s="172"/>
      <c r="AN194" s="172"/>
      <c r="AO194" s="172"/>
      <c r="AP194" s="172"/>
      <c r="AQ194" s="172"/>
      <c r="AR194" s="172"/>
      <c r="AS194" s="172"/>
      <c r="AT194"/>
      <c r="AU194"/>
      <c r="AV194"/>
      <c r="AW194"/>
      <c r="AX194"/>
      <c r="AY194"/>
      <c r="AZ194"/>
      <c r="BA194"/>
      <c r="BB194"/>
      <c r="BC194"/>
      <c r="BD194"/>
      <c r="BE194"/>
      <c r="BF194"/>
      <c r="BG194"/>
      <c r="BH194"/>
      <c r="BI194"/>
      <c r="BJ194"/>
      <c r="BK194"/>
      <c r="BL194"/>
      <c r="BM194"/>
      <c r="BN194"/>
    </row>
    <row r="195" spans="1:66" s="22" customFormat="1">
      <c r="A195" s="195" t="s">
        <v>409</v>
      </c>
      <c r="B195" s="47">
        <v>0</v>
      </c>
      <c r="C195" s="195">
        <v>0</v>
      </c>
      <c r="D195" s="75" t="s">
        <v>219</v>
      </c>
      <c r="E195" s="195"/>
      <c r="F195" s="43" t="s">
        <v>664</v>
      </c>
      <c r="G195" s="44">
        <f>($B198+$B199+$B200)</f>
        <v>0</v>
      </c>
      <c r="H195" s="91" t="s">
        <v>1018</v>
      </c>
      <c r="I195" s="195"/>
      <c r="J195" s="195"/>
      <c r="K195" s="43" t="s">
        <v>1018</v>
      </c>
      <c r="L195" s="268"/>
      <c r="M195" s="268"/>
      <c r="N195" s="268">
        <f t="shared" si="42"/>
        <v>1</v>
      </c>
      <c r="O195" s="308">
        <v>0</v>
      </c>
      <c r="P195" s="308">
        <v>0</v>
      </c>
      <c r="Q195" s="308">
        <v>0</v>
      </c>
      <c r="R195"/>
      <c r="S195"/>
      <c r="T195"/>
      <c r="U195"/>
      <c r="V195" s="171"/>
      <c r="W195" s="172"/>
      <c r="X195" s="172"/>
      <c r="Y195" s="172"/>
      <c r="Z195" s="172"/>
      <c r="AA195" s="172"/>
      <c r="AB195" s="172"/>
      <c r="AC195" s="172"/>
      <c r="AD195" s="172"/>
      <c r="AE195" s="172"/>
      <c r="AF195" s="172"/>
      <c r="AG195" s="172"/>
      <c r="AH195" s="172"/>
      <c r="AI195" s="172"/>
      <c r="AJ195" s="172"/>
      <c r="AK195" s="172"/>
      <c r="AL195" s="172"/>
      <c r="AM195" s="172"/>
      <c r="AN195" s="172"/>
      <c r="AO195" s="172"/>
      <c r="AP195" s="172"/>
      <c r="AQ195" s="172"/>
      <c r="AR195" s="172"/>
      <c r="AS195" s="172"/>
      <c r="AT195"/>
      <c r="AU195"/>
      <c r="AV195"/>
      <c r="AW195"/>
      <c r="AX195"/>
      <c r="AY195"/>
      <c r="AZ195"/>
      <c r="BA195"/>
      <c r="BB195"/>
      <c r="BC195"/>
      <c r="BD195"/>
      <c r="BE195"/>
      <c r="BF195"/>
      <c r="BG195"/>
      <c r="BH195"/>
      <c r="BI195"/>
      <c r="BJ195"/>
      <c r="BK195"/>
      <c r="BL195"/>
      <c r="BM195"/>
      <c r="BN195"/>
    </row>
    <row r="196" spans="1:66" s="22" customFormat="1">
      <c r="A196" s="195" t="s">
        <v>426</v>
      </c>
      <c r="B196" s="45">
        <v>0</v>
      </c>
      <c r="C196" s="202">
        <v>0</v>
      </c>
      <c r="D196" s="76" t="s">
        <v>220</v>
      </c>
      <c r="E196" s="195"/>
      <c r="F196" s="43" t="s">
        <v>405</v>
      </c>
      <c r="G196" s="44">
        <f>$B201</f>
        <v>0</v>
      </c>
      <c r="H196" s="91" t="s">
        <v>430</v>
      </c>
      <c r="I196" s="195"/>
      <c r="J196" s="195"/>
      <c r="K196" s="43" t="s">
        <v>430</v>
      </c>
      <c r="L196" s="268"/>
      <c r="M196" s="268">
        <v>0.2</v>
      </c>
      <c r="N196" s="268">
        <f t="shared" si="42"/>
        <v>0.8</v>
      </c>
      <c r="O196" s="308">
        <v>0</v>
      </c>
      <c r="P196" s="308">
        <v>0</v>
      </c>
      <c r="Q196" s="308">
        <v>0</v>
      </c>
      <c r="R196"/>
      <c r="S196"/>
      <c r="T196"/>
      <c r="U196"/>
      <c r="V196" s="171"/>
      <c r="W196" s="172"/>
      <c r="X196" s="172"/>
      <c r="Y196" s="172"/>
      <c r="Z196" s="172"/>
      <c r="AA196" s="172"/>
      <c r="AB196" s="172"/>
      <c r="AC196" s="172"/>
      <c r="AD196" s="172"/>
      <c r="AE196" s="172"/>
      <c r="AF196" s="172"/>
      <c r="AG196" s="172"/>
      <c r="AH196" s="172"/>
      <c r="AI196" s="172"/>
      <c r="AJ196" s="172"/>
      <c r="AK196" s="172"/>
      <c r="AL196" s="172"/>
      <c r="AM196" s="172"/>
      <c r="AN196" s="172"/>
      <c r="AO196" s="172"/>
      <c r="AP196" s="172"/>
      <c r="AQ196" s="172"/>
      <c r="AR196" s="172"/>
      <c r="AS196" s="172"/>
      <c r="AT196"/>
      <c r="AU196"/>
      <c r="AV196"/>
      <c r="AW196"/>
      <c r="AX196"/>
      <c r="AY196"/>
      <c r="AZ196"/>
      <c r="BA196"/>
      <c r="BB196"/>
      <c r="BC196"/>
      <c r="BD196"/>
      <c r="BE196"/>
      <c r="BF196"/>
      <c r="BG196"/>
      <c r="BH196"/>
      <c r="BI196"/>
      <c r="BJ196"/>
      <c r="BK196"/>
      <c r="BL196"/>
      <c r="BM196"/>
      <c r="BN196"/>
    </row>
    <row r="197" spans="1:66" s="22" customFormat="1">
      <c r="A197" s="205" t="s">
        <v>184</v>
      </c>
      <c r="B197" s="45">
        <v>0</v>
      </c>
      <c r="C197" s="202">
        <v>0</v>
      </c>
      <c r="D197" s="75" t="s">
        <v>647</v>
      </c>
      <c r="E197" s="195"/>
      <c r="F197" s="43" t="s">
        <v>588</v>
      </c>
      <c r="G197" s="44">
        <f>$B202+$B203+$B206+$B207</f>
        <v>3.2399999999999998E-2</v>
      </c>
      <c r="H197" s="91" t="s">
        <v>431</v>
      </c>
      <c r="I197" s="195"/>
      <c r="J197" s="195"/>
      <c r="K197" s="43" t="s">
        <v>431</v>
      </c>
      <c r="L197" s="268"/>
      <c r="M197" s="268"/>
      <c r="N197" s="268">
        <f t="shared" si="42"/>
        <v>1</v>
      </c>
      <c r="O197" s="308">
        <v>0</v>
      </c>
      <c r="P197" s="308">
        <v>0</v>
      </c>
      <c r="Q197" s="308">
        <v>3.2399999999999998E-2</v>
      </c>
      <c r="R197"/>
      <c r="S197"/>
      <c r="T197"/>
      <c r="U197"/>
      <c r="V197" s="171"/>
      <c r="W197" s="172"/>
      <c r="X197" s="172"/>
      <c r="Y197" s="172"/>
      <c r="Z197" s="172"/>
      <c r="AA197" s="172"/>
      <c r="AB197" s="172"/>
      <c r="AC197" s="172"/>
      <c r="AD197" s="172"/>
      <c r="AE197" s="172"/>
      <c r="AF197" s="172"/>
      <c r="AG197" s="172"/>
      <c r="AH197" s="172"/>
      <c r="AI197" s="172"/>
      <c r="AJ197" s="172"/>
      <c r="AK197" s="172"/>
      <c r="AL197" s="172"/>
      <c r="AM197" s="172"/>
      <c r="AN197" s="172"/>
      <c r="AO197" s="172"/>
      <c r="AP197" s="172"/>
      <c r="AQ197" s="172"/>
      <c r="AR197" s="172"/>
      <c r="AS197" s="172"/>
      <c r="AT197"/>
      <c r="AU197"/>
      <c r="AV197"/>
      <c r="AW197"/>
      <c r="AX197"/>
      <c r="AY197"/>
      <c r="AZ197"/>
      <c r="BA197"/>
      <c r="BB197"/>
      <c r="BC197"/>
      <c r="BD197"/>
      <c r="BE197"/>
      <c r="BF197"/>
      <c r="BG197"/>
      <c r="BH197"/>
      <c r="BI197"/>
      <c r="BJ197"/>
      <c r="BK197"/>
      <c r="BL197"/>
      <c r="BM197"/>
      <c r="BN197"/>
    </row>
    <row r="198" spans="1:66" s="22" customFormat="1">
      <c r="A198" s="205" t="s">
        <v>375</v>
      </c>
      <c r="B198" s="47">
        <v>0</v>
      </c>
      <c r="C198" s="202">
        <v>0</v>
      </c>
      <c r="D198" s="75" t="s">
        <v>437</v>
      </c>
      <c r="E198" s="195"/>
      <c r="F198" s="43" t="s">
        <v>247</v>
      </c>
      <c r="G198" s="44">
        <f>$B208</f>
        <v>7.3051200000000011E-2</v>
      </c>
      <c r="H198" s="91" t="s">
        <v>432</v>
      </c>
      <c r="I198" s="195"/>
      <c r="J198" s="195"/>
      <c r="K198" s="43" t="s">
        <v>1257</v>
      </c>
      <c r="L198" s="268"/>
      <c r="M198" s="268">
        <v>0.4</v>
      </c>
      <c r="N198" s="268">
        <f t="shared" si="42"/>
        <v>0.6</v>
      </c>
      <c r="O198" s="308">
        <v>0</v>
      </c>
      <c r="P198" s="308">
        <v>2.9220480000000007E-2</v>
      </c>
      <c r="Q198" s="308">
        <v>4.3830720000000004E-2</v>
      </c>
      <c r="R198"/>
      <c r="S198"/>
      <c r="T198"/>
      <c r="U198"/>
      <c r="V198" s="171"/>
      <c r="W198" s="172"/>
      <c r="X198" s="172"/>
      <c r="Y198" s="172"/>
      <c r="Z198" s="172"/>
      <c r="AA198" s="172"/>
      <c r="AB198" s="172"/>
      <c r="AC198" s="172"/>
      <c r="AD198" s="172"/>
      <c r="AE198" s="172"/>
      <c r="AF198" s="172"/>
      <c r="AG198" s="172"/>
      <c r="AH198" s="172"/>
      <c r="AI198" s="172"/>
      <c r="AJ198" s="172"/>
      <c r="AK198" s="172"/>
      <c r="AL198" s="172"/>
      <c r="AM198" s="172"/>
      <c r="AN198" s="172"/>
      <c r="AO198" s="172"/>
      <c r="AP198" s="172"/>
      <c r="AQ198" s="172"/>
      <c r="AR198" s="172"/>
      <c r="AS198" s="172"/>
      <c r="AT198"/>
      <c r="AU198"/>
      <c r="AV198"/>
      <c r="AW198"/>
      <c r="AX198"/>
      <c r="AY198"/>
      <c r="AZ198"/>
      <c r="BA198"/>
      <c r="BB198"/>
      <c r="BC198"/>
      <c r="BD198"/>
      <c r="BE198"/>
      <c r="BF198"/>
      <c r="BG198"/>
      <c r="BH198"/>
      <c r="BI198"/>
      <c r="BJ198"/>
      <c r="BK198"/>
      <c r="BL198"/>
      <c r="BM198"/>
      <c r="BN198"/>
    </row>
    <row r="199" spans="1:66" s="22" customFormat="1">
      <c r="A199" s="287" t="s">
        <v>376</v>
      </c>
      <c r="B199" s="47">
        <v>0</v>
      </c>
      <c r="C199" s="202">
        <v>0</v>
      </c>
      <c r="D199" s="75" t="s">
        <v>438</v>
      </c>
      <c r="E199" s="195"/>
      <c r="F199" s="43" t="s">
        <v>414</v>
      </c>
      <c r="G199" s="44">
        <f>$B209</f>
        <v>3.5999999999999997E-2</v>
      </c>
      <c r="H199" s="91" t="s">
        <v>433</v>
      </c>
      <c r="I199" s="195"/>
      <c r="J199" s="195"/>
      <c r="K199" s="43" t="s">
        <v>433</v>
      </c>
      <c r="L199" s="268"/>
      <c r="M199" s="268"/>
      <c r="N199" s="268">
        <f t="shared" si="42"/>
        <v>1</v>
      </c>
      <c r="O199" s="308">
        <v>0</v>
      </c>
      <c r="P199" s="308">
        <v>0</v>
      </c>
      <c r="Q199" s="308">
        <v>3.5999999999999997E-2</v>
      </c>
      <c r="R199"/>
      <c r="S199"/>
      <c r="T199"/>
      <c r="U199"/>
      <c r="V199" s="171"/>
      <c r="W199" s="172"/>
      <c r="X199" s="172"/>
      <c r="Y199" s="172"/>
      <c r="Z199" s="172"/>
      <c r="AA199" s="172"/>
      <c r="AB199" s="172"/>
      <c r="AC199" s="172"/>
      <c r="AD199" s="172"/>
      <c r="AE199" s="172"/>
      <c r="AF199" s="172"/>
      <c r="AG199" s="172"/>
      <c r="AH199" s="172"/>
      <c r="AI199" s="172"/>
      <c r="AJ199" s="172"/>
      <c r="AK199" s="172"/>
      <c r="AL199" s="172"/>
      <c r="AM199" s="172"/>
      <c r="AN199" s="172"/>
      <c r="AO199" s="172"/>
      <c r="AP199" s="172"/>
      <c r="AQ199" s="172"/>
      <c r="AR199" s="172"/>
      <c r="AS199" s="172"/>
      <c r="AT199"/>
      <c r="AU199"/>
      <c r="AV199"/>
      <c r="AW199"/>
      <c r="AX199"/>
      <c r="AY199"/>
      <c r="AZ199"/>
      <c r="BA199"/>
      <c r="BB199"/>
      <c r="BC199"/>
      <c r="BD199"/>
      <c r="BE199"/>
      <c r="BF199"/>
      <c r="BG199"/>
      <c r="BH199"/>
      <c r="BI199"/>
      <c r="BJ199"/>
      <c r="BK199"/>
      <c r="BL199"/>
      <c r="BM199"/>
      <c r="BN199"/>
    </row>
    <row r="200" spans="1:66" s="22" customFormat="1">
      <c r="A200" s="205" t="s">
        <v>185</v>
      </c>
      <c r="B200" s="47">
        <v>0</v>
      </c>
      <c r="C200" s="202">
        <v>0</v>
      </c>
      <c r="D200" s="75" t="s">
        <v>439</v>
      </c>
      <c r="E200" s="195"/>
      <c r="F200" s="43" t="s">
        <v>245</v>
      </c>
      <c r="G200" s="44">
        <f>$B210</f>
        <v>0</v>
      </c>
      <c r="H200" s="91" t="s">
        <v>150</v>
      </c>
      <c r="I200" s="195"/>
      <c r="J200" s="195"/>
      <c r="K200" s="43" t="s">
        <v>150</v>
      </c>
      <c r="L200" s="268"/>
      <c r="M200" s="268"/>
      <c r="N200" s="268">
        <f t="shared" si="42"/>
        <v>1</v>
      </c>
      <c r="O200" s="308">
        <v>0</v>
      </c>
      <c r="P200" s="308">
        <v>0</v>
      </c>
      <c r="Q200" s="308">
        <v>0</v>
      </c>
      <c r="R200"/>
      <c r="S200"/>
      <c r="T200"/>
      <c r="U200"/>
      <c r="V200" s="171"/>
      <c r="W200" s="172"/>
      <c r="X200" s="172"/>
      <c r="Y200" s="172"/>
      <c r="Z200" s="172"/>
      <c r="AA200" s="172"/>
      <c r="AB200" s="172"/>
      <c r="AC200" s="172"/>
      <c r="AD200" s="172"/>
      <c r="AE200" s="172"/>
      <c r="AF200" s="172"/>
      <c r="AG200" s="172"/>
      <c r="AH200" s="172"/>
      <c r="AI200" s="172"/>
      <c r="AJ200" s="172"/>
      <c r="AK200" s="172"/>
      <c r="AL200" s="172"/>
      <c r="AM200" s="172"/>
      <c r="AN200" s="172"/>
      <c r="AO200" s="172"/>
      <c r="AP200" s="172"/>
      <c r="AQ200" s="172"/>
      <c r="AR200" s="172"/>
      <c r="AS200" s="172"/>
      <c r="AT200"/>
      <c r="AU200"/>
      <c r="AV200"/>
      <c r="AW200"/>
      <c r="AX200"/>
      <c r="AY200"/>
      <c r="AZ200"/>
      <c r="BA200"/>
      <c r="BB200"/>
      <c r="BC200"/>
      <c r="BD200"/>
      <c r="BE200"/>
      <c r="BF200"/>
      <c r="BG200"/>
      <c r="BH200"/>
      <c r="BI200"/>
      <c r="BJ200"/>
      <c r="BK200"/>
      <c r="BL200"/>
      <c r="BM200"/>
      <c r="BN200"/>
    </row>
    <row r="201" spans="1:66" s="22" customFormat="1">
      <c r="A201" s="195" t="s">
        <v>405</v>
      </c>
      <c r="B201" s="47">
        <v>0</v>
      </c>
      <c r="C201" s="202">
        <v>0</v>
      </c>
      <c r="D201" s="75" t="s">
        <v>110</v>
      </c>
      <c r="E201" s="195"/>
      <c r="F201" s="43" t="s">
        <v>246</v>
      </c>
      <c r="G201" s="44">
        <f>$B211</f>
        <v>0</v>
      </c>
      <c r="H201" s="91" t="s">
        <v>151</v>
      </c>
      <c r="I201" s="195"/>
      <c r="J201" s="195"/>
      <c r="K201" s="43" t="s">
        <v>151</v>
      </c>
      <c r="L201" s="268"/>
      <c r="M201" s="268"/>
      <c r="N201" s="268">
        <f t="shared" si="42"/>
        <v>1</v>
      </c>
      <c r="O201" s="308">
        <v>0</v>
      </c>
      <c r="P201" s="308">
        <v>0</v>
      </c>
      <c r="Q201" s="308">
        <v>0</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row>
    <row r="202" spans="1:66" s="22" customFormat="1">
      <c r="A202" s="195" t="s">
        <v>585</v>
      </c>
      <c r="B202" s="47">
        <v>3.2399999999999998E-2</v>
      </c>
      <c r="C202" s="202">
        <v>3.2399999999999998E-2</v>
      </c>
      <c r="D202" s="75" t="s">
        <v>53</v>
      </c>
      <c r="E202" s="195"/>
      <c r="F202" s="195"/>
      <c r="G202" s="305">
        <f>SUM(G190:G201)</f>
        <v>0.24945120000000001</v>
      </c>
      <c r="H202" s="206"/>
      <c r="I202" s="195"/>
      <c r="J202" s="195"/>
      <c r="K202" s="216"/>
      <c r="L202" s="217">
        <f>SUMPRODUCT(L190:L201,$G190:$G201)</f>
        <v>4.3200000000000002E-2</v>
      </c>
      <c r="M202" s="376">
        <f>SUMPRODUCT(M190:M201,$G190:$G201)</f>
        <v>3.4620480000000009E-2</v>
      </c>
      <c r="N202" s="376">
        <f>SUMPRODUCT(N190:N201,$G190:$G201)</f>
        <v>0.17163071999999999</v>
      </c>
      <c r="O202" s="305"/>
      <c r="P202" s="261"/>
      <c r="Q202" s="102"/>
      <c r="R202"/>
      <c r="S202"/>
      <c r="T202"/>
      <c r="U202"/>
      <c r="V202" s="171"/>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c r="AU202"/>
      <c r="AV202"/>
      <c r="AW202"/>
      <c r="AX202"/>
      <c r="AY202"/>
      <c r="AZ202"/>
      <c r="BA202"/>
      <c r="BB202"/>
      <c r="BC202"/>
      <c r="BD202"/>
      <c r="BE202"/>
      <c r="BF202"/>
      <c r="BG202"/>
      <c r="BH202"/>
      <c r="BI202"/>
      <c r="BJ202"/>
      <c r="BK202"/>
      <c r="BL202"/>
      <c r="BM202"/>
    </row>
    <row r="203" spans="1:66" s="22" customFormat="1">
      <c r="A203" s="195" t="s">
        <v>586</v>
      </c>
      <c r="B203" s="47">
        <v>0</v>
      </c>
      <c r="C203" s="202">
        <v>0</v>
      </c>
      <c r="D203" s="75" t="s">
        <v>589</v>
      </c>
      <c r="E203" s="195"/>
      <c r="F203" s="195"/>
      <c r="G203" s="202"/>
      <c r="H203" s="206"/>
      <c r="I203" s="195"/>
      <c r="J203" s="195"/>
      <c r="O203" s="261"/>
      <c r="P203" s="261"/>
      <c r="Q203" s="102"/>
      <c r="R203"/>
      <c r="S203"/>
      <c r="T203"/>
      <c r="U203"/>
      <c r="V203" s="171"/>
      <c r="W203" s="172"/>
      <c r="X203" s="172"/>
      <c r="Y203" s="172"/>
      <c r="Z203" s="172"/>
      <c r="AA203" s="172"/>
      <c r="AB203" s="172"/>
      <c r="AC203" s="172"/>
      <c r="AD203" s="172"/>
      <c r="AE203" s="172"/>
      <c r="AF203" s="172"/>
      <c r="AG203" s="172"/>
      <c r="AH203" s="172"/>
      <c r="AI203" s="172"/>
      <c r="AJ203" s="172"/>
      <c r="AK203" s="172"/>
      <c r="AL203" s="172"/>
      <c r="AM203" s="172"/>
      <c r="AN203" s="172"/>
      <c r="AO203" s="172"/>
      <c r="AP203" s="172"/>
      <c r="AQ203" s="172"/>
      <c r="AR203" s="172"/>
      <c r="AS203" s="172"/>
      <c r="AT203"/>
      <c r="AU203"/>
      <c r="AV203"/>
      <c r="AW203"/>
      <c r="AX203"/>
      <c r="AY203"/>
      <c r="AZ203"/>
      <c r="BA203"/>
      <c r="BB203"/>
      <c r="BC203"/>
      <c r="BD203"/>
      <c r="BE203"/>
      <c r="BF203"/>
      <c r="BG203"/>
      <c r="BH203"/>
      <c r="BI203"/>
      <c r="BJ203"/>
      <c r="BK203"/>
      <c r="BL203"/>
      <c r="BM203"/>
    </row>
    <row r="204" spans="1:66" s="22" customFormat="1">
      <c r="A204" s="195" t="s">
        <v>966</v>
      </c>
      <c r="B204" s="47">
        <v>0</v>
      </c>
      <c r="C204" s="202">
        <v>0</v>
      </c>
      <c r="D204" s="75" t="s">
        <v>742</v>
      </c>
      <c r="E204" s="195"/>
      <c r="F204" s="195"/>
      <c r="G204" s="202"/>
      <c r="H204" s="206"/>
      <c r="I204" s="195"/>
      <c r="J204" s="195"/>
      <c r="K204" s="216"/>
      <c r="L204" s="216"/>
      <c r="M204" s="216"/>
      <c r="N204" s="216"/>
      <c r="O204" s="261"/>
      <c r="P204" s="261"/>
      <c r="Q204" s="102"/>
      <c r="R204"/>
      <c r="S204"/>
      <c r="T204"/>
      <c r="U204"/>
      <c r="V204" s="171"/>
      <c r="W204" s="172"/>
      <c r="X204" s="172"/>
      <c r="Y204" s="172"/>
      <c r="Z204" s="172"/>
      <c r="AA204" s="172"/>
      <c r="AB204" s="172"/>
      <c r="AC204" s="172"/>
      <c r="AD204" s="172"/>
      <c r="AE204" s="172"/>
      <c r="AF204" s="172"/>
      <c r="AG204" s="172"/>
      <c r="AH204" s="172"/>
      <c r="AI204" s="172"/>
      <c r="AJ204" s="172"/>
      <c r="AK204" s="172"/>
      <c r="AL204" s="172"/>
      <c r="AM204" s="172"/>
      <c r="AN204" s="172"/>
      <c r="AO204" s="172"/>
      <c r="AP204" s="172"/>
      <c r="AQ204" s="172"/>
      <c r="AR204" s="172"/>
      <c r="AS204" s="172"/>
      <c r="AT204"/>
      <c r="AU204"/>
      <c r="AV204"/>
      <c r="AW204"/>
      <c r="AX204"/>
      <c r="AY204"/>
      <c r="AZ204"/>
      <c r="BA204"/>
      <c r="BB204"/>
      <c r="BC204"/>
      <c r="BD204"/>
      <c r="BE204"/>
      <c r="BF204"/>
      <c r="BG204"/>
      <c r="BH204"/>
      <c r="BI204"/>
      <c r="BJ204"/>
      <c r="BK204"/>
      <c r="BL204"/>
      <c r="BM204"/>
    </row>
    <row r="205" spans="1:66" s="22" customFormat="1">
      <c r="A205" s="195" t="s">
        <v>967</v>
      </c>
      <c r="B205" s="47">
        <v>0</v>
      </c>
      <c r="C205" s="202">
        <v>0</v>
      </c>
      <c r="D205" s="75" t="s">
        <v>43</v>
      </c>
      <c r="E205" s="195"/>
      <c r="F205" s="195"/>
      <c r="G205" s="195"/>
      <c r="H205" s="195"/>
      <c r="I205" s="195"/>
      <c r="J205" s="195"/>
      <c r="K205" s="216"/>
      <c r="L205" s="216"/>
      <c r="M205" s="216"/>
      <c r="N205" s="216"/>
      <c r="O205" s="216"/>
      <c r="P205" s="216"/>
      <c r="Q205" s="102"/>
      <c r="R205"/>
      <c r="S205"/>
      <c r="T205"/>
      <c r="U205"/>
      <c r="V205" s="171"/>
      <c r="W205" s="172"/>
      <c r="X205" s="172"/>
      <c r="Y205" s="172"/>
      <c r="Z205" s="172"/>
      <c r="AA205" s="172"/>
      <c r="AB205" s="172"/>
      <c r="AC205" s="172"/>
      <c r="AD205" s="172"/>
      <c r="AE205" s="172"/>
      <c r="AF205" s="172"/>
      <c r="AG205" s="172"/>
      <c r="AH205" s="172"/>
      <c r="AI205" s="172"/>
      <c r="AJ205" s="172"/>
      <c r="AK205" s="172"/>
      <c r="AL205" s="172"/>
      <c r="AM205" s="172"/>
      <c r="AN205" s="172"/>
      <c r="AO205" s="172"/>
      <c r="AP205" s="172"/>
      <c r="AQ205" s="172"/>
      <c r="AR205" s="172"/>
      <c r="AS205" s="172"/>
      <c r="AT205"/>
      <c r="AU205"/>
      <c r="AV205"/>
      <c r="AW205"/>
      <c r="AX205"/>
      <c r="AY205"/>
      <c r="AZ205"/>
      <c r="BA205"/>
      <c r="BB205"/>
      <c r="BC205"/>
      <c r="BD205"/>
      <c r="BE205"/>
      <c r="BF205"/>
      <c r="BG205"/>
      <c r="BH205"/>
      <c r="BI205"/>
      <c r="BJ205"/>
      <c r="BK205"/>
      <c r="BL205"/>
      <c r="BM205"/>
    </row>
    <row r="206" spans="1:66" s="22" customFormat="1">
      <c r="A206" s="205" t="s">
        <v>367</v>
      </c>
      <c r="B206" s="47">
        <v>0</v>
      </c>
      <c r="C206" s="202">
        <v>0</v>
      </c>
      <c r="D206" s="75" t="s">
        <v>54</v>
      </c>
      <c r="E206" s="195"/>
      <c r="F206" s="195"/>
      <c r="G206" s="195"/>
      <c r="H206" s="195"/>
      <c r="I206" s="195"/>
      <c r="J206" s="195"/>
      <c r="K206" s="216"/>
      <c r="L206" s="216"/>
      <c r="M206" s="216"/>
      <c r="N206" s="216"/>
      <c r="O206" s="216"/>
      <c r="P206" s="216"/>
      <c r="Q206" s="102"/>
      <c r="R206"/>
      <c r="S206"/>
      <c r="T206"/>
      <c r="U206"/>
      <c r="V206" s="171"/>
      <c r="W206" s="172"/>
      <c r="X206" s="172"/>
      <c r="Y206" s="172"/>
      <c r="Z206" s="172"/>
      <c r="AA206" s="172"/>
      <c r="AB206" s="172"/>
      <c r="AC206" s="172"/>
      <c r="AD206" s="172"/>
      <c r="AE206" s="172"/>
      <c r="AF206" s="172"/>
      <c r="AG206" s="172"/>
      <c r="AH206" s="172"/>
      <c r="AI206" s="172"/>
      <c r="AJ206" s="172"/>
      <c r="AK206" s="172"/>
      <c r="AL206" s="172"/>
      <c r="AM206" s="172"/>
      <c r="AN206" s="172"/>
      <c r="AO206" s="172"/>
      <c r="AP206" s="172"/>
      <c r="AQ206" s="172"/>
      <c r="AR206" s="172"/>
      <c r="AS206" s="172"/>
      <c r="AT206"/>
      <c r="AU206"/>
      <c r="AV206"/>
      <c r="AW206"/>
      <c r="AX206"/>
      <c r="AY206"/>
      <c r="AZ206"/>
      <c r="BA206"/>
      <c r="BB206"/>
      <c r="BC206"/>
      <c r="BD206"/>
      <c r="BE206"/>
      <c r="BF206"/>
      <c r="BG206"/>
      <c r="BH206"/>
      <c r="BI206"/>
      <c r="BJ206"/>
      <c r="BK206"/>
      <c r="BL206"/>
      <c r="BM206"/>
    </row>
    <row r="207" spans="1:66" s="22" customFormat="1">
      <c r="A207" s="195" t="s">
        <v>587</v>
      </c>
      <c r="B207" s="47">
        <v>0</v>
      </c>
      <c r="C207" s="202">
        <v>0</v>
      </c>
      <c r="D207" s="75" t="s">
        <v>55</v>
      </c>
      <c r="E207" s="195"/>
      <c r="F207" s="195"/>
      <c r="G207" s="195"/>
      <c r="H207" s="195"/>
      <c r="I207" s="195"/>
      <c r="J207" s="195"/>
      <c r="K207" s="216"/>
      <c r="L207" s="216"/>
      <c r="M207" s="216"/>
      <c r="N207" s="216"/>
      <c r="O207" s="216"/>
      <c r="P207" s="216"/>
      <c r="Q207" s="102"/>
      <c r="R207"/>
      <c r="S207"/>
      <c r="T207"/>
      <c r="U207"/>
      <c r="V207" s="171"/>
      <c r="W207" s="172"/>
      <c r="X207" s="172"/>
      <c r="Y207" s="172"/>
      <c r="Z207" s="172"/>
      <c r="AA207" s="172"/>
      <c r="AB207" s="172"/>
      <c r="AC207" s="172"/>
      <c r="AD207" s="172"/>
      <c r="AE207" s="172"/>
      <c r="AF207" s="172"/>
      <c r="AG207" s="172"/>
      <c r="AH207" s="172"/>
      <c r="AI207" s="172"/>
      <c r="AJ207" s="172"/>
      <c r="AK207" s="172"/>
      <c r="AL207" s="172"/>
      <c r="AM207" s="172"/>
      <c r="AN207" s="172"/>
      <c r="AO207" s="172"/>
      <c r="AP207" s="172"/>
      <c r="AQ207" s="172"/>
      <c r="AR207" s="172"/>
      <c r="AS207" s="172"/>
      <c r="AT207"/>
      <c r="AU207"/>
      <c r="AV207"/>
      <c r="AW207"/>
      <c r="AX207"/>
      <c r="AY207"/>
      <c r="AZ207"/>
      <c r="BA207"/>
      <c r="BB207"/>
      <c r="BC207"/>
      <c r="BD207"/>
      <c r="BE207"/>
      <c r="BF207"/>
      <c r="BG207"/>
      <c r="BH207"/>
      <c r="BI207"/>
      <c r="BJ207"/>
      <c r="BK207"/>
      <c r="BL207"/>
      <c r="BM207"/>
    </row>
    <row r="208" spans="1:66" s="22" customFormat="1">
      <c r="A208" s="195" t="s">
        <v>404</v>
      </c>
      <c r="B208" s="47">
        <v>7.3051200000000011E-2</v>
      </c>
      <c r="C208" s="202">
        <v>7.3051200000000011E-2</v>
      </c>
      <c r="D208" s="75" t="s">
        <v>106</v>
      </c>
      <c r="E208" s="195"/>
      <c r="F208" s="195"/>
      <c r="G208" s="202"/>
      <c r="H208" s="206"/>
      <c r="I208" s="195"/>
      <c r="J208" s="195"/>
      <c r="K208" s="216"/>
      <c r="L208" s="216"/>
      <c r="M208" s="216"/>
      <c r="N208" s="216"/>
      <c r="O208" s="216"/>
      <c r="P208" s="216"/>
      <c r="Q208" s="102"/>
      <c r="R208"/>
      <c r="S208"/>
      <c r="T208"/>
      <c r="U208"/>
      <c r="V208" s="171"/>
      <c r="W208" s="172"/>
      <c r="X208" s="172"/>
      <c r="Y208" s="172"/>
      <c r="Z208" s="172"/>
      <c r="AA208" s="172"/>
      <c r="AB208" s="172"/>
      <c r="AC208" s="172"/>
      <c r="AD208" s="172"/>
      <c r="AE208" s="172"/>
      <c r="AF208" s="172"/>
      <c r="AG208" s="172"/>
      <c r="AH208" s="172"/>
      <c r="AI208" s="172"/>
      <c r="AJ208" s="172"/>
      <c r="AK208" s="172"/>
      <c r="AL208" s="172"/>
      <c r="AM208" s="172"/>
      <c r="AN208" s="172"/>
      <c r="AO208" s="172"/>
      <c r="AP208" s="172"/>
      <c r="AQ208" s="172"/>
      <c r="AR208" s="172"/>
      <c r="AS208" s="172"/>
      <c r="AT208"/>
      <c r="AU208"/>
      <c r="AV208"/>
      <c r="AW208"/>
      <c r="AX208"/>
      <c r="AY208"/>
      <c r="AZ208"/>
      <c r="BA208"/>
      <c r="BB208"/>
      <c r="BC208"/>
      <c r="BD208"/>
      <c r="BE208"/>
      <c r="BF208"/>
      <c r="BG208"/>
      <c r="BH208"/>
      <c r="BI208"/>
      <c r="BJ208"/>
      <c r="BK208"/>
      <c r="BL208"/>
      <c r="BM208"/>
    </row>
    <row r="209" spans="1:65" s="22" customFormat="1">
      <c r="A209" s="195" t="s">
        <v>408</v>
      </c>
      <c r="B209" s="45">
        <v>3.5999999999999997E-2</v>
      </c>
      <c r="C209" s="202">
        <v>3.5999999999999997E-2</v>
      </c>
      <c r="D209" s="75" t="s">
        <v>573</v>
      </c>
      <c r="E209" s="195"/>
      <c r="F209" s="195"/>
      <c r="G209" s="195"/>
      <c r="H209" s="195"/>
      <c r="I209" s="195"/>
      <c r="J209" s="195"/>
      <c r="K209" s="216"/>
      <c r="L209" s="216"/>
      <c r="M209" s="216"/>
      <c r="N209" s="216"/>
      <c r="O209" s="216"/>
      <c r="P209" s="216"/>
      <c r="Q209" s="102"/>
      <c r="R209"/>
      <c r="S209"/>
      <c r="T209"/>
      <c r="U209"/>
      <c r="V209" s="171"/>
      <c r="W209" s="172"/>
      <c r="X209" s="172"/>
      <c r="Y209" s="172"/>
      <c r="Z209" s="172"/>
      <c r="AA209" s="172"/>
      <c r="AB209" s="172"/>
      <c r="AC209" s="172"/>
      <c r="AD209" s="172"/>
      <c r="AE209" s="172"/>
      <c r="AF209" s="172"/>
      <c r="AG209" s="172"/>
      <c r="AH209" s="172"/>
      <c r="AI209" s="172"/>
      <c r="AJ209" s="172"/>
      <c r="AK209" s="172"/>
      <c r="AL209" s="172"/>
      <c r="AM209" s="172"/>
      <c r="AN209" s="172"/>
      <c r="AO209" s="172"/>
      <c r="AP209" s="172"/>
      <c r="AQ209" s="172"/>
      <c r="AR209" s="172"/>
      <c r="AS209" s="172"/>
      <c r="AT209"/>
      <c r="AU209"/>
      <c r="AV209"/>
      <c r="AW209"/>
      <c r="AX209"/>
      <c r="AY209"/>
      <c r="AZ209"/>
      <c r="BA209"/>
      <c r="BB209"/>
      <c r="BC209"/>
      <c r="BD209"/>
      <c r="BE209"/>
      <c r="BF209"/>
      <c r="BG209"/>
      <c r="BH209"/>
      <c r="BI209"/>
      <c r="BJ209"/>
      <c r="BK209"/>
      <c r="BL209"/>
      <c r="BM209"/>
    </row>
    <row r="210" spans="1:65" s="22" customFormat="1">
      <c r="A210" s="195" t="s">
        <v>578</v>
      </c>
      <c r="B210" s="45">
        <v>0</v>
      </c>
      <c r="C210" s="202">
        <v>0</v>
      </c>
      <c r="D210" s="75" t="s">
        <v>579</v>
      </c>
      <c r="E210" s="195"/>
      <c r="F210" s="195"/>
      <c r="G210" s="195"/>
      <c r="H210" s="195"/>
      <c r="I210" s="195"/>
      <c r="J210" s="195"/>
      <c r="K210" s="195"/>
      <c r="L210" s="195"/>
      <c r="M210" s="195"/>
      <c r="N210" s="195"/>
      <c r="O210" s="195"/>
      <c r="P210" s="195"/>
      <c r="Q210" s="102"/>
      <c r="R210"/>
      <c r="S210"/>
      <c r="T210"/>
      <c r="U210"/>
      <c r="V210" s="171"/>
      <c r="W210" s="172"/>
      <c r="X210" s="172"/>
      <c r="Y210" s="172"/>
      <c r="Z210" s="172"/>
      <c r="AA210" s="172"/>
      <c r="AB210" s="172"/>
      <c r="AC210" s="172"/>
      <c r="AD210" s="172"/>
      <c r="AE210" s="172"/>
      <c r="AF210" s="172"/>
      <c r="AG210" s="172"/>
      <c r="AH210" s="172"/>
      <c r="AI210" s="172"/>
      <c r="AJ210" s="172"/>
      <c r="AK210" s="172"/>
      <c r="AL210" s="172"/>
      <c r="AM210" s="172"/>
      <c r="AN210" s="172"/>
      <c r="AO210" s="172"/>
      <c r="AP210" s="172"/>
      <c r="AQ210" s="172"/>
      <c r="AR210" s="172"/>
      <c r="AS210" s="172"/>
      <c r="AT210"/>
      <c r="AU210"/>
      <c r="AV210"/>
      <c r="AW210"/>
      <c r="AX210"/>
      <c r="AY210"/>
      <c r="AZ210"/>
      <c r="BA210"/>
      <c r="BB210"/>
      <c r="BC210"/>
      <c r="BD210"/>
      <c r="BE210"/>
      <c r="BF210"/>
      <c r="BG210"/>
      <c r="BH210"/>
      <c r="BI210"/>
      <c r="BJ210"/>
      <c r="BK210"/>
      <c r="BL210"/>
      <c r="BM210"/>
    </row>
    <row r="211" spans="1:65" s="22" customFormat="1">
      <c r="A211" s="195" t="s">
        <v>602</v>
      </c>
      <c r="B211" s="45">
        <v>0</v>
      </c>
      <c r="C211" s="202">
        <v>0</v>
      </c>
      <c r="D211" s="75" t="s">
        <v>580</v>
      </c>
      <c r="E211" s="195"/>
      <c r="F211" s="195"/>
      <c r="G211" s="195"/>
      <c r="H211" s="195"/>
      <c r="I211" s="195"/>
      <c r="J211" s="195"/>
      <c r="K211" s="195"/>
      <c r="L211" s="195"/>
      <c r="M211" s="195"/>
      <c r="N211" s="195"/>
      <c r="O211" s="195"/>
      <c r="P211" s="195"/>
      <c r="Q211" s="102"/>
      <c r="R211"/>
      <c r="S211"/>
      <c r="T211"/>
      <c r="U211"/>
      <c r="V211" s="171"/>
      <c r="W211" s="172"/>
      <c r="X211" s="172"/>
      <c r="Y211" s="172"/>
      <c r="Z211" s="172"/>
      <c r="AA211" s="172"/>
      <c r="AB211" s="172"/>
      <c r="AC211" s="172"/>
      <c r="AD211" s="172"/>
      <c r="AE211" s="172"/>
      <c r="AF211" s="172"/>
      <c r="AG211" s="172"/>
      <c r="AH211" s="172"/>
      <c r="AI211" s="172"/>
      <c r="AJ211" s="172"/>
      <c r="AK211" s="172"/>
      <c r="AL211" s="172"/>
      <c r="AM211" s="172"/>
      <c r="AN211" s="172"/>
      <c r="AO211" s="172"/>
      <c r="AP211" s="172"/>
      <c r="AQ211" s="172"/>
      <c r="AR211" s="172"/>
      <c r="AS211" s="172"/>
      <c r="AT211"/>
      <c r="AU211"/>
      <c r="AV211"/>
      <c r="AW211"/>
      <c r="AX211"/>
      <c r="AY211"/>
      <c r="AZ211"/>
      <c r="BA211"/>
      <c r="BB211"/>
      <c r="BC211"/>
      <c r="BD211"/>
      <c r="BE211"/>
      <c r="BF211"/>
      <c r="BG211"/>
      <c r="BH211"/>
      <c r="BI211"/>
      <c r="BJ211"/>
      <c r="BK211"/>
      <c r="BL211"/>
      <c r="BM211"/>
    </row>
    <row r="212" spans="1:65" s="22" customFormat="1">
      <c r="A212" s="195" t="s">
        <v>406</v>
      </c>
      <c r="B212" s="47">
        <v>0.24945120000000001</v>
      </c>
      <c r="C212" s="202">
        <v>0.24945120000000001</v>
      </c>
      <c r="D212" s="46">
        <f>(B212-C212)/B212</f>
        <v>0</v>
      </c>
      <c r="E212" s="195"/>
      <c r="F212" s="195"/>
      <c r="G212" s="195"/>
      <c r="H212" s="195"/>
      <c r="I212" s="195"/>
      <c r="J212" s="195"/>
      <c r="K212" s="195"/>
      <c r="L212" s="195"/>
      <c r="M212" s="195"/>
      <c r="N212" s="195"/>
      <c r="O212" s="195"/>
      <c r="P212" s="195"/>
      <c r="Q212" s="102"/>
      <c r="R212"/>
      <c r="S212"/>
      <c r="T212"/>
      <c r="U212"/>
      <c r="V212" s="171"/>
      <c r="W212" s="172"/>
      <c r="X212" s="172"/>
      <c r="Y212" s="172"/>
      <c r="Z212" s="172"/>
      <c r="AA212" s="172"/>
      <c r="AB212" s="172"/>
      <c r="AC212" s="172"/>
      <c r="AD212" s="172"/>
      <c r="AE212" s="172"/>
      <c r="AF212" s="172"/>
      <c r="AG212" s="172"/>
      <c r="AH212" s="172"/>
      <c r="AI212" s="172"/>
      <c r="AJ212" s="172"/>
      <c r="AK212" s="172"/>
      <c r="AL212" s="172"/>
      <c r="AM212" s="172"/>
      <c r="AN212" s="172"/>
      <c r="AO212" s="172"/>
      <c r="AP212" s="172"/>
      <c r="AQ212" s="172"/>
      <c r="AR212" s="172"/>
      <c r="AS212" s="172"/>
      <c r="AT212"/>
      <c r="AU212"/>
      <c r="AV212"/>
      <c r="AW212"/>
      <c r="AX212"/>
      <c r="AY212"/>
      <c r="AZ212"/>
      <c r="BA212"/>
      <c r="BB212"/>
      <c r="BC212"/>
      <c r="BD212"/>
      <c r="BE212"/>
      <c r="BF212"/>
      <c r="BG212"/>
      <c r="BH212"/>
      <c r="BI212"/>
      <c r="BJ212"/>
      <c r="BK212"/>
      <c r="BL212"/>
      <c r="BM212"/>
    </row>
    <row r="213" spans="1:65" s="22" customFormat="1">
      <c r="A213" s="195"/>
      <c r="B213" s="195"/>
      <c r="C213" s="195"/>
      <c r="D213" s="195"/>
      <c r="E213" s="195"/>
      <c r="F213" s="195"/>
      <c r="G213" s="195"/>
      <c r="H213" s="195"/>
      <c r="I213" s="195"/>
      <c r="J213" s="195"/>
      <c r="K213" s="195"/>
      <c r="L213" s="195"/>
      <c r="M213" s="195"/>
      <c r="N213" s="195"/>
      <c r="O213" s="195"/>
      <c r="P213" s="195"/>
      <c r="Q213" s="102"/>
      <c r="V213"/>
      <c r="W213"/>
      <c r="X213"/>
      <c r="Y213"/>
      <c r="Z213"/>
      <c r="AA213"/>
      <c r="AB213"/>
      <c r="AC213"/>
      <c r="AD213"/>
      <c r="AE213"/>
      <c r="AF213"/>
      <c r="AG213"/>
      <c r="AH213"/>
      <c r="AI213"/>
      <c r="AJ213"/>
      <c r="AK213"/>
      <c r="AL213"/>
      <c r="AM213"/>
      <c r="AN213"/>
      <c r="AO213"/>
      <c r="AP213"/>
      <c r="AQ213"/>
      <c r="AR213"/>
      <c r="AS213"/>
    </row>
    <row r="214" spans="1:65" s="22" customFormat="1">
      <c r="A214" s="195"/>
      <c r="B214" s="195"/>
      <c r="C214" s="195"/>
      <c r="D214" s="195"/>
      <c r="E214" s="195"/>
      <c r="F214" s="195"/>
      <c r="G214" s="195"/>
      <c r="H214" s="195"/>
      <c r="I214" s="195"/>
      <c r="J214" s="195"/>
      <c r="K214" s="195"/>
      <c r="L214" s="195"/>
      <c r="M214" s="195"/>
      <c r="N214" s="195"/>
      <c r="O214" s="195"/>
      <c r="P214" s="195"/>
      <c r="Q214" s="102"/>
      <c r="V214" s="171"/>
      <c r="W214" s="172"/>
      <c r="X214" s="172"/>
      <c r="Y214" s="172"/>
      <c r="Z214" s="172"/>
      <c r="AA214" s="172"/>
      <c r="AB214" s="172"/>
      <c r="AC214" s="172"/>
      <c r="AD214" s="172"/>
      <c r="AE214" s="172"/>
      <c r="AF214" s="172"/>
      <c r="AG214" s="172"/>
      <c r="AH214" s="172"/>
      <c r="AI214" s="172"/>
      <c r="AJ214" s="172"/>
      <c r="AK214" s="172"/>
      <c r="AL214" s="172"/>
      <c r="AM214" s="172"/>
      <c r="AN214" s="172"/>
      <c r="AO214" s="172"/>
      <c r="AP214" s="172"/>
      <c r="AQ214" s="172"/>
      <c r="AR214" s="172"/>
      <c r="AS214" s="172"/>
    </row>
    <row r="215" spans="1:65" s="22" customFormat="1">
      <c r="Q215" s="102"/>
      <c r="V215" s="171"/>
      <c r="W215" s="172"/>
      <c r="X215" s="172"/>
      <c r="Y215" s="172"/>
      <c r="Z215" s="172"/>
      <c r="AA215" s="172"/>
      <c r="AB215" s="172"/>
      <c r="AC215" s="172"/>
      <c r="AD215" s="172"/>
      <c r="AE215" s="172"/>
      <c r="AF215" s="172"/>
      <c r="AG215" s="172"/>
      <c r="AH215" s="172"/>
      <c r="AI215" s="172"/>
      <c r="AJ215" s="172"/>
      <c r="AK215" s="172"/>
      <c r="AL215" s="172"/>
      <c r="AM215" s="172"/>
      <c r="AN215" s="172"/>
      <c r="AO215" s="172"/>
      <c r="AP215" s="172"/>
      <c r="AQ215" s="172"/>
      <c r="AR215" s="172"/>
      <c r="AS215" s="172"/>
    </row>
    <row r="216" spans="1:65">
      <c r="F216" s="22"/>
      <c r="G216" s="22"/>
      <c r="H216" s="22"/>
      <c r="Q216" s="102"/>
      <c r="V216" s="171"/>
      <c r="W216" s="172"/>
      <c r="X216" s="172"/>
      <c r="Y216" s="172"/>
      <c r="Z216" s="172"/>
      <c r="AA216" s="172"/>
      <c r="AB216" s="172"/>
      <c r="AC216" s="172"/>
      <c r="AD216" s="172"/>
      <c r="AE216" s="172"/>
      <c r="AF216" s="172"/>
      <c r="AG216" s="172"/>
      <c r="AH216" s="172"/>
      <c r="AI216" s="172"/>
      <c r="AJ216" s="172"/>
      <c r="AK216" s="172"/>
      <c r="AL216" s="172"/>
      <c r="AM216" s="172"/>
      <c r="AN216" s="172"/>
      <c r="AO216" s="172"/>
      <c r="AP216" s="172"/>
      <c r="AQ216" s="172"/>
      <c r="AR216" s="172"/>
      <c r="AS216" s="172"/>
    </row>
    <row r="217" spans="1:65">
      <c r="Q217" s="102"/>
    </row>
    <row r="218" spans="1:65">
      <c r="Q218" s="102"/>
      <c r="V218" s="171"/>
    </row>
    <row r="220" spans="1:65">
      <c r="V220" s="171"/>
    </row>
    <row r="221" spans="1:65">
      <c r="V221" s="171"/>
    </row>
    <row r="225" spans="22:4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row>
    <row r="228" spans="22:45">
      <c r="V228" s="171"/>
    </row>
    <row r="229" spans="22:45">
      <c r="V229" s="171"/>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row>
    <row r="230" spans="22:45">
      <c r="V230" s="171"/>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row>
    <row r="231" spans="22:45">
      <c r="V231" s="171"/>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row>
    <row r="232" spans="22:45">
      <c r="V232" s="171"/>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row>
    <row r="233" spans="22:45">
      <c r="V233" s="171"/>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row>
    <row r="234" spans="22:45">
      <c r="V234" s="171"/>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row>
    <row r="235" spans="22:45">
      <c r="V235" s="171"/>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row>
    <row r="236" spans="22:45">
      <c r="V236" s="171"/>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row>
    <row r="237" spans="22:45">
      <c r="V237" s="171"/>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row>
    <row r="238" spans="22:45">
      <c r="V238" s="171"/>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row>
    <row r="240" spans="22:45">
      <c r="V240" s="171"/>
      <c r="W240" s="172"/>
      <c r="X240" s="172"/>
      <c r="Y240" s="172"/>
      <c r="Z240" s="172"/>
      <c r="AA240" s="172"/>
      <c r="AB240" s="172"/>
      <c r="AC240" s="172"/>
      <c r="AD240" s="172"/>
      <c r="AE240" s="172"/>
      <c r="AF240" s="172"/>
      <c r="AG240" s="172"/>
      <c r="AH240" s="172"/>
      <c r="AI240" s="172"/>
      <c r="AJ240" s="172"/>
      <c r="AK240" s="172"/>
      <c r="AL240" s="172"/>
      <c r="AM240" s="172"/>
      <c r="AN240" s="172"/>
      <c r="AO240" s="172"/>
      <c r="AP240" s="172"/>
      <c r="AQ240" s="172"/>
      <c r="AR240" s="172"/>
      <c r="AS240" s="172"/>
    </row>
    <row r="241" spans="22:45">
      <c r="V241" s="171"/>
    </row>
    <row r="242" spans="22:45">
      <c r="V242" s="171"/>
      <c r="W242" s="172"/>
      <c r="X242" s="172"/>
      <c r="Y242" s="172"/>
      <c r="Z242" s="172"/>
      <c r="AA242" s="172"/>
      <c r="AB242" s="172"/>
      <c r="AC242" s="172"/>
      <c r="AD242" s="172"/>
      <c r="AE242" s="172"/>
      <c r="AF242" s="172"/>
      <c r="AG242" s="172"/>
      <c r="AH242" s="172"/>
      <c r="AI242" s="172"/>
      <c r="AJ242" s="172"/>
      <c r="AK242" s="172"/>
      <c r="AL242" s="172"/>
      <c r="AM242" s="172"/>
      <c r="AN242" s="172"/>
      <c r="AO242" s="172"/>
      <c r="AP242" s="172"/>
      <c r="AQ242" s="172"/>
      <c r="AR242" s="172"/>
      <c r="AS242" s="172"/>
    </row>
    <row r="243" spans="22:45">
      <c r="V243" s="171"/>
    </row>
    <row r="244" spans="22:45">
      <c r="V244" s="171"/>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row>
  </sheetData>
  <phoneticPr fontId="0" type="noConversion"/>
  <conditionalFormatting sqref="G44:G45 G38 E36:E42 H36:I42 F37:F42 E44:F46 H44:I46 J43 L36:L38 L40:L42 K36:K42 K44:L46">
    <cfRule type="cellIs" dxfId="1" priority="1" stopIfTrue="1" operator="equal">
      <formula>#N/A</formula>
    </cfRule>
  </conditionalFormatting>
  <pageMargins left="0.75" right="0.75" top="1" bottom="1" header="0.5" footer="0.5"/>
  <pageSetup scale="93" orientation="portrait" horizontalDpi="300" verticalDpi="300" r:id="rId1"/>
  <headerFooter alignWithMargins="0"/>
  <legacyDrawing r:id="rId2"/>
</worksheet>
</file>

<file path=xl/worksheets/sheet28.xml><?xml version="1.0" encoding="utf-8"?>
<worksheet xmlns="http://schemas.openxmlformats.org/spreadsheetml/2006/main" xmlns:r="http://schemas.openxmlformats.org/officeDocument/2006/relationships">
  <sheetPr>
    <pageSetUpPr fitToPage="1"/>
  </sheetPr>
  <dimension ref="A1:BN218"/>
  <sheetViews>
    <sheetView showZeros="0" topLeftCell="A160" zoomScale="75" workbookViewId="0">
      <selection activeCell="B190" sqref="B190:C212"/>
    </sheetView>
  </sheetViews>
  <sheetFormatPr defaultColWidth="11.42578125" defaultRowHeight="12.75"/>
  <cols>
    <col min="1" max="1" width="17.85546875" customWidth="1"/>
    <col min="2" max="7" width="8.7109375" customWidth="1"/>
    <col min="8" max="8" width="13.28515625" customWidth="1"/>
    <col min="9" max="9" width="8.7109375" customWidth="1"/>
    <col min="10" max="10" width="10" customWidth="1"/>
    <col min="11" max="14" width="9.140625" customWidth="1"/>
    <col min="15" max="15" width="11" customWidth="1"/>
    <col min="16" max="16" width="9.85546875" customWidth="1"/>
  </cols>
  <sheetData>
    <row r="1" spans="1:22" ht="15.75">
      <c r="A1" s="194" t="s">
        <v>395</v>
      </c>
      <c r="B1" s="195"/>
      <c r="C1" s="195"/>
      <c r="D1" s="195"/>
      <c r="E1" s="204" t="s">
        <v>370</v>
      </c>
      <c r="F1" s="59" t="s">
        <v>115</v>
      </c>
      <c r="G1" s="195"/>
      <c r="H1" s="204" t="s">
        <v>373</v>
      </c>
      <c r="I1" s="59" t="s">
        <v>380</v>
      </c>
      <c r="J1" s="195"/>
      <c r="K1" s="195"/>
      <c r="L1" s="49" t="s">
        <v>396</v>
      </c>
      <c r="M1" s="49"/>
      <c r="N1" s="195"/>
      <c r="O1" s="195"/>
      <c r="P1" s="297" t="s">
        <v>714</v>
      </c>
      <c r="Q1" s="297" t="str">
        <f ca="1">MID(CELL("filename",P1),FIND("VT_",CELL("filename",P1))+3,3)</f>
        <v>FI_</v>
      </c>
      <c r="R1" s="297" t="s">
        <v>715</v>
      </c>
      <c r="S1" s="298">
        <v>1.0000000000000001E-9</v>
      </c>
    </row>
    <row r="2" spans="1:22">
      <c r="A2" s="195"/>
      <c r="B2" s="195"/>
      <c r="C2" s="195"/>
      <c r="D2" s="195"/>
      <c r="E2" s="204" t="s">
        <v>371</v>
      </c>
      <c r="F2" s="18">
        <v>2017</v>
      </c>
      <c r="G2" s="195"/>
      <c r="H2" s="204" t="s">
        <v>425</v>
      </c>
      <c r="I2" s="59">
        <v>1</v>
      </c>
      <c r="J2" s="195"/>
      <c r="K2" s="195"/>
      <c r="L2" s="50" t="s">
        <v>397</v>
      </c>
      <c r="M2" s="50"/>
      <c r="N2" s="195"/>
      <c r="O2" s="195"/>
      <c r="P2" s="303" t="s">
        <v>719</v>
      </c>
      <c r="Q2" s="297">
        <f ca="1">MATCH("RH1",OFFSET(CalibData2!$C$3,1,0,200),0)-3</f>
        <v>73</v>
      </c>
    </row>
    <row r="3" spans="1:22">
      <c r="A3" s="195"/>
      <c r="B3" s="195"/>
      <c r="C3" s="195"/>
      <c r="D3" s="195"/>
      <c r="E3" s="204" t="s">
        <v>372</v>
      </c>
      <c r="F3" s="18">
        <v>4.1868000000000002E-2</v>
      </c>
      <c r="G3" s="195"/>
      <c r="H3" s="204" t="s">
        <v>424</v>
      </c>
      <c r="I3" s="59">
        <v>1</v>
      </c>
      <c r="J3" s="195"/>
      <c r="K3" s="195"/>
      <c r="L3" s="51" t="s">
        <v>398</v>
      </c>
      <c r="M3" s="51"/>
      <c r="N3" s="195"/>
      <c r="O3" s="195"/>
      <c r="P3" s="195"/>
    </row>
    <row r="4" spans="1:22">
      <c r="A4" s="195"/>
      <c r="B4" s="195"/>
      <c r="C4" s="195"/>
      <c r="D4" s="195"/>
      <c r="E4" s="195"/>
      <c r="F4" s="195"/>
      <c r="G4" s="195"/>
      <c r="H4" s="204" t="s">
        <v>48</v>
      </c>
      <c r="I4" s="18">
        <v>1</v>
      </c>
      <c r="J4" s="195"/>
      <c r="K4" s="195"/>
      <c r="L4" s="263" t="s">
        <v>399</v>
      </c>
      <c r="M4" s="263"/>
      <c r="N4" s="195"/>
      <c r="O4" s="195"/>
      <c r="P4" s="195"/>
    </row>
    <row r="5" spans="1:22">
      <c r="A5" s="203"/>
      <c r="B5" s="195"/>
      <c r="C5" s="195"/>
      <c r="D5" s="195"/>
      <c r="E5" s="195"/>
      <c r="F5" s="195"/>
      <c r="G5" s="206"/>
      <c r="H5" s="195"/>
      <c r="I5" s="195"/>
      <c r="J5" s="195"/>
      <c r="K5" s="195"/>
      <c r="L5" s="12" t="s">
        <v>400</v>
      </c>
      <c r="M5" s="12"/>
      <c r="N5" s="195"/>
      <c r="O5" s="195"/>
      <c r="P5" s="195"/>
    </row>
    <row r="6" spans="1:22" ht="15.75">
      <c r="A6" s="194" t="s">
        <v>518</v>
      </c>
      <c r="B6" s="195"/>
      <c r="C6" s="195"/>
      <c r="D6" s="195"/>
      <c r="E6" s="195"/>
      <c r="F6" s="195"/>
      <c r="G6" s="206"/>
      <c r="H6" s="195"/>
      <c r="I6" s="195"/>
      <c r="J6" s="195"/>
      <c r="K6" s="195"/>
      <c r="L6" s="48" t="s">
        <v>401</v>
      </c>
      <c r="M6" s="48"/>
      <c r="N6" s="195"/>
      <c r="O6" s="195"/>
      <c r="P6" s="195"/>
    </row>
    <row r="7" spans="1:22" ht="18">
      <c r="A7" s="204"/>
      <c r="B7" s="131" t="s">
        <v>231</v>
      </c>
      <c r="C7" s="98"/>
      <c r="D7" s="136"/>
      <c r="E7" s="195" t="s">
        <v>250</v>
      </c>
      <c r="F7" s="195"/>
      <c r="H7" s="195"/>
      <c r="I7" s="195"/>
      <c r="J7" s="195"/>
      <c r="K7" s="195"/>
      <c r="L7" s="264" t="s">
        <v>402</v>
      </c>
      <c r="M7" s="264"/>
      <c r="N7" s="195"/>
      <c r="O7" s="195"/>
      <c r="P7" s="195"/>
    </row>
    <row r="8" spans="1:22" ht="18">
      <c r="A8" s="196" t="s">
        <v>374</v>
      </c>
      <c r="B8" s="200" t="s">
        <v>368</v>
      </c>
      <c r="C8" s="196"/>
      <c r="D8" s="196"/>
      <c r="F8" s="201" t="s">
        <v>232</v>
      </c>
      <c r="G8" s="131"/>
      <c r="H8" s="131"/>
      <c r="I8" s="288" t="s">
        <v>377</v>
      </c>
      <c r="J8" s="195"/>
      <c r="K8" s="195"/>
      <c r="L8" s="195"/>
      <c r="M8" s="195"/>
      <c r="N8" s="195"/>
      <c r="O8" s="195"/>
      <c r="P8" s="195"/>
    </row>
    <row r="9" spans="1:22">
      <c r="A9" s="195" t="s">
        <v>403</v>
      </c>
      <c r="B9" s="47">
        <v>0.49319999999999997</v>
      </c>
      <c r="C9" s="365">
        <v>0.49319999999999997</v>
      </c>
      <c r="D9" s="75" t="s">
        <v>436</v>
      </c>
      <c r="E9" s="195"/>
      <c r="F9" s="43" t="s">
        <v>244</v>
      </c>
      <c r="G9" s="44">
        <f>C9+C10+C11+C24</f>
        <v>0.49319999999999997</v>
      </c>
      <c r="H9" s="76" t="s">
        <v>415</v>
      </c>
      <c r="I9" s="202">
        <f>G9+G190</f>
        <v>0.54720000000000002</v>
      </c>
      <c r="J9" s="195"/>
      <c r="K9" s="195"/>
      <c r="L9" s="195"/>
      <c r="M9" s="195"/>
      <c r="N9" s="195"/>
      <c r="O9" s="195"/>
      <c r="P9" s="195"/>
    </row>
    <row r="10" spans="1:22">
      <c r="A10" s="205" t="s">
        <v>182</v>
      </c>
      <c r="B10" s="47">
        <v>0</v>
      </c>
      <c r="C10" s="365">
        <v>0</v>
      </c>
      <c r="D10" s="75" t="s">
        <v>440</v>
      </c>
      <c r="E10" s="195"/>
      <c r="F10" s="43" t="s">
        <v>413</v>
      </c>
      <c r="G10" s="44">
        <f>C12+C15+C16+C23</f>
        <v>1.0919621580896592</v>
      </c>
      <c r="H10" s="76" t="s">
        <v>416</v>
      </c>
      <c r="I10" s="202">
        <f>G10+G191</f>
        <v>1.1459621580896593</v>
      </c>
      <c r="J10" s="195"/>
      <c r="K10" s="195"/>
      <c r="L10" s="195"/>
      <c r="M10" s="195"/>
      <c r="N10" s="195"/>
      <c r="O10" s="195"/>
      <c r="P10" s="195"/>
    </row>
    <row r="11" spans="1:22">
      <c r="A11" s="205" t="s">
        <v>183</v>
      </c>
      <c r="B11" s="47">
        <v>0</v>
      </c>
      <c r="C11" s="365">
        <v>0</v>
      </c>
      <c r="D11" s="75" t="s">
        <v>441</v>
      </c>
      <c r="E11" s="195"/>
      <c r="F11" s="43" t="s">
        <v>574</v>
      </c>
      <c r="G11" s="44">
        <f>C13</f>
        <v>0</v>
      </c>
      <c r="H11" s="76" t="s">
        <v>575</v>
      </c>
      <c r="I11" s="202">
        <f t="shared" ref="I11:I19" si="0">G11+G193</f>
        <v>0</v>
      </c>
      <c r="J11" s="195"/>
      <c r="K11" s="195"/>
      <c r="L11" s="195"/>
      <c r="M11" s="195"/>
      <c r="N11" s="195"/>
      <c r="O11" s="195"/>
      <c r="P11" s="195"/>
    </row>
    <row r="12" spans="1:22">
      <c r="A12" s="195" t="s">
        <v>411</v>
      </c>
      <c r="B12" s="47">
        <v>1.0919621580896592</v>
      </c>
      <c r="C12" s="365">
        <v>1.0919621580896592</v>
      </c>
      <c r="D12" s="75" t="s">
        <v>221</v>
      </c>
      <c r="E12" s="195"/>
      <c r="F12" s="43" t="s">
        <v>576</v>
      </c>
      <c r="G12" s="44">
        <f>C14</f>
        <v>0</v>
      </c>
      <c r="H12" s="76" t="s">
        <v>577</v>
      </c>
      <c r="I12" s="202">
        <f t="shared" si="0"/>
        <v>0</v>
      </c>
      <c r="J12" s="195"/>
      <c r="K12" s="195"/>
      <c r="L12" s="195"/>
      <c r="M12" s="195"/>
      <c r="N12" s="195"/>
      <c r="O12" s="195"/>
      <c r="P12" s="195"/>
    </row>
    <row r="13" spans="1:22">
      <c r="A13" s="195" t="s">
        <v>410</v>
      </c>
      <c r="B13" s="47">
        <v>0</v>
      </c>
      <c r="C13" s="365">
        <v>0</v>
      </c>
      <c r="D13" s="75" t="s">
        <v>217</v>
      </c>
      <c r="E13" s="195"/>
      <c r="F13" s="43" t="s">
        <v>664</v>
      </c>
      <c r="G13" s="44">
        <f>C17+C18+C19</f>
        <v>0</v>
      </c>
      <c r="H13" s="76" t="s">
        <v>417</v>
      </c>
      <c r="I13" s="202">
        <f t="shared" si="0"/>
        <v>0</v>
      </c>
      <c r="J13" s="195"/>
      <c r="K13" s="195"/>
      <c r="L13" s="197"/>
      <c r="M13" s="197"/>
      <c r="N13" s="197"/>
      <c r="O13" s="202"/>
      <c r="P13" s="197"/>
    </row>
    <row r="14" spans="1:22">
      <c r="A14" s="195" t="s">
        <v>409</v>
      </c>
      <c r="B14" s="47">
        <v>0</v>
      </c>
      <c r="C14" s="365">
        <v>0</v>
      </c>
      <c r="D14" s="75" t="s">
        <v>219</v>
      </c>
      <c r="E14" s="195"/>
      <c r="F14" s="43" t="s">
        <v>405</v>
      </c>
      <c r="G14" s="44">
        <f>C20</f>
        <v>0</v>
      </c>
      <c r="H14" s="76" t="s">
        <v>418</v>
      </c>
      <c r="I14" s="202">
        <f t="shared" si="0"/>
        <v>0</v>
      </c>
      <c r="J14" s="195"/>
      <c r="K14" s="195"/>
      <c r="L14" s="195"/>
      <c r="M14" s="195"/>
      <c r="N14" s="199"/>
      <c r="O14" s="223"/>
      <c r="P14" s="223"/>
      <c r="V14" s="171"/>
    </row>
    <row r="15" spans="1:22">
      <c r="A15" s="195" t="s">
        <v>426</v>
      </c>
      <c r="B15" s="47">
        <v>0</v>
      </c>
      <c r="C15" s="365">
        <v>0</v>
      </c>
      <c r="D15" s="76" t="s">
        <v>220</v>
      </c>
      <c r="E15" s="195"/>
      <c r="F15" s="43" t="s">
        <v>588</v>
      </c>
      <c r="G15" s="44">
        <f>C21+C22+C25+C26</f>
        <v>9.6936421919009766E-2</v>
      </c>
      <c r="H15" s="76" t="s">
        <v>419</v>
      </c>
      <c r="I15" s="202">
        <f t="shared" si="0"/>
        <v>0.12933642191900976</v>
      </c>
      <c r="J15" s="195"/>
      <c r="K15" s="195"/>
      <c r="L15" s="195"/>
      <c r="M15" s="195"/>
      <c r="N15" s="195"/>
      <c r="O15" s="195"/>
      <c r="P15" s="195"/>
      <c r="V15" s="171"/>
    </row>
    <row r="16" spans="1:22">
      <c r="A16" s="205" t="s">
        <v>184</v>
      </c>
      <c r="B16" s="47">
        <v>0</v>
      </c>
      <c r="C16" s="365">
        <v>0</v>
      </c>
      <c r="D16" s="75" t="s">
        <v>647</v>
      </c>
      <c r="E16" s="195"/>
      <c r="F16" s="43" t="s">
        <v>247</v>
      </c>
      <c r="G16" s="44">
        <f>C27</f>
        <v>12.031550700059821</v>
      </c>
      <c r="H16" s="76" t="s">
        <v>420</v>
      </c>
      <c r="I16" s="202">
        <f t="shared" si="0"/>
        <v>12.097339980059822</v>
      </c>
      <c r="J16" s="195"/>
      <c r="K16" s="195"/>
      <c r="L16" s="195"/>
      <c r="M16" s="195"/>
      <c r="N16" s="195"/>
      <c r="O16" s="195"/>
      <c r="P16" s="195"/>
    </row>
    <row r="17" spans="1:45">
      <c r="A17" s="205" t="s">
        <v>375</v>
      </c>
      <c r="B17" s="47">
        <v>0</v>
      </c>
      <c r="C17" s="365">
        <v>0</v>
      </c>
      <c r="D17" s="75" t="s">
        <v>437</v>
      </c>
      <c r="E17" s="195"/>
      <c r="F17" s="43" t="s">
        <v>414</v>
      </c>
      <c r="G17" s="44">
        <f>C28</f>
        <v>22.816800000000001</v>
      </c>
      <c r="H17" s="76" t="s">
        <v>421</v>
      </c>
      <c r="I17" s="202">
        <f t="shared" si="0"/>
        <v>22.870799999999999</v>
      </c>
      <c r="J17" s="195"/>
      <c r="K17" s="195"/>
      <c r="L17" s="195"/>
      <c r="M17" s="195"/>
      <c r="N17" s="195"/>
      <c r="O17" s="195"/>
      <c r="P17" s="195"/>
    </row>
    <row r="18" spans="1:45">
      <c r="A18" s="287" t="s">
        <v>376</v>
      </c>
      <c r="B18" s="47">
        <v>0</v>
      </c>
      <c r="C18" s="365">
        <v>0</v>
      </c>
      <c r="D18" s="75" t="s">
        <v>438</v>
      </c>
      <c r="E18" s="195"/>
      <c r="F18" s="43" t="s">
        <v>245</v>
      </c>
      <c r="G18" s="44">
        <f>C29</f>
        <v>0</v>
      </c>
      <c r="H18" s="76" t="s">
        <v>581</v>
      </c>
      <c r="I18" s="202">
        <f t="shared" si="0"/>
        <v>0</v>
      </c>
      <c r="J18" s="195"/>
      <c r="K18" s="195"/>
      <c r="L18" s="195"/>
      <c r="M18" s="195"/>
      <c r="N18" s="195"/>
      <c r="O18" s="195"/>
      <c r="P18" s="195"/>
    </row>
    <row r="19" spans="1:45">
      <c r="A19" s="205" t="s">
        <v>185</v>
      </c>
      <c r="B19" s="47">
        <v>0</v>
      </c>
      <c r="C19" s="365">
        <v>0</v>
      </c>
      <c r="D19" s="75" t="s">
        <v>439</v>
      </c>
      <c r="E19" s="195"/>
      <c r="F19" s="43" t="s">
        <v>246</v>
      </c>
      <c r="G19" s="44">
        <f>C30</f>
        <v>0</v>
      </c>
      <c r="H19" s="76" t="s">
        <v>582</v>
      </c>
      <c r="I19" s="202">
        <f t="shared" si="0"/>
        <v>0</v>
      </c>
      <c r="J19" s="195"/>
      <c r="K19" s="195"/>
      <c r="L19" s="195"/>
      <c r="M19" s="195"/>
      <c r="N19" s="195"/>
      <c r="O19" s="195"/>
      <c r="P19" s="19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row>
    <row r="20" spans="1:45">
      <c r="A20" s="195" t="s">
        <v>405</v>
      </c>
      <c r="B20" s="47">
        <v>0</v>
      </c>
      <c r="C20" s="365">
        <v>0</v>
      </c>
      <c r="D20" s="75" t="s">
        <v>110</v>
      </c>
      <c r="E20" s="195"/>
      <c r="F20" s="195"/>
      <c r="G20" s="195"/>
      <c r="H20" s="195"/>
      <c r="I20" s="195"/>
      <c r="J20" s="195"/>
      <c r="K20" s="195"/>
      <c r="L20" s="195"/>
      <c r="M20" s="195"/>
      <c r="N20" s="195"/>
      <c r="O20" s="195"/>
      <c r="P20" s="195"/>
    </row>
    <row r="21" spans="1:45">
      <c r="A21" s="195" t="s">
        <v>585</v>
      </c>
      <c r="B21" s="47">
        <v>9.6936421919009766E-2</v>
      </c>
      <c r="C21" s="365">
        <v>9.6936421919009766E-2</v>
      </c>
      <c r="D21" s="75" t="s">
        <v>53</v>
      </c>
      <c r="E21" s="195"/>
      <c r="F21" s="195"/>
      <c r="G21" s="195"/>
      <c r="H21" s="195"/>
      <c r="I21" s="195"/>
      <c r="J21" s="195"/>
      <c r="K21" s="195"/>
      <c r="L21" s="195"/>
      <c r="M21" s="195"/>
      <c r="N21" s="195"/>
      <c r="O21" s="195"/>
      <c r="P21" s="195"/>
    </row>
    <row r="22" spans="1:45">
      <c r="A22" s="195" t="s">
        <v>586</v>
      </c>
      <c r="B22" s="47">
        <v>0</v>
      </c>
      <c r="C22" s="365">
        <v>0</v>
      </c>
      <c r="D22" s="75" t="s">
        <v>589</v>
      </c>
      <c r="E22" s="195"/>
      <c r="F22" s="195"/>
      <c r="G22" s="195"/>
      <c r="H22" s="195"/>
      <c r="I22" s="195"/>
      <c r="J22" s="195"/>
      <c r="K22" s="195"/>
      <c r="L22" s="195"/>
      <c r="M22" s="195"/>
      <c r="N22" s="195"/>
      <c r="O22" s="195"/>
      <c r="P22" s="195"/>
      <c r="Q22" s="102"/>
      <c r="V22" s="171"/>
    </row>
    <row r="23" spans="1:45">
      <c r="A23" s="195" t="s">
        <v>966</v>
      </c>
      <c r="B23" s="47">
        <v>0</v>
      </c>
      <c r="C23" s="365">
        <v>0</v>
      </c>
      <c r="D23" s="75" t="s">
        <v>742</v>
      </c>
      <c r="E23" s="195"/>
      <c r="F23" s="195"/>
      <c r="G23" s="195"/>
      <c r="H23" s="195"/>
      <c r="I23" s="195"/>
      <c r="J23" s="195"/>
      <c r="K23" s="195"/>
      <c r="L23" s="195"/>
      <c r="M23" s="195"/>
      <c r="N23" s="195"/>
      <c r="O23" s="195"/>
      <c r="P23" s="195"/>
      <c r="Q23" s="102"/>
    </row>
    <row r="24" spans="1:45">
      <c r="A24" s="195" t="s">
        <v>967</v>
      </c>
      <c r="B24" s="47">
        <v>0</v>
      </c>
      <c r="C24" s="365">
        <v>0</v>
      </c>
      <c r="D24" s="75" t="s">
        <v>43</v>
      </c>
      <c r="E24" s="195"/>
      <c r="F24" s="195"/>
      <c r="G24" s="195"/>
      <c r="H24" s="195"/>
      <c r="I24" s="195"/>
      <c r="J24" s="195"/>
      <c r="K24" s="195"/>
      <c r="L24" s="195"/>
      <c r="M24" s="195"/>
      <c r="N24" s="195"/>
      <c r="O24" s="195"/>
      <c r="P24" s="195"/>
      <c r="Q24" s="102"/>
      <c r="V24" s="171"/>
    </row>
    <row r="25" spans="1:45">
      <c r="A25" s="205" t="s">
        <v>367</v>
      </c>
      <c r="B25" s="47">
        <v>0</v>
      </c>
      <c r="C25" s="365">
        <v>0</v>
      </c>
      <c r="D25" s="75" t="s">
        <v>54</v>
      </c>
      <c r="E25" s="195"/>
      <c r="F25" s="195"/>
      <c r="G25" s="195"/>
      <c r="H25" s="195"/>
      <c r="I25" s="195"/>
      <c r="J25" s="195"/>
      <c r="K25" s="195"/>
      <c r="L25" s="195"/>
      <c r="M25" s="195"/>
      <c r="N25" s="195"/>
      <c r="O25" s="195"/>
      <c r="P25" s="195"/>
      <c r="Q25" s="102"/>
      <c r="V25" s="171"/>
      <c r="W25" s="172"/>
      <c r="X25" s="172"/>
      <c r="Y25" s="172"/>
      <c r="Z25" s="172"/>
      <c r="AA25" s="172"/>
      <c r="AB25" s="172"/>
      <c r="AC25" s="172"/>
      <c r="AD25" s="172"/>
      <c r="AE25" s="172"/>
      <c r="AF25" s="172"/>
      <c r="AG25" s="172"/>
      <c r="AH25" s="172"/>
      <c r="AI25" s="172"/>
      <c r="AJ25" s="172"/>
      <c r="AK25" s="172"/>
      <c r="AL25" s="172"/>
      <c r="AM25" s="172"/>
      <c r="AN25" s="172"/>
      <c r="AO25" s="172"/>
      <c r="AP25" s="172"/>
      <c r="AQ25" s="172"/>
      <c r="AR25" s="172"/>
      <c r="AS25" s="172"/>
    </row>
    <row r="26" spans="1:45">
      <c r="A26" s="195" t="s">
        <v>587</v>
      </c>
      <c r="B26" s="47">
        <v>0</v>
      </c>
      <c r="C26" s="365">
        <v>0</v>
      </c>
      <c r="D26" s="75" t="s">
        <v>55</v>
      </c>
      <c r="E26" s="195"/>
      <c r="F26" s="195"/>
      <c r="G26" s="195"/>
      <c r="H26" s="195"/>
      <c r="I26" s="195"/>
      <c r="J26" s="195"/>
      <c r="K26" s="195"/>
      <c r="L26" s="195"/>
      <c r="M26" s="195"/>
      <c r="N26" s="195"/>
      <c r="O26" s="195"/>
      <c r="P26" s="195"/>
      <c r="Q26" s="102"/>
      <c r="V26" s="171"/>
      <c r="W26" s="172"/>
      <c r="X26" s="172"/>
      <c r="Y26" s="172"/>
      <c r="Z26" s="172"/>
      <c r="AA26" s="172"/>
      <c r="AB26" s="172"/>
      <c r="AC26" s="172"/>
      <c r="AD26" s="172"/>
      <c r="AE26" s="172"/>
      <c r="AF26" s="172"/>
      <c r="AG26" s="172"/>
      <c r="AH26" s="172"/>
      <c r="AI26" s="172"/>
      <c r="AJ26" s="172"/>
      <c r="AK26" s="172"/>
      <c r="AL26" s="172"/>
      <c r="AM26" s="172"/>
      <c r="AN26" s="172"/>
      <c r="AO26" s="172"/>
      <c r="AP26" s="172"/>
      <c r="AQ26" s="172"/>
      <c r="AR26" s="172"/>
      <c r="AS26" s="172"/>
    </row>
    <row r="27" spans="1:45">
      <c r="A27" s="195" t="s">
        <v>404</v>
      </c>
      <c r="B27" s="47">
        <v>12.031550700059821</v>
      </c>
      <c r="C27" s="365">
        <v>12.031550700059821</v>
      </c>
      <c r="D27" s="75" t="s">
        <v>106</v>
      </c>
      <c r="E27" s="195"/>
      <c r="F27" s="195"/>
      <c r="G27" s="195"/>
      <c r="H27" s="195"/>
      <c r="I27" s="195"/>
      <c r="J27" s="195"/>
      <c r="K27" s="195"/>
      <c r="L27" s="195"/>
      <c r="M27" s="195"/>
      <c r="N27" s="195"/>
      <c r="O27" s="195"/>
      <c r="P27" s="195"/>
      <c r="Q27" s="102"/>
      <c r="V27" s="171"/>
      <c r="W27" s="172"/>
      <c r="X27" s="172"/>
      <c r="Y27" s="172"/>
      <c r="Z27" s="172"/>
      <c r="AA27" s="172"/>
      <c r="AB27" s="172"/>
      <c r="AC27" s="172"/>
      <c r="AD27" s="172"/>
      <c r="AE27" s="172"/>
      <c r="AF27" s="172"/>
      <c r="AG27" s="172"/>
      <c r="AH27" s="172"/>
      <c r="AI27" s="172"/>
      <c r="AJ27" s="172"/>
      <c r="AK27" s="172"/>
      <c r="AL27" s="172"/>
      <c r="AM27" s="172"/>
      <c r="AN27" s="172"/>
      <c r="AO27" s="172"/>
      <c r="AP27" s="172"/>
      <c r="AQ27" s="172"/>
      <c r="AR27" s="172"/>
      <c r="AS27" s="172"/>
    </row>
    <row r="28" spans="1:45">
      <c r="A28" s="195" t="s">
        <v>408</v>
      </c>
      <c r="B28" s="45">
        <v>22.816800000000001</v>
      </c>
      <c r="C28" s="365">
        <v>22.816800000000001</v>
      </c>
      <c r="D28" s="75" t="s">
        <v>573</v>
      </c>
      <c r="E28" s="195"/>
      <c r="F28" s="195"/>
      <c r="G28" s="195"/>
      <c r="H28" s="195"/>
      <c r="I28" s="195"/>
      <c r="J28" s="195"/>
      <c r="K28" s="195"/>
      <c r="L28" s="195"/>
      <c r="M28" s="195"/>
      <c r="N28" s="195"/>
      <c r="O28" s="195"/>
      <c r="P28" s="195"/>
      <c r="Q28" s="102"/>
      <c r="V28" s="171"/>
      <c r="W28" s="172"/>
      <c r="X28" s="172"/>
      <c r="Y28" s="172"/>
      <c r="Z28" s="172"/>
      <c r="AA28" s="172"/>
      <c r="AB28" s="172"/>
      <c r="AC28" s="172"/>
      <c r="AD28" s="172"/>
      <c r="AE28" s="172"/>
      <c r="AF28" s="172"/>
      <c r="AG28" s="172"/>
      <c r="AH28" s="172"/>
      <c r="AI28" s="172"/>
      <c r="AJ28" s="172"/>
      <c r="AK28" s="172"/>
      <c r="AL28" s="172"/>
      <c r="AM28" s="172"/>
      <c r="AN28" s="172"/>
      <c r="AO28" s="172"/>
      <c r="AP28" s="172"/>
      <c r="AQ28" s="172"/>
      <c r="AR28" s="172"/>
      <c r="AS28" s="172"/>
    </row>
    <row r="29" spans="1:45">
      <c r="A29" s="195" t="s">
        <v>578</v>
      </c>
      <c r="B29" s="45">
        <v>0</v>
      </c>
      <c r="C29" s="365">
        <v>0</v>
      </c>
      <c r="D29" s="75" t="s">
        <v>579</v>
      </c>
      <c r="E29" s="195"/>
      <c r="F29" s="195"/>
      <c r="G29" s="195"/>
      <c r="H29" s="195"/>
      <c r="I29" s="195"/>
      <c r="J29" s="195"/>
      <c r="K29" s="195"/>
      <c r="L29" s="195"/>
      <c r="M29" s="195"/>
      <c r="N29" s="195"/>
      <c r="O29" s="195"/>
      <c r="P29" s="195"/>
      <c r="Q29" s="102"/>
      <c r="V29" s="171"/>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row>
    <row r="30" spans="1:45">
      <c r="A30" s="195" t="s">
        <v>602</v>
      </c>
      <c r="B30" s="45">
        <v>0</v>
      </c>
      <c r="C30" s="365">
        <v>0</v>
      </c>
      <c r="D30" s="75" t="s">
        <v>580</v>
      </c>
      <c r="E30" s="195"/>
      <c r="F30" s="195"/>
      <c r="G30" s="195"/>
      <c r="H30" s="195"/>
      <c r="I30" s="195"/>
      <c r="J30" s="195"/>
      <c r="K30" s="195"/>
      <c r="L30" s="195"/>
      <c r="M30" s="195"/>
      <c r="N30" s="195"/>
      <c r="O30" s="195"/>
      <c r="P30" s="195"/>
      <c r="Q30" s="102"/>
      <c r="V30" s="171"/>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row>
    <row r="31" spans="1:45">
      <c r="A31" s="195" t="s">
        <v>406</v>
      </c>
      <c r="B31" s="47">
        <v>36.584636324033163</v>
      </c>
      <c r="C31" s="202">
        <v>36.584636324033163</v>
      </c>
      <c r="D31" s="356">
        <f>(B31-C31)/B31</f>
        <v>0</v>
      </c>
      <c r="E31" s="195"/>
      <c r="F31" s="195"/>
      <c r="G31" s="195"/>
      <c r="H31" s="195"/>
      <c r="I31" s="195"/>
      <c r="J31" s="195"/>
      <c r="K31" s="195"/>
      <c r="L31" s="195"/>
      <c r="M31" s="195"/>
      <c r="N31" s="195"/>
      <c r="O31" s="195"/>
      <c r="P31" s="195"/>
      <c r="Q31" s="102"/>
      <c r="V31" s="171"/>
      <c r="W31" s="172"/>
      <c r="X31" s="172"/>
      <c r="Y31" s="172"/>
      <c r="Z31" s="172"/>
      <c r="AA31" s="172"/>
      <c r="AB31" s="172"/>
      <c r="AC31" s="172"/>
      <c r="AD31" s="172"/>
      <c r="AE31" s="172"/>
      <c r="AF31" s="172"/>
      <c r="AG31" s="172"/>
      <c r="AH31" s="172"/>
      <c r="AI31" s="172"/>
      <c r="AJ31" s="172"/>
      <c r="AK31" s="172"/>
      <c r="AL31" s="172"/>
      <c r="AM31" s="172"/>
      <c r="AN31" s="172"/>
      <c r="AO31" s="172"/>
      <c r="AP31" s="172"/>
      <c r="AQ31" s="172"/>
      <c r="AR31" s="172"/>
      <c r="AS31" s="172"/>
    </row>
    <row r="32" spans="1:45">
      <c r="A32" s="195"/>
      <c r="B32" s="197"/>
      <c r="C32" s="202"/>
      <c r="D32" s="357"/>
      <c r="E32" s="195"/>
      <c r="F32" s="195"/>
      <c r="G32" s="195"/>
      <c r="H32" s="195"/>
      <c r="I32" s="195"/>
      <c r="J32" s="195"/>
      <c r="K32" s="195"/>
      <c r="L32" s="195"/>
      <c r="M32" s="195"/>
      <c r="N32" s="195"/>
      <c r="O32" s="195"/>
      <c r="P32" s="195"/>
    </row>
    <row r="33" spans="1:45" ht="18">
      <c r="A33" s="131" t="s">
        <v>519</v>
      </c>
      <c r="B33" s="98"/>
      <c r="C33" s="98"/>
      <c r="D33" s="98"/>
      <c r="E33" s="98"/>
      <c r="F33" s="98"/>
      <c r="G33" s="98"/>
      <c r="H33" s="181" t="s">
        <v>522</v>
      </c>
      <c r="I33" s="182"/>
      <c r="J33" s="182"/>
      <c r="K33" s="182"/>
      <c r="L33" s="195"/>
      <c r="M33" s="195"/>
      <c r="N33" s="195"/>
      <c r="O33" s="195"/>
      <c r="P33" s="195"/>
      <c r="V33" s="171"/>
      <c r="W33" s="172"/>
      <c r="X33" s="172"/>
      <c r="Y33" s="172"/>
      <c r="Z33" s="172"/>
      <c r="AA33" s="172"/>
      <c r="AB33" s="172"/>
      <c r="AC33" s="172"/>
      <c r="AD33" s="172"/>
      <c r="AE33" s="172"/>
      <c r="AF33" s="172"/>
      <c r="AG33" s="172"/>
      <c r="AH33" s="172"/>
      <c r="AI33" s="172"/>
      <c r="AJ33" s="172"/>
      <c r="AK33" s="172"/>
      <c r="AL33" s="172"/>
      <c r="AM33" s="172"/>
      <c r="AN33" s="172"/>
      <c r="AO33" s="172"/>
      <c r="AP33" s="172"/>
      <c r="AQ33" s="172"/>
      <c r="AR33" s="172"/>
      <c r="AS33" s="172"/>
    </row>
    <row r="34" spans="1:45" ht="33.75">
      <c r="A34" s="208"/>
      <c r="B34" s="209" t="s">
        <v>213</v>
      </c>
      <c r="C34" s="209" t="s">
        <v>105</v>
      </c>
      <c r="D34" s="209" t="s">
        <v>179</v>
      </c>
      <c r="E34" s="209" t="s">
        <v>90</v>
      </c>
      <c r="F34" s="209" t="s">
        <v>93</v>
      </c>
      <c r="G34" s="209" t="s">
        <v>95</v>
      </c>
      <c r="H34" s="209" t="s">
        <v>269</v>
      </c>
      <c r="I34" s="209" t="s">
        <v>97</v>
      </c>
      <c r="J34" s="209" t="s">
        <v>268</v>
      </c>
      <c r="K34" s="209" t="s">
        <v>636</v>
      </c>
      <c r="L34" s="209" t="s">
        <v>104</v>
      </c>
      <c r="M34" s="195" t="s">
        <v>248</v>
      </c>
      <c r="N34" s="195"/>
      <c r="O34" s="195"/>
      <c r="P34" s="195"/>
      <c r="V34" s="171"/>
      <c r="W34" s="172"/>
      <c r="X34" s="172"/>
      <c r="Y34" s="172"/>
      <c r="Z34" s="172"/>
      <c r="AA34" s="172"/>
      <c r="AB34" s="172"/>
      <c r="AC34" s="172"/>
      <c r="AD34" s="172"/>
      <c r="AE34" s="172"/>
      <c r="AF34" s="172"/>
      <c r="AG34" s="172"/>
      <c r="AH34" s="172"/>
      <c r="AI34" s="172"/>
      <c r="AJ34" s="172"/>
      <c r="AK34" s="172"/>
      <c r="AL34" s="172"/>
      <c r="AM34" s="172"/>
      <c r="AN34" s="172"/>
      <c r="AO34" s="172"/>
      <c r="AP34" s="172"/>
      <c r="AQ34" s="172"/>
      <c r="AR34" s="172"/>
      <c r="AS34" s="172"/>
    </row>
    <row r="35" spans="1:45">
      <c r="A35" s="195"/>
      <c r="B35" s="210" t="s">
        <v>127</v>
      </c>
      <c r="C35" s="210" t="s">
        <v>128</v>
      </c>
      <c r="D35" s="210" t="s">
        <v>44</v>
      </c>
      <c r="E35" s="210" t="s">
        <v>91</v>
      </c>
      <c r="F35" s="210" t="s">
        <v>94</v>
      </c>
      <c r="G35" s="210" t="s">
        <v>129</v>
      </c>
      <c r="H35" s="210" t="s">
        <v>96</v>
      </c>
      <c r="I35" s="210" t="s">
        <v>92</v>
      </c>
      <c r="J35" s="210" t="s">
        <v>637</v>
      </c>
      <c r="K35" s="210" t="s">
        <v>642</v>
      </c>
      <c r="L35" s="210" t="s">
        <v>130</v>
      </c>
      <c r="M35" s="195"/>
      <c r="N35" s="195"/>
      <c r="O35" s="195"/>
      <c r="P35" s="195"/>
      <c r="V35" s="171"/>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row>
    <row r="36" spans="1:45" ht="18" customHeight="1">
      <c r="A36" s="211" t="s">
        <v>244</v>
      </c>
      <c r="B36" s="41">
        <f t="shared" ref="B36:B46" ca="1" si="1">1-SUM(C36:L36)</f>
        <v>0.65068493150684925</v>
      </c>
      <c r="C36" s="41">
        <f ca="1">SUMIF(OFFSET(CalibData2!$M$3,1,0,$Q$2),ROW()+COLUMN()/100,OFFSET(CalibData2!$O$3,1,0,$Q$2))</f>
        <v>0</v>
      </c>
      <c r="D36" s="41">
        <f ca="1">SUMIF(OFFSET(CalibData2!$M$3,1,0,$Q$2),ROW()+COLUMN()/100,OFFSET(CalibData2!$O$3,1,0,$Q$2))</f>
        <v>0.20547945205479451</v>
      </c>
      <c r="E36" s="224"/>
      <c r="F36" s="41">
        <f ca="1">SUMIF(OFFSET(CalibData2!$M$3,1,0,$Q$2),ROW()+COLUMN()/100,OFFSET(CalibData2!$O$3,1,0,$Q$2))</f>
        <v>0</v>
      </c>
      <c r="G36" s="41">
        <f ca="1">SUMIF(OFFSET(CalibData2!$M$3,1,0,$Q$2),ROW()+COLUMN()/100,OFFSET(CalibData2!$O$3,1,0,$Q$2))</f>
        <v>0.14383561643835618</v>
      </c>
      <c r="H36" s="224"/>
      <c r="I36" s="224"/>
      <c r="J36" s="41">
        <f ca="1">SUMIF(OFFSET(CalibData2!$M$3,1,0,$Q$2),ROW()+COLUMN()/100,OFFSET(CalibData2!$O$3,1,0,$Q$2))</f>
        <v>0</v>
      </c>
      <c r="K36" s="224"/>
      <c r="L36" s="224"/>
      <c r="M36" s="212">
        <f t="shared" ref="M36:M46" ca="1" si="2">SUM(B36:L36)</f>
        <v>0.99999999999999989</v>
      </c>
      <c r="N36" s="195"/>
      <c r="O36" s="195"/>
      <c r="P36" s="195"/>
      <c r="V36" s="171"/>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row>
    <row r="37" spans="1:45">
      <c r="A37" s="211" t="s">
        <v>663</v>
      </c>
      <c r="B37" s="41">
        <f t="shared" ca="1" si="1"/>
        <v>0.77</v>
      </c>
      <c r="C37" s="300"/>
      <c r="D37" s="41">
        <f ca="1">SUMIF(OFFSET(CalibData2!$M$3,1,0,$Q$2),ROW()+COLUMN()/100,OFFSET(CalibData2!$O$3,1,0,$Q$2))</f>
        <v>0.23</v>
      </c>
      <c r="E37" s="224"/>
      <c r="F37" s="224"/>
      <c r="G37" s="41">
        <f ca="1">SUMIF(OFFSET(CalibData2!$M$3,1,0,$Q$2),ROW()+COLUMN()/100,OFFSET(CalibData2!$O$3,1,0,$Q$2))</f>
        <v>0</v>
      </c>
      <c r="H37" s="224"/>
      <c r="I37" s="224"/>
      <c r="J37" s="41">
        <f ca="1">SUMIF(OFFSET(CalibData2!$M$3,1,0,$Q$2),ROW()+COLUMN()/100,OFFSET(CalibData2!$O$3,1,0,$Q$2))</f>
        <v>0</v>
      </c>
      <c r="K37" s="224"/>
      <c r="L37" s="224"/>
      <c r="M37" s="212">
        <f t="shared" ca="1" si="2"/>
        <v>1</v>
      </c>
      <c r="N37" s="195"/>
      <c r="O37" s="195"/>
      <c r="P37" s="195"/>
    </row>
    <row r="38" spans="1:45">
      <c r="A38" s="211" t="s">
        <v>574</v>
      </c>
      <c r="B38" s="70">
        <f t="shared" ca="1" si="1"/>
        <v>0.76</v>
      </c>
      <c r="C38" s="301"/>
      <c r="D38" s="41">
        <f ca="1">SUMIF(OFFSET(CalibData2!$M$3,1,0,$Q$2),ROW()+COLUMN()/100,OFFSET(CalibData2!$O$3,1,0,$Q$2))</f>
        <v>0.24</v>
      </c>
      <c r="E38" s="225"/>
      <c r="F38" s="225"/>
      <c r="G38" s="225"/>
      <c r="H38" s="225"/>
      <c r="I38" s="225"/>
      <c r="J38" s="41">
        <f ca="1">SUMIF(OFFSET(CalibData2!$M$3,1,0,$Q$2),ROW()+COLUMN()/100,OFFSET(CalibData2!$O$3,1,0,$Q$2))</f>
        <v>0</v>
      </c>
      <c r="K38" s="225"/>
      <c r="L38" s="225"/>
      <c r="M38" s="212">
        <f t="shared" ca="1" si="2"/>
        <v>1</v>
      </c>
      <c r="N38" s="195"/>
      <c r="O38" s="195"/>
      <c r="P38" s="195"/>
      <c r="V38" s="171"/>
    </row>
    <row r="39" spans="1:45">
      <c r="A39" s="211" t="s">
        <v>576</v>
      </c>
      <c r="B39" s="70">
        <f t="shared" ca="1" si="1"/>
        <v>0.38500000000000001</v>
      </c>
      <c r="C39" s="301"/>
      <c r="D39" s="41">
        <f ca="1">SUMIF(OFFSET(CalibData2!$M$3,1,0,$Q$2),ROW()+COLUMN()/100,OFFSET(CalibData2!$O$3,1,0,$Q$2))</f>
        <v>0.115</v>
      </c>
      <c r="E39" s="225"/>
      <c r="F39" s="225"/>
      <c r="G39" s="41">
        <f ca="1">SUMIF(OFFSET(CalibData2!$M$3,1,0,$Q$2),ROW()+COLUMN()/100,OFFSET(CalibData2!$O$3,1,0,$Q$2))</f>
        <v>0.1</v>
      </c>
      <c r="H39" s="225"/>
      <c r="I39" s="225"/>
      <c r="J39" s="41">
        <f ca="1">SUMIF(OFFSET(CalibData2!$M$3,1,0,$Q$2),ROW()+COLUMN()/100,OFFSET(CalibData2!$O$3,1,0,$Q$2))</f>
        <v>0.4</v>
      </c>
      <c r="K39" s="225"/>
      <c r="L39" s="41">
        <f ca="1">SUMIF(OFFSET(CalibData2!$M$3,1,0,$Q$2),ROW()+COLUMN()/100,OFFSET(CalibData2!$O$3,1,0,$Q$2))</f>
        <v>0</v>
      </c>
      <c r="M39" s="212">
        <f t="shared" ca="1" si="2"/>
        <v>1</v>
      </c>
      <c r="N39" s="195"/>
      <c r="O39" s="195"/>
      <c r="P39" s="195"/>
      <c r="V39" s="171"/>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row>
    <row r="40" spans="1:45">
      <c r="A40" s="211" t="s">
        <v>664</v>
      </c>
      <c r="B40" s="70">
        <f t="shared" ca="1" si="1"/>
        <v>0.77</v>
      </c>
      <c r="C40" s="301"/>
      <c r="D40" s="41">
        <f ca="1">SUMIF(OFFSET(CalibData2!$M$3,1,0,$Q$2),ROW()+COLUMN()/100,OFFSET(CalibData2!$O$3,1,0,$Q$2))</f>
        <v>0.23</v>
      </c>
      <c r="E40" s="225"/>
      <c r="F40" s="225"/>
      <c r="G40" s="41">
        <f ca="1">SUMIF(OFFSET(CalibData2!$M$3,1,0,$Q$2),ROW()+COLUMN()/100,OFFSET(CalibData2!$O$3,1,0,$Q$2))</f>
        <v>0</v>
      </c>
      <c r="H40" s="225"/>
      <c r="I40" s="225"/>
      <c r="J40" s="41">
        <f ca="1">SUMIF(OFFSET(CalibData2!$M$3,1,0,$Q$2),ROW()+COLUMN()/100,OFFSET(CalibData2!$O$3,1,0,$Q$2))</f>
        <v>0</v>
      </c>
      <c r="K40" s="225"/>
      <c r="L40" s="225"/>
      <c r="M40" s="212">
        <f t="shared" ca="1" si="2"/>
        <v>1</v>
      </c>
      <c r="N40" s="195"/>
      <c r="O40" s="195"/>
      <c r="P40" s="195"/>
      <c r="V40" s="171"/>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row>
    <row r="41" spans="1:45">
      <c r="A41" s="211" t="s">
        <v>665</v>
      </c>
      <c r="B41" s="70">
        <f t="shared" ca="1" si="1"/>
        <v>0.39</v>
      </c>
      <c r="C41" s="301"/>
      <c r="D41" s="41">
        <f ca="1">SUMIF(OFFSET(CalibData2!$M$3,1,0,$Q$2),ROW()+COLUMN()/100,OFFSET(CalibData2!$O$3,1,0,$Q$2))</f>
        <v>0.3</v>
      </c>
      <c r="E41" s="225"/>
      <c r="F41" s="225"/>
      <c r="G41" s="41">
        <f ca="1">SUMIF(OFFSET(CalibData2!$M$3,1,0,$Q$2),ROW()+COLUMN()/100,OFFSET(CalibData2!$O$3,1,0,$Q$2))</f>
        <v>0</v>
      </c>
      <c r="H41" s="225"/>
      <c r="I41" s="225"/>
      <c r="J41" s="41">
        <f ca="1">SUMIF(OFFSET(CalibData2!$M$3,1,0,$Q$2),ROW()+COLUMN()/100,OFFSET(CalibData2!$O$3,1,0,$Q$2))</f>
        <v>0.31</v>
      </c>
      <c r="K41" s="225"/>
      <c r="L41" s="225"/>
      <c r="M41" s="212">
        <f t="shared" ca="1" si="2"/>
        <v>1</v>
      </c>
      <c r="N41" s="195"/>
      <c r="O41" s="195"/>
      <c r="P41" s="195"/>
      <c r="V41" s="171"/>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row>
    <row r="42" spans="1:45">
      <c r="A42" s="211" t="s">
        <v>588</v>
      </c>
      <c r="B42" s="70">
        <f t="shared" ca="1" si="1"/>
        <v>0.83040000000000003</v>
      </c>
      <c r="C42" s="301"/>
      <c r="D42" s="41">
        <f ca="1">SUMIF(OFFSET(CalibData2!$M$3,1,0,$Q$2),ROW()+COLUMN()/100,OFFSET(CalibData2!$O$3,1,0,$Q$2))</f>
        <v>0.1656</v>
      </c>
      <c r="E42" s="225"/>
      <c r="F42" s="225"/>
      <c r="G42" s="41">
        <f ca="1">SUMIF(OFFSET(CalibData2!$M$3,1,0,$Q$2),ROW()+COLUMN()/100,OFFSET(CalibData2!$O$3,1,0,$Q$2))</f>
        <v>4.0000000000000001E-3</v>
      </c>
      <c r="H42" s="225"/>
      <c r="I42" s="225"/>
      <c r="J42" s="41">
        <f ca="1">SUMIF(OFFSET(CalibData2!$M$3,1,0,$Q$2),ROW()+COLUMN()/100,OFFSET(CalibData2!$O$3,1,0,$Q$2))</f>
        <v>0</v>
      </c>
      <c r="K42" s="225"/>
      <c r="L42" s="225"/>
      <c r="M42" s="212">
        <f t="shared" ca="1" si="2"/>
        <v>1</v>
      </c>
      <c r="N42" s="195"/>
      <c r="O42" s="195"/>
      <c r="P42" s="195"/>
      <c r="V42" s="171"/>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row>
    <row r="43" spans="1:45">
      <c r="A43" s="211" t="s">
        <v>247</v>
      </c>
      <c r="B43" s="70">
        <f t="shared" ca="1" si="1"/>
        <v>0.2170489686188728</v>
      </c>
      <c r="C43" s="41">
        <f ca="1">SUMIF(OFFSET(CalibData2!$M$3,1,0,$Q$2),ROW()+COLUMN()/100,OFFSET(CalibData2!$O$3,1,0,$Q$2))</f>
        <v>1.746357747851136E-2</v>
      </c>
      <c r="D43" s="41">
        <f ca="1">SUMIF(OFFSET(CalibData2!$M$3,1,0,$Q$2),ROW()+COLUMN()/100,OFFSET(CalibData2!$O$3,1,0,$Q$2))</f>
        <v>8.4407932240672751E-2</v>
      </c>
      <c r="E43" s="41">
        <f ca="1">SUMIF(OFFSET(CalibData2!$M$3,1,0,$Q$2),ROW()+COLUMN()/100,OFFSET(CalibData2!$O$3,1,0,$Q$2))</f>
        <v>9.3601419593391869E-2</v>
      </c>
      <c r="F43" s="41">
        <f ca="1">SUMIF(OFFSET(CalibData2!$M$3,1,0,$Q$2),ROW()+COLUMN()/100,OFFSET(CalibData2!$O$3,1,0,$Q$2))</f>
        <v>1.1525000719090904E-2</v>
      </c>
      <c r="G43" s="41">
        <f ca="1">SUMIF(OFFSET(CalibData2!$M$3,1,0,$Q$2),ROW()+COLUMN()/100,OFFSET(CalibData2!$O$3,1,0,$Q$2))</f>
        <v>4.0246160801410337E-2</v>
      </c>
      <c r="H43" s="41">
        <f ca="1">SUMIF(OFFSET(CalibData2!$M$3,1,0,$Q$2),ROW()+COLUMN()/100,OFFSET(CalibData2!$O$3,1,0,$Q$2))</f>
        <v>1.6647223260909085E-2</v>
      </c>
      <c r="I43" s="41">
        <f ca="1">SUMIF(OFFSET(CalibData2!$M$3,1,0,$Q$2),ROW()+COLUMN()/100,OFFSET(CalibData2!$O$3,1,0,$Q$2))</f>
        <v>2.369027925590908E-2</v>
      </c>
      <c r="J43" s="225"/>
      <c r="K43" s="41">
        <f ca="1">SUMIF(OFFSET(CalibData2!$M$3,1,0,$Q$2),ROW()+COLUMN()/100,OFFSET(CalibData2!$O$3,1,0,$Q$2))</f>
        <v>0.3724360970275955</v>
      </c>
      <c r="L43" s="41">
        <f ca="1">SUMIF(OFFSET(CalibData2!$M$3,1,0,$Q$2),ROW()+COLUMN()/100,OFFSET(CalibData2!$O$3,1,0,$Q$2))</f>
        <v>0.12293334100363632</v>
      </c>
      <c r="M43" s="212">
        <f t="shared" ca="1" si="2"/>
        <v>1</v>
      </c>
      <c r="N43" s="195"/>
      <c r="O43" s="195"/>
      <c r="P43" s="195"/>
      <c r="V43" s="171"/>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row>
    <row r="44" spans="1:45">
      <c r="A44" s="211" t="s">
        <v>414</v>
      </c>
      <c r="B44" s="42">
        <f t="shared" ca="1" si="1"/>
        <v>0.76</v>
      </c>
      <c r="C44" s="302"/>
      <c r="D44" s="41">
        <f ca="1">SUMIF(OFFSET(CalibData2!$M$3,1,0,$Q$2),ROW()+COLUMN()/100,OFFSET(CalibData2!$O$3,1,0,$Q$2))</f>
        <v>0.24</v>
      </c>
      <c r="E44" s="226"/>
      <c r="F44" s="226"/>
      <c r="G44" s="226"/>
      <c r="H44" s="226"/>
      <c r="I44" s="226"/>
      <c r="J44" s="41">
        <f ca="1">SUMIF(OFFSET(CalibData2!$M$3,1,0,$Q$2),ROW()+COLUMN()/100,OFFSET(CalibData2!$O$3,1,0,$Q$2))</f>
        <v>0</v>
      </c>
      <c r="K44" s="226"/>
      <c r="L44" s="226"/>
      <c r="M44" s="212">
        <f t="shared" ca="1" si="2"/>
        <v>1</v>
      </c>
      <c r="N44" s="195"/>
      <c r="O44" s="195"/>
      <c r="P44" s="195"/>
      <c r="V44" s="171"/>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row>
    <row r="45" spans="1:45">
      <c r="A45" s="211" t="s">
        <v>245</v>
      </c>
      <c r="B45" s="70">
        <f t="shared" ca="1" si="1"/>
        <v>1</v>
      </c>
      <c r="C45" s="41">
        <f ca="1">SUMIF(OFFSET(CalibData2!$M$3,1,0,$Q$2),ROW()+COLUMN()/100,OFFSET(CalibData2!$O$3,1,0,$Q$2))</f>
        <v>0</v>
      </c>
      <c r="D45" s="41">
        <f ca="1">SUMIF(OFFSET(CalibData2!$M$3,1,0,$Q$2),ROW()+COLUMN()/100,OFFSET(CalibData2!$O$3,1,0,$Q$2))</f>
        <v>0</v>
      </c>
      <c r="E45" s="225"/>
      <c r="F45" s="225"/>
      <c r="G45" s="225"/>
      <c r="H45" s="225"/>
      <c r="I45" s="225"/>
      <c r="J45" s="41">
        <f ca="1">SUMIF(OFFSET(CalibData2!$M$3,1,0,$Q$2),ROW()+COLUMN()/100,OFFSET(CalibData2!$O$3,1,0,$Q$2))</f>
        <v>0</v>
      </c>
      <c r="K45" s="225"/>
      <c r="L45" s="225"/>
      <c r="M45" s="212">
        <f t="shared" ca="1" si="2"/>
        <v>1</v>
      </c>
      <c r="N45" s="195"/>
      <c r="O45" s="195"/>
      <c r="P45" s="195"/>
      <c r="V45" s="171"/>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row>
    <row r="46" spans="1:45">
      <c r="A46" s="211" t="s">
        <v>246</v>
      </c>
      <c r="B46" s="225">
        <f t="shared" ca="1" si="1"/>
        <v>1</v>
      </c>
      <c r="C46" s="301"/>
      <c r="D46" s="41">
        <f ca="1">SUMIF(OFFSET(CalibData2!$M$3,1,0,$Q$2),ROW()+COLUMN()/100,OFFSET(CalibData2!$O$3,1,0,$Q$2))</f>
        <v>0</v>
      </c>
      <c r="E46" s="225"/>
      <c r="F46" s="225"/>
      <c r="G46" s="41">
        <f ca="1">SUMIF(OFFSET(CalibData2!$M$3,1,0,$Q$2),ROW()+COLUMN()/100,OFFSET(CalibData2!$O$3,1,0,$Q$2))</f>
        <v>0</v>
      </c>
      <c r="H46" s="225"/>
      <c r="I46" s="225"/>
      <c r="J46" s="41">
        <f ca="1">SUMIF(OFFSET(CalibData2!$M$3,1,0,$Q$2),ROW()+COLUMN()/100,OFFSET(CalibData2!$O$3,1,0,$Q$2))</f>
        <v>0</v>
      </c>
      <c r="K46" s="225"/>
      <c r="L46" s="225"/>
      <c r="M46" s="212">
        <f t="shared" ca="1" si="2"/>
        <v>1</v>
      </c>
      <c r="N46" s="195"/>
      <c r="O46" s="195"/>
      <c r="P46" s="195"/>
      <c r="V46" s="171"/>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row>
    <row r="47" spans="1:45">
      <c r="A47" s="195"/>
      <c r="B47" s="195"/>
      <c r="C47" s="195"/>
      <c r="D47" s="195"/>
      <c r="E47" s="195"/>
      <c r="F47" s="195"/>
      <c r="G47" s="195"/>
      <c r="H47" s="216"/>
      <c r="I47" s="216"/>
      <c r="J47" s="216"/>
      <c r="K47" s="216"/>
      <c r="L47" s="216"/>
      <c r="M47" s="216"/>
      <c r="N47" s="195"/>
      <c r="O47" s="195"/>
      <c r="P47" s="195"/>
      <c r="V47" s="171"/>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row>
    <row r="48" spans="1:45" ht="18">
      <c r="A48" s="131" t="s">
        <v>520</v>
      </c>
      <c r="B48" s="98"/>
      <c r="C48" s="98"/>
      <c r="D48" s="98"/>
      <c r="E48" s="98"/>
      <c r="F48" s="98"/>
      <c r="G48" s="98"/>
      <c r="H48" s="216"/>
      <c r="I48" s="216"/>
      <c r="J48" s="216"/>
      <c r="K48" s="216"/>
      <c r="L48" s="216"/>
      <c r="M48" s="216"/>
      <c r="N48" s="195"/>
      <c r="O48" s="195"/>
      <c r="P48" s="195"/>
      <c r="V48" s="171"/>
      <c r="W48" s="172"/>
      <c r="X48" s="172"/>
      <c r="Y48" s="172"/>
      <c r="Z48" s="172"/>
      <c r="AA48" s="172"/>
      <c r="AB48" s="172"/>
      <c r="AC48" s="172"/>
      <c r="AD48" s="172"/>
      <c r="AE48" s="172"/>
      <c r="AF48" s="172"/>
      <c r="AG48" s="172"/>
      <c r="AH48" s="172"/>
      <c r="AI48" s="172"/>
      <c r="AJ48" s="172"/>
      <c r="AK48" s="172"/>
      <c r="AL48" s="172"/>
      <c r="AM48" s="172"/>
      <c r="AN48" s="172"/>
      <c r="AO48" s="172"/>
      <c r="AP48" s="172"/>
      <c r="AQ48" s="172"/>
      <c r="AR48" s="172"/>
      <c r="AS48" s="172"/>
    </row>
    <row r="49" spans="1:45">
      <c r="A49" s="195"/>
      <c r="B49" s="62" t="s">
        <v>458</v>
      </c>
      <c r="C49" s="62" t="s">
        <v>720</v>
      </c>
      <c r="D49" s="62" t="s">
        <v>721</v>
      </c>
      <c r="E49" s="62" t="s">
        <v>722</v>
      </c>
      <c r="F49" s="195"/>
      <c r="G49" s="195"/>
      <c r="H49" s="216"/>
      <c r="I49" s="216"/>
      <c r="J49" s="216">
        <v>0.9</v>
      </c>
      <c r="K49" s="216"/>
      <c r="L49" s="216"/>
      <c r="M49" s="216"/>
      <c r="N49" s="216"/>
      <c r="O49" s="216"/>
      <c r="P49" s="216"/>
      <c r="V49" s="171"/>
      <c r="W49" s="172"/>
      <c r="X49" s="172"/>
      <c r="Y49" s="172"/>
      <c r="Z49" s="172"/>
      <c r="AA49" s="172"/>
      <c r="AB49" s="172"/>
      <c r="AC49" s="172"/>
      <c r="AD49" s="172"/>
      <c r="AE49" s="172"/>
      <c r="AF49" s="172"/>
      <c r="AG49" s="172"/>
      <c r="AH49" s="172"/>
      <c r="AI49" s="172"/>
      <c r="AJ49" s="172"/>
      <c r="AK49" s="172"/>
      <c r="AL49" s="172"/>
      <c r="AM49" s="172"/>
      <c r="AN49" s="172"/>
      <c r="AO49" s="172"/>
      <c r="AP49" s="172"/>
      <c r="AQ49" s="172"/>
      <c r="AR49" s="172"/>
      <c r="AS49" s="172"/>
    </row>
    <row r="50" spans="1:45">
      <c r="A50" s="198" t="s">
        <v>282</v>
      </c>
      <c r="B50" s="195"/>
      <c r="C50" s="195"/>
      <c r="D50" s="195"/>
      <c r="E50" s="195"/>
      <c r="F50" s="195"/>
      <c r="G50" s="198" t="s">
        <v>886</v>
      </c>
      <c r="H50" s="195"/>
      <c r="I50" s="195"/>
      <c r="J50" s="198" t="s">
        <v>887</v>
      </c>
      <c r="K50" s="195"/>
      <c r="L50" s="195"/>
      <c r="M50" s="216"/>
      <c r="N50" s="244"/>
      <c r="O50" s="216"/>
      <c r="P50" s="216"/>
      <c r="V50" s="171"/>
      <c r="W50" s="172"/>
      <c r="X50" s="172"/>
      <c r="Y50" s="172"/>
      <c r="Z50" s="172"/>
      <c r="AA50" s="172"/>
      <c r="AB50" s="172"/>
      <c r="AC50" s="172"/>
      <c r="AD50" s="172"/>
      <c r="AE50" s="172"/>
      <c r="AF50" s="172"/>
      <c r="AG50" s="172"/>
      <c r="AH50" s="172"/>
      <c r="AI50" s="172"/>
      <c r="AJ50" s="172"/>
      <c r="AK50" s="172"/>
      <c r="AL50" s="172"/>
      <c r="AM50" s="172"/>
      <c r="AN50" s="172"/>
      <c r="AO50" s="172"/>
      <c r="AP50" s="172"/>
      <c r="AQ50" s="172"/>
      <c r="AR50" s="172"/>
      <c r="AS50" s="172"/>
    </row>
    <row r="51" spans="1:45">
      <c r="A51" s="198"/>
      <c r="B51" s="198" t="str">
        <f>B$49</f>
        <v>Region1</v>
      </c>
      <c r="C51" s="198" t="str">
        <f>C$49</f>
        <v>Region2</v>
      </c>
      <c r="D51" s="198" t="str">
        <f>D$49</f>
        <v>Region3</v>
      </c>
      <c r="E51" s="198" t="str">
        <f>E$49</f>
        <v>Region4</v>
      </c>
      <c r="F51" s="195" t="s">
        <v>248</v>
      </c>
      <c r="G51" s="198"/>
      <c r="H51" s="198" t="str">
        <f>B49</f>
        <v>Region1</v>
      </c>
      <c r="I51" s="198" t="str">
        <f>C49</f>
        <v>Region2</v>
      </c>
      <c r="J51" s="198" t="str">
        <f>H51</f>
        <v>Region1</v>
      </c>
      <c r="K51" s="198" t="str">
        <f>I51</f>
        <v>Region2</v>
      </c>
      <c r="L51" s="195" t="s">
        <v>248</v>
      </c>
      <c r="M51" s="216"/>
      <c r="N51" s="216"/>
      <c r="O51" s="244"/>
      <c r="P51" s="216"/>
      <c r="V51" s="171"/>
      <c r="W51" s="172"/>
      <c r="X51" s="172"/>
      <c r="Y51" s="172"/>
      <c r="Z51" s="172"/>
      <c r="AA51" s="172"/>
      <c r="AB51" s="172"/>
      <c r="AC51" s="172"/>
      <c r="AD51" s="172"/>
      <c r="AE51" s="172"/>
      <c r="AF51" s="172"/>
      <c r="AG51" s="172"/>
      <c r="AH51" s="172"/>
      <c r="AI51" s="172"/>
      <c r="AJ51" s="172"/>
      <c r="AK51" s="172"/>
      <c r="AL51" s="172"/>
      <c r="AM51" s="172"/>
      <c r="AN51" s="172"/>
      <c r="AO51" s="172"/>
      <c r="AP51" s="172"/>
      <c r="AQ51" s="172"/>
      <c r="AR51" s="172"/>
      <c r="AS51" s="172"/>
    </row>
    <row r="52" spans="1:45">
      <c r="A52" s="195" t="s">
        <v>244</v>
      </c>
      <c r="B52" s="41">
        <f t="shared" ref="B52:B62" ca="1" si="3">MAX(0,1-SUM(C52:E52))</f>
        <v>0.42433984776863432</v>
      </c>
      <c r="C52" s="41">
        <f ca="1">SUMIF(OFFSET(CalibData2!$M$3,1,0,$Q$2),ROW()+COLUMN()/100,OFFSET(CalibData2!$O$3,1,0,$Q$2))</f>
        <v>0.57566015223136568</v>
      </c>
      <c r="D52" s="41">
        <f ca="1">SUMIF(OFFSET(CalibData2!$M$3,1,0,$Q$2),ROW()+COLUMN()/100,OFFSET(CalibData2!$O$3,1,0,$Q$2))</f>
        <v>0</v>
      </c>
      <c r="E52" s="41">
        <f ca="1">SUMIF(OFFSET(CalibData2!$M$3,1,0,$Q$2),ROW()+COLUMN()/100,OFFSET(CalibData2!$O$3,1,0,$Q$2))</f>
        <v>0</v>
      </c>
      <c r="F52" s="228">
        <f t="shared" ref="F52:F62" ca="1" si="4">SUM(B52:E52)</f>
        <v>1</v>
      </c>
      <c r="G52" s="195" t="s">
        <v>244</v>
      </c>
      <c r="H52" s="41">
        <f t="shared" ref="H52:H62" ca="1" si="5">MAX(0,1-I52)</f>
        <v>1</v>
      </c>
      <c r="I52" s="41">
        <f ca="1">SUMIF(OFFSET(CalibData2!$M$3,1,0,$Q$2),ROW()+COLUMN()/100,OFFSET(CalibData2!$O$3,1,0,$Q$2))</f>
        <v>0</v>
      </c>
      <c r="J52" s="40">
        <f t="shared" ref="J52:J62" ca="1" si="6">1-K52</f>
        <v>0.42060237083407226</v>
      </c>
      <c r="K52" s="40">
        <f t="shared" ref="K52:K59" ca="1" si="7">MIN(D36,IF(C$60,K$60*D$44/(C$60*B$44),0.25)*C52*B36)/IF(D36,D36,1)</f>
        <v>0.57939762916592774</v>
      </c>
      <c r="L52" s="228">
        <f t="shared" ref="L52:L62" ca="1" si="8">SUM(H52:I52)</f>
        <v>1</v>
      </c>
      <c r="M52" s="216"/>
      <c r="N52" s="216"/>
      <c r="O52" s="244"/>
      <c r="P52" s="216"/>
    </row>
    <row r="53" spans="1:45">
      <c r="A53" s="195" t="s">
        <v>663</v>
      </c>
      <c r="B53" s="41">
        <f t="shared" ca="1" si="3"/>
        <v>0.63334305637109578</v>
      </c>
      <c r="C53" s="41">
        <f ca="1">SUMIF(OFFSET(CalibData2!$M$3,1,0,$Q$2),ROW()+COLUMN()/100,OFFSET(CalibData2!$O$3,1,0,$Q$2))</f>
        <v>0.36665694362890427</v>
      </c>
      <c r="D53" s="41">
        <f ca="1">SUMIF(OFFSET(CalibData2!$M$3,1,0,$Q$2),ROW()+COLUMN()/100,OFFSET(CalibData2!$O$3,1,0,$Q$2))</f>
        <v>0</v>
      </c>
      <c r="E53" s="41">
        <f ca="1">SUMIF(OFFSET(CalibData2!$M$3,1,0,$Q$2),ROW()+COLUMN()/100,OFFSET(CalibData2!$O$3,1,0,$Q$2))</f>
        <v>0</v>
      </c>
      <c r="F53" s="228">
        <f t="shared" ca="1" si="4"/>
        <v>1</v>
      </c>
      <c r="G53" s="195" t="s">
        <v>663</v>
      </c>
      <c r="H53" s="41">
        <f t="shared" ca="1" si="5"/>
        <v>1</v>
      </c>
      <c r="I53" s="41">
        <f ca="1">SUMIF(OFFSET(CalibData2!$M$3,1,0,$Q$2),ROW()+COLUMN()/100,OFFSET(CalibData2!$O$3,1,0,$Q$2))</f>
        <v>0</v>
      </c>
      <c r="J53" s="40">
        <f t="shared" ca="1" si="6"/>
        <v>0.60985055082073725</v>
      </c>
      <c r="K53" s="40">
        <f t="shared" ca="1" si="7"/>
        <v>0.39014944917926281</v>
      </c>
      <c r="L53" s="228">
        <f t="shared" ca="1" si="8"/>
        <v>1</v>
      </c>
      <c r="M53" s="216"/>
      <c r="N53" s="216"/>
      <c r="O53" s="244"/>
      <c r="P53" s="216"/>
      <c r="V53" s="171"/>
    </row>
    <row r="54" spans="1:45">
      <c r="A54" s="195" t="s">
        <v>574</v>
      </c>
      <c r="B54" s="41">
        <f t="shared" ca="1" si="3"/>
        <v>1</v>
      </c>
      <c r="C54" s="41">
        <f ca="1">SUMIF(OFFSET(CalibData2!$M$3,1,0,$Q$2),ROW()+COLUMN()/100,OFFSET(CalibData2!$O$3,1,0,$Q$2))</f>
        <v>0</v>
      </c>
      <c r="D54" s="41">
        <f ca="1">SUMIF(OFFSET(CalibData2!$M$3,1,0,$Q$2),ROW()+COLUMN()/100,OFFSET(CalibData2!$O$3,1,0,$Q$2))</f>
        <v>0</v>
      </c>
      <c r="E54" s="41">
        <f ca="1">SUMIF(OFFSET(CalibData2!$M$3,1,0,$Q$2),ROW()+COLUMN()/100,OFFSET(CalibData2!$O$3,1,0,$Q$2))</f>
        <v>0</v>
      </c>
      <c r="F54" s="228">
        <f t="shared" ca="1" si="4"/>
        <v>1</v>
      </c>
      <c r="G54" s="195" t="s">
        <v>574</v>
      </c>
      <c r="H54" s="41">
        <f t="shared" ca="1" si="5"/>
        <v>1</v>
      </c>
      <c r="I54" s="41">
        <f ca="1">SUMIF(OFFSET(CalibData2!$M$3,1,0,$Q$2),ROW()+COLUMN()/100,OFFSET(CalibData2!$O$3,1,0,$Q$2))</f>
        <v>0</v>
      </c>
      <c r="J54" s="40">
        <f t="shared" ca="1" si="6"/>
        <v>1</v>
      </c>
      <c r="K54" s="40">
        <f t="shared" ca="1" si="7"/>
        <v>0</v>
      </c>
      <c r="L54" s="228">
        <f t="shared" ca="1" si="8"/>
        <v>1</v>
      </c>
      <c r="M54" s="216"/>
      <c r="N54" s="216"/>
      <c r="O54" s="244"/>
      <c r="P54" s="216"/>
      <c r="V54" s="171"/>
      <c r="W54" s="172"/>
      <c r="X54" s="172"/>
      <c r="Y54" s="172"/>
      <c r="Z54" s="172"/>
      <c r="AA54" s="172"/>
      <c r="AB54" s="172"/>
      <c r="AC54" s="172"/>
      <c r="AD54" s="172"/>
      <c r="AE54" s="172"/>
      <c r="AF54" s="172"/>
      <c r="AG54" s="172"/>
      <c r="AH54" s="172"/>
      <c r="AI54" s="172"/>
      <c r="AJ54" s="172"/>
      <c r="AK54" s="172"/>
      <c r="AL54" s="172"/>
      <c r="AM54" s="172"/>
      <c r="AN54" s="172"/>
      <c r="AO54" s="172"/>
      <c r="AP54" s="172"/>
      <c r="AQ54" s="172"/>
      <c r="AR54" s="172"/>
      <c r="AS54" s="172"/>
    </row>
    <row r="55" spans="1:45">
      <c r="A55" s="195" t="s">
        <v>576</v>
      </c>
      <c r="B55" s="41">
        <f t="shared" ca="1" si="3"/>
        <v>1</v>
      </c>
      <c r="C55" s="41">
        <f ca="1">SUMIF(OFFSET(CalibData2!$M$3,1,0,$Q$2),ROW()+COLUMN()/100,OFFSET(CalibData2!$O$3,1,0,$Q$2))</f>
        <v>0</v>
      </c>
      <c r="D55" s="41">
        <f ca="1">SUMIF(OFFSET(CalibData2!$M$3,1,0,$Q$2),ROW()+COLUMN()/100,OFFSET(CalibData2!$O$3,1,0,$Q$2))</f>
        <v>0</v>
      </c>
      <c r="E55" s="41">
        <f ca="1">SUMIF(OFFSET(CalibData2!$M$3,1,0,$Q$2),ROW()+COLUMN()/100,OFFSET(CalibData2!$O$3,1,0,$Q$2))</f>
        <v>0</v>
      </c>
      <c r="F55" s="228">
        <f t="shared" ca="1" si="4"/>
        <v>1</v>
      </c>
      <c r="G55" s="195" t="s">
        <v>576</v>
      </c>
      <c r="H55" s="41">
        <f t="shared" ca="1" si="5"/>
        <v>1</v>
      </c>
      <c r="I55" s="41">
        <f ca="1">SUMIF(OFFSET(CalibData2!$M$3,1,0,$Q$2),ROW()+COLUMN()/100,OFFSET(CalibData2!$O$3,1,0,$Q$2))</f>
        <v>0</v>
      </c>
      <c r="J55" s="40">
        <f t="shared" ca="1" si="6"/>
        <v>1</v>
      </c>
      <c r="K55" s="40">
        <f t="shared" ca="1" si="7"/>
        <v>0</v>
      </c>
      <c r="L55" s="228">
        <f t="shared" ca="1" si="8"/>
        <v>1</v>
      </c>
      <c r="M55" s="216"/>
      <c r="N55" s="216"/>
      <c r="O55" s="244"/>
      <c r="P55" s="216"/>
      <c r="V55" s="171"/>
      <c r="W55" s="172"/>
      <c r="X55" s="172"/>
      <c r="Y55" s="172"/>
      <c r="Z55" s="172"/>
      <c r="AA55" s="172"/>
      <c r="AB55" s="172"/>
      <c r="AC55" s="172"/>
      <c r="AD55" s="172"/>
      <c r="AE55" s="172"/>
      <c r="AF55" s="172"/>
      <c r="AG55" s="172"/>
      <c r="AH55" s="172"/>
      <c r="AI55" s="172"/>
      <c r="AJ55" s="172"/>
      <c r="AK55" s="172"/>
      <c r="AL55" s="172"/>
      <c r="AM55" s="172"/>
      <c r="AN55" s="172"/>
      <c r="AO55" s="172"/>
      <c r="AP55" s="172"/>
      <c r="AQ55" s="172"/>
      <c r="AR55" s="172"/>
      <c r="AS55" s="172"/>
    </row>
    <row r="56" spans="1:45" ht="12.6" customHeight="1">
      <c r="A56" s="195" t="s">
        <v>664</v>
      </c>
      <c r="B56" s="41">
        <f t="shared" ca="1" si="3"/>
        <v>1</v>
      </c>
      <c r="C56" s="41">
        <f ca="1">SUMIF(OFFSET(CalibData2!$M$3,1,0,$Q$2),ROW()+COLUMN()/100,OFFSET(CalibData2!$O$3,1,0,$Q$2))</f>
        <v>0</v>
      </c>
      <c r="D56" s="41">
        <f ca="1">SUMIF(OFFSET(CalibData2!$M$3,1,0,$Q$2),ROW()+COLUMN()/100,OFFSET(CalibData2!$O$3,1,0,$Q$2))</f>
        <v>0</v>
      </c>
      <c r="E56" s="41">
        <f ca="1">SUMIF(OFFSET(CalibData2!$M$3,1,0,$Q$2),ROW()+COLUMN()/100,OFFSET(CalibData2!$O$3,1,0,$Q$2))</f>
        <v>0</v>
      </c>
      <c r="F56" s="228">
        <f t="shared" ca="1" si="4"/>
        <v>1</v>
      </c>
      <c r="G56" s="195" t="s">
        <v>664</v>
      </c>
      <c r="H56" s="41">
        <f t="shared" ca="1" si="5"/>
        <v>1</v>
      </c>
      <c r="I56" s="41">
        <f ca="1">SUMIF(OFFSET(CalibData2!$M$3,1,0,$Q$2),ROW()+COLUMN()/100,OFFSET(CalibData2!$O$3,1,0,$Q$2))</f>
        <v>0</v>
      </c>
      <c r="J56" s="40">
        <f t="shared" ca="1" si="6"/>
        <v>1</v>
      </c>
      <c r="K56" s="40">
        <f t="shared" ca="1" si="7"/>
        <v>0</v>
      </c>
      <c r="L56" s="228">
        <f t="shared" ca="1" si="8"/>
        <v>1</v>
      </c>
      <c r="M56" s="216"/>
      <c r="N56" s="216"/>
      <c r="O56" s="244"/>
      <c r="P56" s="216"/>
      <c r="V56" s="171"/>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row>
    <row r="57" spans="1:45" ht="13.5" customHeight="1">
      <c r="A57" s="195" t="s">
        <v>665</v>
      </c>
      <c r="B57" s="41">
        <f t="shared" ca="1" si="3"/>
        <v>1</v>
      </c>
      <c r="C57" s="41">
        <f ca="1">SUMIF(OFFSET(CalibData2!$M$3,1,0,$Q$2),ROW()+COLUMN()/100,OFFSET(CalibData2!$O$3,1,0,$Q$2))</f>
        <v>0</v>
      </c>
      <c r="D57" s="41">
        <f ca="1">SUMIF(OFFSET(CalibData2!$M$3,1,0,$Q$2),ROW()+COLUMN()/100,OFFSET(CalibData2!$O$3,1,0,$Q$2))</f>
        <v>0</v>
      </c>
      <c r="E57" s="41">
        <f ca="1">SUMIF(OFFSET(CalibData2!$M$3,1,0,$Q$2),ROW()+COLUMN()/100,OFFSET(CalibData2!$O$3,1,0,$Q$2))</f>
        <v>0</v>
      </c>
      <c r="F57" s="228">
        <f t="shared" ca="1" si="4"/>
        <v>1</v>
      </c>
      <c r="G57" s="195" t="s">
        <v>665</v>
      </c>
      <c r="H57" s="41">
        <f t="shared" ca="1" si="5"/>
        <v>1</v>
      </c>
      <c r="I57" s="41">
        <f ca="1">SUMIF(OFFSET(CalibData2!$M$3,1,0,$Q$2),ROW()+COLUMN()/100,OFFSET(CalibData2!$O$3,1,0,$Q$2))</f>
        <v>0</v>
      </c>
      <c r="J57" s="40">
        <f t="shared" ca="1" si="6"/>
        <v>1</v>
      </c>
      <c r="K57" s="40">
        <f t="shared" ca="1" si="7"/>
        <v>0</v>
      </c>
      <c r="L57" s="228">
        <f t="shared" ca="1" si="8"/>
        <v>1</v>
      </c>
      <c r="M57" s="216"/>
      <c r="N57" s="216"/>
      <c r="O57" s="216"/>
      <c r="P57" s="216"/>
      <c r="V57" s="171"/>
      <c r="W57" s="172"/>
      <c r="X57" s="172"/>
      <c r="Y57" s="172"/>
      <c r="Z57" s="172"/>
      <c r="AA57" s="172"/>
      <c r="AB57" s="172"/>
      <c r="AC57" s="172"/>
      <c r="AD57" s="172"/>
      <c r="AE57" s="172"/>
      <c r="AF57" s="172"/>
      <c r="AG57" s="172"/>
      <c r="AH57" s="172"/>
      <c r="AI57" s="172"/>
      <c r="AJ57" s="172"/>
      <c r="AK57" s="172"/>
      <c r="AL57" s="172"/>
      <c r="AM57" s="172"/>
      <c r="AN57" s="172"/>
      <c r="AO57" s="172"/>
      <c r="AP57" s="172"/>
      <c r="AQ57" s="172"/>
      <c r="AR57" s="172"/>
      <c r="AS57" s="172"/>
    </row>
    <row r="58" spans="1:45">
      <c r="A58" s="196" t="s">
        <v>588</v>
      </c>
      <c r="B58" s="41">
        <f t="shared" ca="1" si="3"/>
        <v>0.82163117319699808</v>
      </c>
      <c r="C58" s="41">
        <f ca="1">SUMIF(OFFSET(CalibData2!$M$3,1,0,$Q$2),ROW()+COLUMN()/100,OFFSET(CalibData2!$O$3,1,0,$Q$2))</f>
        <v>0.1783688268030019</v>
      </c>
      <c r="D58" s="41">
        <f ca="1">SUMIF(OFFSET(CalibData2!$M$3,1,0,$Q$2),ROW()+COLUMN()/100,OFFSET(CalibData2!$O$3,1,0,$Q$2))</f>
        <v>0</v>
      </c>
      <c r="E58" s="41">
        <f ca="1">SUMIF(OFFSET(CalibData2!$M$3,1,0,$Q$2),ROW()+COLUMN()/100,OFFSET(CalibData2!$O$3,1,0,$Q$2))</f>
        <v>0</v>
      </c>
      <c r="F58" s="228">
        <f t="shared" ca="1" si="4"/>
        <v>1</v>
      </c>
      <c r="G58" s="196" t="s">
        <v>588</v>
      </c>
      <c r="H58" s="41">
        <f t="shared" ca="1" si="5"/>
        <v>1</v>
      </c>
      <c r="I58" s="41">
        <f ca="1">SUMIF(OFFSET(CalibData2!$M$3,1,0,$Q$2),ROW()+COLUMN()/100,OFFSET(CalibData2!$O$3,1,0,$Q$2))</f>
        <v>0</v>
      </c>
      <c r="J58" s="40">
        <f t="shared" ca="1" si="6"/>
        <v>0.71571486012670804</v>
      </c>
      <c r="K58" s="40">
        <f t="shared" ca="1" si="7"/>
        <v>0.2842851398732919</v>
      </c>
      <c r="L58" s="228">
        <f t="shared" ca="1" si="8"/>
        <v>1</v>
      </c>
      <c r="M58" s="216"/>
      <c r="N58" s="216"/>
      <c r="O58" s="216"/>
      <c r="P58" s="216"/>
      <c r="V58" s="171"/>
      <c r="W58" s="172"/>
      <c r="X58" s="172"/>
      <c r="Y58" s="172"/>
      <c r="Z58" s="172"/>
      <c r="AA58" s="172"/>
      <c r="AB58" s="172"/>
      <c r="AC58" s="172"/>
      <c r="AD58" s="172"/>
      <c r="AE58" s="172"/>
      <c r="AF58" s="172"/>
      <c r="AG58" s="172"/>
      <c r="AH58" s="172"/>
      <c r="AI58" s="172"/>
      <c r="AJ58" s="172"/>
      <c r="AK58" s="172"/>
      <c r="AL58" s="172"/>
      <c r="AM58" s="172"/>
      <c r="AN58" s="172"/>
      <c r="AO58" s="172"/>
      <c r="AP58" s="172"/>
      <c r="AQ58" s="172"/>
      <c r="AR58" s="172"/>
      <c r="AS58" s="172"/>
    </row>
    <row r="59" spans="1:45">
      <c r="A59" s="195" t="s">
        <v>247</v>
      </c>
      <c r="B59" s="41">
        <f t="shared" ca="1" si="3"/>
        <v>0.82987193192794861</v>
      </c>
      <c r="C59" s="41">
        <f ca="1">SUMIF(OFFSET(CalibData2!$M$3,1,0,$Q$2),ROW()+COLUMN()/100,OFFSET(CalibData2!$O$3,1,0,$Q$2))</f>
        <v>0.17012806807205136</v>
      </c>
      <c r="D59" s="41">
        <f ca="1">SUMIF(OFFSET(CalibData2!$M$3,1,0,$Q$2),ROW()+COLUMN()/100,OFFSET(CalibData2!$O$3,1,0,$Q$2))</f>
        <v>0</v>
      </c>
      <c r="E59" s="41">
        <f ca="1">SUMIF(OFFSET(CalibData2!$M$3,1,0,$Q$2),ROW()+COLUMN()/100,OFFSET(CalibData2!$O$3,1,0,$Q$2))</f>
        <v>0</v>
      </c>
      <c r="F59" s="228">
        <f t="shared" ca="1" si="4"/>
        <v>1</v>
      </c>
      <c r="G59" s="195" t="s">
        <v>247</v>
      </c>
      <c r="H59" s="41">
        <f t="shared" ca="1" si="5"/>
        <v>1</v>
      </c>
      <c r="I59" s="41">
        <f ca="1">SUMIF(OFFSET(CalibData2!$M$3,1,0,$Q$2),ROW()+COLUMN()/100,OFFSET(CalibData2!$O$3,1,0,$Q$2))</f>
        <v>0</v>
      </c>
      <c r="J59" s="40">
        <f t="shared" ca="1" si="6"/>
        <v>0.86095395819374154</v>
      </c>
      <c r="K59" s="40">
        <f t="shared" ca="1" si="7"/>
        <v>0.13904604180625843</v>
      </c>
      <c r="L59" s="228">
        <f t="shared" ca="1" si="8"/>
        <v>1</v>
      </c>
      <c r="M59" s="216"/>
      <c r="N59" s="216"/>
      <c r="O59" s="216"/>
      <c r="P59" s="216"/>
      <c r="V59" s="171"/>
      <c r="W59" s="172"/>
      <c r="X59" s="172"/>
      <c r="Y59" s="172"/>
      <c r="Z59" s="172"/>
      <c r="AA59" s="172"/>
      <c r="AB59" s="172"/>
      <c r="AC59" s="172"/>
      <c r="AD59" s="172"/>
      <c r="AE59" s="172"/>
      <c r="AF59" s="172"/>
      <c r="AG59" s="172"/>
      <c r="AH59" s="172"/>
      <c r="AI59" s="172"/>
      <c r="AJ59" s="172"/>
      <c r="AK59" s="172"/>
      <c r="AL59" s="172"/>
      <c r="AM59" s="172"/>
      <c r="AN59" s="172"/>
      <c r="AO59" s="172"/>
      <c r="AP59" s="172"/>
      <c r="AQ59" s="172"/>
      <c r="AR59" s="172"/>
      <c r="AS59" s="172"/>
    </row>
    <row r="60" spans="1:45">
      <c r="A60" s="195" t="s">
        <v>646</v>
      </c>
      <c r="B60" s="41">
        <f t="shared" ca="1" si="3"/>
        <v>6.450625177639091E-2</v>
      </c>
      <c r="C60" s="41">
        <f ca="1">SUMIF(OFFSET(CalibData2!$M$3,1,0,$Q$2),ROW()+COLUMN()/100,OFFSET(CalibData2!$O$3,1,0,$Q$2))</f>
        <v>0.93549374822360909</v>
      </c>
      <c r="D60" s="41">
        <f ca="1">SUMIF(OFFSET(CalibData2!$M$3,1,0,$Q$2),ROW()+COLUMN()/100,OFFSET(CalibData2!$O$3,1,0,$Q$2))</f>
        <v>0</v>
      </c>
      <c r="E60" s="41">
        <f ca="1">SUMIF(OFFSET(CalibData2!$M$3,1,0,$Q$2),ROW()+COLUMN()/100,OFFSET(CalibData2!$O$3,1,0,$Q$2))</f>
        <v>0</v>
      </c>
      <c r="F60" s="228">
        <f t="shared" ca="1" si="4"/>
        <v>1</v>
      </c>
      <c r="G60" s="195" t="s">
        <v>646</v>
      </c>
      <c r="H60" s="41">
        <f t="shared" ca="1" si="5"/>
        <v>1</v>
      </c>
      <c r="I60" s="41">
        <f ca="1">SUMIF(OFFSET(CalibData2!$M$3,1,0,$Q$2),ROW()+COLUMN()/100,OFFSET(CalibData2!$O$3,1,0,$Q$2))</f>
        <v>0</v>
      </c>
      <c r="J60" s="40">
        <f t="shared" ca="1" si="6"/>
        <v>5.8432553096952722E-2</v>
      </c>
      <c r="K60" s="40">
        <f ca="1">IF(B60,1-1/(1+C60/(B60*$J$49)),1)</f>
        <v>0.94156744690304728</v>
      </c>
      <c r="L60" s="228">
        <f t="shared" ca="1" si="8"/>
        <v>1</v>
      </c>
      <c r="M60" s="216"/>
      <c r="N60" s="216"/>
      <c r="O60" s="216"/>
      <c r="P60" s="216"/>
      <c r="V60" s="171"/>
      <c r="W60" s="172"/>
      <c r="X60" s="172"/>
      <c r="Y60" s="172"/>
      <c r="Z60" s="172"/>
      <c r="AA60" s="172"/>
      <c r="AB60" s="172"/>
      <c r="AC60" s="172"/>
      <c r="AD60" s="172"/>
      <c r="AE60" s="172"/>
      <c r="AF60" s="172"/>
      <c r="AG60" s="172"/>
      <c r="AH60" s="172"/>
      <c r="AI60" s="172"/>
      <c r="AJ60" s="172"/>
      <c r="AK60" s="172"/>
      <c r="AL60" s="172"/>
      <c r="AM60" s="172"/>
      <c r="AN60" s="172"/>
      <c r="AO60" s="172"/>
      <c r="AP60" s="172"/>
      <c r="AQ60" s="172"/>
      <c r="AR60" s="172"/>
      <c r="AS60" s="172"/>
    </row>
    <row r="61" spans="1:45">
      <c r="A61" s="195" t="s">
        <v>245</v>
      </c>
      <c r="B61" s="41">
        <f t="shared" ca="1" si="3"/>
        <v>1</v>
      </c>
      <c r="C61" s="41">
        <f ca="1">SUMIF(OFFSET(CalibData2!$M$3,1,0,$Q$2),ROW()+COLUMN()/100,OFFSET(CalibData2!$O$3,1,0,$Q$2))</f>
        <v>0</v>
      </c>
      <c r="D61" s="41">
        <f ca="1">SUMIF(OFFSET(CalibData2!$M$3,1,0,$Q$2),ROW()+COLUMN()/100,OFFSET(CalibData2!$O$3,1,0,$Q$2))</f>
        <v>0</v>
      </c>
      <c r="E61" s="41">
        <f ca="1">SUMIF(OFFSET(CalibData2!$M$3,1,0,$Q$2),ROW()+COLUMN()/100,OFFSET(CalibData2!$O$3,1,0,$Q$2))</f>
        <v>0</v>
      </c>
      <c r="F61" s="228">
        <f t="shared" ca="1" si="4"/>
        <v>1</v>
      </c>
      <c r="G61" s="195" t="s">
        <v>245</v>
      </c>
      <c r="H61" s="41">
        <f t="shared" ca="1" si="5"/>
        <v>1</v>
      </c>
      <c r="I61" s="41">
        <f ca="1">SUMIF(OFFSET(CalibData2!$M$3,1,0,$Q$2),ROW()+COLUMN()/100,OFFSET(CalibData2!$O$3,1,0,$Q$2))</f>
        <v>0</v>
      </c>
      <c r="J61" s="40">
        <f t="shared" ca="1" si="6"/>
        <v>1</v>
      </c>
      <c r="K61" s="40">
        <f ca="1">MIN(D45,IF(C$60,K$60*D$44/(C$60*B$44),0.25)*C61*B45)/IF(D45,D45,1)</f>
        <v>0</v>
      </c>
      <c r="L61" s="228">
        <f t="shared" ca="1" si="8"/>
        <v>1</v>
      </c>
      <c r="M61" s="195"/>
      <c r="N61" s="195"/>
      <c r="O61" s="195"/>
      <c r="P61" s="195"/>
      <c r="V61" s="171"/>
      <c r="W61" s="172"/>
      <c r="X61" s="172"/>
      <c r="Y61" s="172"/>
      <c r="Z61" s="172"/>
      <c r="AA61" s="172"/>
      <c r="AB61" s="172"/>
      <c r="AC61" s="172"/>
      <c r="AD61" s="172"/>
      <c r="AE61" s="172"/>
      <c r="AF61" s="172"/>
      <c r="AG61" s="172"/>
      <c r="AH61" s="172"/>
      <c r="AI61" s="172"/>
      <c r="AJ61" s="172"/>
      <c r="AK61" s="172"/>
      <c r="AL61" s="172"/>
      <c r="AM61" s="172"/>
      <c r="AN61" s="172"/>
      <c r="AO61" s="172"/>
      <c r="AP61" s="172"/>
      <c r="AQ61" s="172"/>
      <c r="AR61" s="172"/>
      <c r="AS61" s="172"/>
    </row>
    <row r="62" spans="1:45">
      <c r="A62" s="195" t="s">
        <v>246</v>
      </c>
      <c r="B62" s="41">
        <f t="shared" ca="1" si="3"/>
        <v>1</v>
      </c>
      <c r="C62" s="41">
        <f ca="1">SUMIF(OFFSET(CalibData2!$M$3,1,0,$Q$2),ROW()+COLUMN()/100,OFFSET(CalibData2!$O$3,1,0,$Q$2))</f>
        <v>0</v>
      </c>
      <c r="D62" s="41">
        <f ca="1">SUMIF(OFFSET(CalibData2!$M$3,1,0,$Q$2),ROW()+COLUMN()/100,OFFSET(CalibData2!$O$3,1,0,$Q$2))</f>
        <v>0</v>
      </c>
      <c r="E62" s="41">
        <f ca="1">SUMIF(OFFSET(CalibData2!$M$3,1,0,$Q$2),ROW()+COLUMN()/100,OFFSET(CalibData2!$O$3,1,0,$Q$2))</f>
        <v>0</v>
      </c>
      <c r="F62" s="228">
        <f t="shared" ca="1" si="4"/>
        <v>1</v>
      </c>
      <c r="G62" s="195" t="s">
        <v>246</v>
      </c>
      <c r="H62" s="41">
        <f t="shared" ca="1" si="5"/>
        <v>1</v>
      </c>
      <c r="I62" s="41">
        <f ca="1">SUMIF(OFFSET(CalibData2!$M$3,1,0,$Q$2),ROW()+COLUMN()/100,OFFSET(CalibData2!$O$3,1,0,$Q$2))</f>
        <v>0</v>
      </c>
      <c r="J62" s="40">
        <f t="shared" ca="1" si="6"/>
        <v>1</v>
      </c>
      <c r="K62" s="40">
        <f ca="1">MIN(D46,IF(C$60,K$60*D$44/(C$60*B$44),0.25)*C62*B46)/IF(D46,D46,1)</f>
        <v>0</v>
      </c>
      <c r="L62" s="228">
        <f t="shared" ca="1" si="8"/>
        <v>1</v>
      </c>
      <c r="M62" s="195"/>
      <c r="N62" s="195"/>
      <c r="O62" s="195"/>
      <c r="P62" s="195"/>
      <c r="V62" s="171"/>
      <c r="W62" s="172"/>
      <c r="X62" s="172"/>
      <c r="Y62" s="172"/>
      <c r="Z62" s="172"/>
      <c r="AA62" s="172"/>
      <c r="AB62" s="172"/>
      <c r="AC62" s="172"/>
      <c r="AD62" s="172"/>
      <c r="AE62" s="172"/>
      <c r="AF62" s="172"/>
      <c r="AG62" s="172"/>
      <c r="AH62" s="172"/>
      <c r="AI62" s="172"/>
      <c r="AJ62" s="172"/>
      <c r="AK62" s="172"/>
      <c r="AL62" s="172"/>
      <c r="AM62" s="172"/>
      <c r="AN62" s="172"/>
      <c r="AO62" s="172"/>
      <c r="AP62" s="172"/>
      <c r="AQ62" s="172"/>
      <c r="AR62" s="172"/>
      <c r="AS62" s="172"/>
    </row>
    <row r="63" spans="1:45">
      <c r="A63" s="195"/>
      <c r="B63" s="195"/>
      <c r="C63" s="195"/>
      <c r="D63" s="195"/>
      <c r="E63" s="195"/>
      <c r="F63" s="205"/>
      <c r="G63" s="195"/>
      <c r="H63" s="195"/>
      <c r="I63" s="195"/>
      <c r="J63" s="195"/>
      <c r="K63" s="195"/>
      <c r="L63" s="195"/>
      <c r="M63" s="195"/>
      <c r="N63" s="195"/>
      <c r="O63" s="195"/>
      <c r="P63" s="195"/>
      <c r="V63" s="171"/>
      <c r="W63" s="172"/>
      <c r="X63" s="172"/>
      <c r="Y63" s="172"/>
      <c r="Z63" s="172"/>
      <c r="AA63" s="172"/>
      <c r="AB63" s="172"/>
      <c r="AC63" s="172"/>
      <c r="AD63" s="172"/>
      <c r="AE63" s="172"/>
      <c r="AF63" s="172"/>
      <c r="AG63" s="172"/>
      <c r="AH63" s="172"/>
      <c r="AI63" s="172"/>
      <c r="AJ63" s="172"/>
      <c r="AK63" s="172"/>
      <c r="AL63" s="172"/>
      <c r="AM63" s="172"/>
      <c r="AN63" s="172"/>
      <c r="AO63" s="172"/>
      <c r="AP63" s="172"/>
      <c r="AQ63" s="172"/>
      <c r="AR63" s="172"/>
      <c r="AS63" s="172"/>
    </row>
    <row r="64" spans="1:45">
      <c r="A64" s="198" t="s">
        <v>283</v>
      </c>
      <c r="B64" s="195"/>
      <c r="C64" s="195"/>
      <c r="D64" s="195"/>
      <c r="E64" s="195"/>
      <c r="F64" s="205"/>
      <c r="G64" s="198" t="s">
        <v>11</v>
      </c>
      <c r="H64" s="195"/>
      <c r="I64" s="195"/>
      <c r="J64" s="195"/>
      <c r="K64" s="195"/>
      <c r="L64" s="195"/>
      <c r="M64" s="195"/>
      <c r="N64" s="195"/>
      <c r="O64" s="195"/>
      <c r="P64" s="195"/>
      <c r="V64" s="171"/>
      <c r="W64" s="172"/>
      <c r="X64" s="172"/>
      <c r="Y64" s="172"/>
      <c r="Z64" s="172"/>
      <c r="AA64" s="172"/>
      <c r="AB64" s="172"/>
      <c r="AC64" s="172"/>
      <c r="AD64" s="172"/>
      <c r="AE64" s="172"/>
      <c r="AF64" s="172"/>
      <c r="AG64" s="172"/>
      <c r="AH64" s="172"/>
      <c r="AI64" s="172"/>
      <c r="AJ64" s="172"/>
      <c r="AK64" s="172"/>
      <c r="AL64" s="172"/>
      <c r="AM64" s="172"/>
      <c r="AN64" s="172"/>
      <c r="AO64" s="172"/>
      <c r="AP64" s="172"/>
      <c r="AQ64" s="172"/>
      <c r="AR64" s="172"/>
      <c r="AS64" s="172"/>
    </row>
    <row r="65" spans="1:45">
      <c r="A65" s="198"/>
      <c r="B65" s="198" t="str">
        <f>B$49</f>
        <v>Region1</v>
      </c>
      <c r="C65" s="198" t="str">
        <f>C$49</f>
        <v>Region2</v>
      </c>
      <c r="D65" s="198" t="str">
        <f>D$49</f>
        <v>Region3</v>
      </c>
      <c r="E65" s="198" t="str">
        <f>E$49</f>
        <v>Region4</v>
      </c>
      <c r="F65" s="205" t="s">
        <v>248</v>
      </c>
      <c r="G65" s="198"/>
      <c r="H65" s="198" t="str">
        <f>B49</f>
        <v>Region1</v>
      </c>
      <c r="I65" s="198" t="str">
        <f>C49</f>
        <v>Region2</v>
      </c>
      <c r="J65" s="198"/>
      <c r="K65" s="198"/>
      <c r="L65" s="195" t="s">
        <v>248</v>
      </c>
      <c r="M65" s="195"/>
      <c r="N65" s="195"/>
      <c r="O65" s="195"/>
      <c r="P65" s="195"/>
      <c r="V65" s="171"/>
      <c r="W65" s="172"/>
      <c r="X65" s="172"/>
      <c r="Y65" s="172"/>
      <c r="Z65" s="172"/>
      <c r="AA65" s="172"/>
      <c r="AB65" s="172"/>
      <c r="AC65" s="172"/>
      <c r="AD65" s="172"/>
      <c r="AE65" s="172"/>
      <c r="AF65" s="172"/>
      <c r="AG65" s="172"/>
      <c r="AH65" s="172"/>
      <c r="AI65" s="172"/>
      <c r="AJ65" s="172"/>
      <c r="AK65" s="172"/>
      <c r="AL65" s="172"/>
      <c r="AM65" s="172"/>
      <c r="AN65" s="172"/>
      <c r="AO65" s="172"/>
      <c r="AP65" s="172"/>
      <c r="AQ65" s="172"/>
      <c r="AR65" s="172"/>
      <c r="AS65" s="172"/>
    </row>
    <row r="66" spans="1:45">
      <c r="A66" s="195" t="s">
        <v>244</v>
      </c>
      <c r="B66" s="41">
        <f t="shared" ref="B66:B76" ca="1" si="9">MAX(0,1-SUM(C66:E66))</f>
        <v>1</v>
      </c>
      <c r="C66" s="41">
        <f ca="1">SUMIF(OFFSET(CalibData2!$M$3,1,0,$Q$2),ROW()+COLUMN()/100,OFFSET(CalibData2!$O$3,1,0,$Q$2))</f>
        <v>0</v>
      </c>
      <c r="D66" s="41">
        <f ca="1">SUMIF(OFFSET(CalibData2!$M$3,1,0,$Q$2),ROW()+COLUMN()/100,OFFSET(CalibData2!$O$3,1,0,$Q$2))</f>
        <v>0</v>
      </c>
      <c r="E66" s="41">
        <f ca="1">SUMIF(OFFSET(CalibData2!$M$3,1,0,$Q$2),ROW()+COLUMN()/100,OFFSET(CalibData2!$O$3,1,0,$Q$2))</f>
        <v>0</v>
      </c>
      <c r="F66" s="228">
        <f t="shared" ref="F66:F76" ca="1" si="10">SUM(B66:E66)</f>
        <v>1</v>
      </c>
      <c r="G66" s="195" t="s">
        <v>244</v>
      </c>
      <c r="H66" s="41">
        <f t="shared" ref="H66:H76" ca="1" si="11">MAX(0,1-I66)</f>
        <v>1</v>
      </c>
      <c r="I66" s="41">
        <f ca="1">SUMIF(OFFSET(CalibData2!$M$3,1,0,$Q$2),ROW()+COLUMN()/100,OFFSET(CalibData2!$O$3,1,0,$Q$2))</f>
        <v>0</v>
      </c>
      <c r="J66" s="40">
        <v>0</v>
      </c>
      <c r="K66" s="40">
        <v>0</v>
      </c>
      <c r="L66" s="228">
        <f t="shared" ref="L66:L76" ca="1" si="12">SUM(H66:K66)</f>
        <v>1</v>
      </c>
      <c r="M66" s="195"/>
      <c r="N66" s="195"/>
      <c r="O66" s="195"/>
      <c r="P66" s="195"/>
      <c r="V66" s="171"/>
      <c r="W66" s="172"/>
      <c r="X66" s="172"/>
      <c r="Y66" s="172"/>
      <c r="Z66" s="172"/>
      <c r="AA66" s="172"/>
      <c r="AB66" s="172"/>
      <c r="AC66" s="172"/>
      <c r="AD66" s="172"/>
      <c r="AE66" s="172"/>
      <c r="AF66" s="172"/>
      <c r="AG66" s="172"/>
      <c r="AH66" s="172"/>
      <c r="AI66" s="172"/>
      <c r="AJ66" s="172"/>
      <c r="AK66" s="172"/>
      <c r="AL66" s="172"/>
      <c r="AM66" s="172"/>
      <c r="AN66" s="172"/>
      <c r="AO66" s="172"/>
      <c r="AP66" s="172"/>
      <c r="AQ66" s="172"/>
      <c r="AR66" s="172"/>
      <c r="AS66" s="172"/>
    </row>
    <row r="67" spans="1:45">
      <c r="A67" s="195" t="s">
        <v>663</v>
      </c>
      <c r="B67" s="41">
        <f t="shared" ca="1" si="9"/>
        <v>1</v>
      </c>
      <c r="C67" s="41">
        <f ca="1">SUMIF(OFFSET(CalibData2!$M$3,1,0,$Q$2),ROW()+COLUMN()/100,OFFSET(CalibData2!$O$3,1,0,$Q$2))</f>
        <v>0</v>
      </c>
      <c r="D67" s="41">
        <f ca="1">SUMIF(OFFSET(CalibData2!$M$3,1,0,$Q$2),ROW()+COLUMN()/100,OFFSET(CalibData2!$O$3,1,0,$Q$2))</f>
        <v>0</v>
      </c>
      <c r="E67" s="41">
        <f ca="1">SUMIF(OFFSET(CalibData2!$M$3,1,0,$Q$2),ROW()+COLUMN()/100,OFFSET(CalibData2!$O$3,1,0,$Q$2))</f>
        <v>0</v>
      </c>
      <c r="F67" s="228">
        <f t="shared" ca="1" si="10"/>
        <v>1</v>
      </c>
      <c r="G67" s="195" t="s">
        <v>663</v>
      </c>
      <c r="H67" s="41">
        <f t="shared" ca="1" si="11"/>
        <v>1</v>
      </c>
      <c r="I67" s="41">
        <f ca="1">SUMIF(OFFSET(CalibData2!$M$3,1,0,$Q$2),ROW()+COLUMN()/100,OFFSET(CalibData2!$O$3,1,0,$Q$2))</f>
        <v>0</v>
      </c>
      <c r="J67" s="40">
        <v>0</v>
      </c>
      <c r="K67" s="40">
        <v>0</v>
      </c>
      <c r="L67" s="228">
        <f t="shared" ca="1" si="12"/>
        <v>1</v>
      </c>
      <c r="M67" s="195"/>
      <c r="N67" s="195"/>
      <c r="O67" s="195"/>
      <c r="P67" s="195"/>
      <c r="V67" s="171"/>
      <c r="W67" s="172"/>
      <c r="X67" s="172"/>
      <c r="Y67" s="172"/>
      <c r="Z67" s="172"/>
      <c r="AA67" s="172"/>
      <c r="AB67" s="172"/>
      <c r="AC67" s="172"/>
      <c r="AD67" s="172"/>
      <c r="AE67" s="172"/>
      <c r="AF67" s="172"/>
      <c r="AG67" s="172"/>
      <c r="AH67" s="172"/>
      <c r="AI67" s="172"/>
      <c r="AJ67" s="172"/>
      <c r="AK67" s="172"/>
      <c r="AL67" s="172"/>
      <c r="AM67" s="172"/>
      <c r="AN67" s="172"/>
      <c r="AO67" s="172"/>
      <c r="AP67" s="172"/>
      <c r="AQ67" s="172"/>
      <c r="AR67" s="172"/>
      <c r="AS67" s="172"/>
    </row>
    <row r="68" spans="1:45">
      <c r="A68" s="195" t="s">
        <v>574</v>
      </c>
      <c r="B68" s="41">
        <f t="shared" ca="1" si="9"/>
        <v>1</v>
      </c>
      <c r="C68" s="41">
        <f ca="1">SUMIF(OFFSET(CalibData2!$M$3,1,0,$Q$2),ROW()+COLUMN()/100,OFFSET(CalibData2!$O$3,1,0,$Q$2))</f>
        <v>0</v>
      </c>
      <c r="D68" s="41">
        <f ca="1">SUMIF(OFFSET(CalibData2!$M$3,1,0,$Q$2),ROW()+COLUMN()/100,OFFSET(CalibData2!$O$3,1,0,$Q$2))</f>
        <v>0</v>
      </c>
      <c r="E68" s="41">
        <f ca="1">SUMIF(OFFSET(CalibData2!$M$3,1,0,$Q$2),ROW()+COLUMN()/100,OFFSET(CalibData2!$O$3,1,0,$Q$2))</f>
        <v>0</v>
      </c>
      <c r="F68" s="228">
        <f t="shared" ca="1" si="10"/>
        <v>1</v>
      </c>
      <c r="G68" s="195" t="s">
        <v>574</v>
      </c>
      <c r="H68" s="41">
        <f t="shared" ca="1" si="11"/>
        <v>1</v>
      </c>
      <c r="I68" s="41">
        <f ca="1">SUMIF(OFFSET(CalibData2!$M$3,1,0,$Q$2),ROW()+COLUMN()/100,OFFSET(CalibData2!$O$3,1,0,$Q$2))</f>
        <v>0</v>
      </c>
      <c r="J68" s="40">
        <v>0</v>
      </c>
      <c r="K68" s="40">
        <v>0</v>
      </c>
      <c r="L68" s="228">
        <f t="shared" ca="1" si="12"/>
        <v>1</v>
      </c>
      <c r="M68" s="195"/>
      <c r="N68" s="195"/>
      <c r="O68" s="195"/>
      <c r="P68" s="195"/>
      <c r="V68" s="171"/>
      <c r="W68" s="172"/>
      <c r="X68" s="172"/>
      <c r="Y68" s="172"/>
      <c r="Z68" s="172"/>
      <c r="AA68" s="172"/>
      <c r="AB68" s="172"/>
      <c r="AC68" s="172"/>
      <c r="AD68" s="172"/>
      <c r="AE68" s="172"/>
      <c r="AF68" s="172"/>
      <c r="AG68" s="172"/>
      <c r="AH68" s="172"/>
      <c r="AI68" s="172"/>
      <c r="AJ68" s="172"/>
      <c r="AK68" s="172"/>
      <c r="AL68" s="172"/>
      <c r="AM68" s="172"/>
      <c r="AN68" s="172"/>
      <c r="AO68" s="172"/>
      <c r="AP68" s="172"/>
      <c r="AQ68" s="172"/>
      <c r="AR68" s="172"/>
      <c r="AS68" s="172"/>
    </row>
    <row r="69" spans="1:45">
      <c r="A69" s="195" t="s">
        <v>576</v>
      </c>
      <c r="B69" s="41">
        <f t="shared" ca="1" si="9"/>
        <v>1</v>
      </c>
      <c r="C69" s="41">
        <f ca="1">SUMIF(OFFSET(CalibData2!$M$3,1,0,$Q$2),ROW()+COLUMN()/100,OFFSET(CalibData2!$O$3,1,0,$Q$2))</f>
        <v>0</v>
      </c>
      <c r="D69" s="41">
        <f ca="1">SUMIF(OFFSET(CalibData2!$M$3,1,0,$Q$2),ROW()+COLUMN()/100,OFFSET(CalibData2!$O$3,1,0,$Q$2))</f>
        <v>0</v>
      </c>
      <c r="E69" s="41">
        <f ca="1">SUMIF(OFFSET(CalibData2!$M$3,1,0,$Q$2),ROW()+COLUMN()/100,OFFSET(CalibData2!$O$3,1,0,$Q$2))</f>
        <v>0</v>
      </c>
      <c r="F69" s="228">
        <f t="shared" ca="1" si="10"/>
        <v>1</v>
      </c>
      <c r="G69" s="195" t="s">
        <v>576</v>
      </c>
      <c r="H69" s="41">
        <f t="shared" ca="1" si="11"/>
        <v>1</v>
      </c>
      <c r="I69" s="41">
        <f ca="1">SUMIF(OFFSET(CalibData2!$M$3,1,0,$Q$2),ROW()+COLUMN()/100,OFFSET(CalibData2!$O$3,1,0,$Q$2))</f>
        <v>0</v>
      </c>
      <c r="J69" s="40">
        <v>0</v>
      </c>
      <c r="K69" s="40">
        <v>0</v>
      </c>
      <c r="L69" s="228">
        <f t="shared" ca="1" si="12"/>
        <v>1</v>
      </c>
      <c r="M69" s="195"/>
      <c r="N69" s="195"/>
      <c r="O69" s="195"/>
      <c r="P69" s="195"/>
      <c r="V69" s="171"/>
      <c r="W69" s="172"/>
      <c r="X69" s="172"/>
      <c r="Y69" s="172"/>
      <c r="Z69" s="172"/>
      <c r="AA69" s="172"/>
      <c r="AB69" s="172"/>
      <c r="AC69" s="172"/>
      <c r="AD69" s="172"/>
      <c r="AE69" s="172"/>
      <c r="AF69" s="172"/>
      <c r="AG69" s="172"/>
      <c r="AH69" s="172"/>
      <c r="AI69" s="172"/>
      <c r="AJ69" s="172"/>
      <c r="AK69" s="172"/>
      <c r="AL69" s="172"/>
      <c r="AM69" s="172"/>
      <c r="AN69" s="172"/>
      <c r="AO69" s="172"/>
      <c r="AP69" s="172"/>
      <c r="AQ69" s="172"/>
      <c r="AR69" s="172"/>
      <c r="AS69" s="172"/>
    </row>
    <row r="70" spans="1:45">
      <c r="A70" s="195" t="s">
        <v>664</v>
      </c>
      <c r="B70" s="41">
        <f t="shared" ca="1" si="9"/>
        <v>1</v>
      </c>
      <c r="C70" s="41">
        <f ca="1">SUMIF(OFFSET(CalibData2!$M$3,1,0,$Q$2),ROW()+COLUMN()/100,OFFSET(CalibData2!$O$3,1,0,$Q$2))</f>
        <v>0</v>
      </c>
      <c r="D70" s="41">
        <f ca="1">SUMIF(OFFSET(CalibData2!$M$3,1,0,$Q$2),ROW()+COLUMN()/100,OFFSET(CalibData2!$O$3,1,0,$Q$2))</f>
        <v>0</v>
      </c>
      <c r="E70" s="41">
        <f ca="1">SUMIF(OFFSET(CalibData2!$M$3,1,0,$Q$2),ROW()+COLUMN()/100,OFFSET(CalibData2!$O$3,1,0,$Q$2))</f>
        <v>0</v>
      </c>
      <c r="F70" s="228">
        <f t="shared" ca="1" si="10"/>
        <v>1</v>
      </c>
      <c r="G70" s="195" t="s">
        <v>664</v>
      </c>
      <c r="H70" s="41">
        <f t="shared" ca="1" si="11"/>
        <v>1</v>
      </c>
      <c r="I70" s="41">
        <f ca="1">SUMIF(OFFSET(CalibData2!$M$3,1,0,$Q$2),ROW()+COLUMN()/100,OFFSET(CalibData2!$O$3,1,0,$Q$2))</f>
        <v>0</v>
      </c>
      <c r="J70" s="40">
        <v>0</v>
      </c>
      <c r="K70" s="40">
        <v>0</v>
      </c>
      <c r="L70" s="228">
        <f t="shared" ca="1" si="12"/>
        <v>1</v>
      </c>
      <c r="M70" s="195"/>
      <c r="N70" s="195"/>
      <c r="O70" s="195"/>
      <c r="P70" s="195"/>
      <c r="V70" s="171"/>
      <c r="W70" s="172"/>
      <c r="X70" s="172"/>
      <c r="Y70" s="172"/>
      <c r="Z70" s="172"/>
      <c r="AA70" s="172"/>
      <c r="AB70" s="172"/>
      <c r="AC70" s="172"/>
      <c r="AD70" s="172"/>
      <c r="AE70" s="172"/>
      <c r="AF70" s="172"/>
      <c r="AG70" s="172"/>
      <c r="AH70" s="172"/>
      <c r="AI70" s="172"/>
      <c r="AJ70" s="172"/>
      <c r="AK70" s="172"/>
      <c r="AL70" s="172"/>
      <c r="AM70" s="172"/>
      <c r="AN70" s="172"/>
      <c r="AO70" s="172"/>
      <c r="AP70" s="172"/>
      <c r="AQ70" s="172"/>
      <c r="AR70" s="172"/>
      <c r="AS70" s="172"/>
    </row>
    <row r="71" spans="1:45">
      <c r="A71" s="195" t="s">
        <v>665</v>
      </c>
      <c r="B71" s="41">
        <f t="shared" ca="1" si="9"/>
        <v>1</v>
      </c>
      <c r="C71" s="41">
        <f ca="1">SUMIF(OFFSET(CalibData2!$M$3,1,0,$Q$2),ROW()+COLUMN()/100,OFFSET(CalibData2!$O$3,1,0,$Q$2))</f>
        <v>0</v>
      </c>
      <c r="D71" s="41">
        <f ca="1">SUMIF(OFFSET(CalibData2!$M$3,1,0,$Q$2),ROW()+COLUMN()/100,OFFSET(CalibData2!$O$3,1,0,$Q$2))</f>
        <v>0</v>
      </c>
      <c r="E71" s="41">
        <f ca="1">SUMIF(OFFSET(CalibData2!$M$3,1,0,$Q$2),ROW()+COLUMN()/100,OFFSET(CalibData2!$O$3,1,0,$Q$2))</f>
        <v>0</v>
      </c>
      <c r="F71" s="228">
        <f t="shared" ca="1" si="10"/>
        <v>1</v>
      </c>
      <c r="G71" s="195" t="s">
        <v>665</v>
      </c>
      <c r="H71" s="41">
        <f t="shared" ca="1" si="11"/>
        <v>1</v>
      </c>
      <c r="I71" s="41">
        <f ca="1">SUMIF(OFFSET(CalibData2!$M$3,1,0,$Q$2),ROW()+COLUMN()/100,OFFSET(CalibData2!$O$3,1,0,$Q$2))</f>
        <v>0</v>
      </c>
      <c r="J71" s="40">
        <v>0</v>
      </c>
      <c r="K71" s="40">
        <v>0</v>
      </c>
      <c r="L71" s="228">
        <f t="shared" ca="1" si="12"/>
        <v>1</v>
      </c>
      <c r="M71" s="195"/>
      <c r="N71" s="195"/>
      <c r="O71" s="195"/>
      <c r="P71" s="195"/>
    </row>
    <row r="72" spans="1:45">
      <c r="A72" s="196" t="s">
        <v>588</v>
      </c>
      <c r="B72" s="41">
        <f t="shared" ca="1" si="9"/>
        <v>1</v>
      </c>
      <c r="C72" s="41">
        <f ca="1">SUMIF(OFFSET(CalibData2!$M$3,1,0,$Q$2),ROW()+COLUMN()/100,OFFSET(CalibData2!$O$3,1,0,$Q$2))</f>
        <v>0</v>
      </c>
      <c r="D72" s="41">
        <f ca="1">SUMIF(OFFSET(CalibData2!$M$3,1,0,$Q$2),ROW()+COLUMN()/100,OFFSET(CalibData2!$O$3,1,0,$Q$2))</f>
        <v>0</v>
      </c>
      <c r="E72" s="41">
        <f ca="1">SUMIF(OFFSET(CalibData2!$M$3,1,0,$Q$2),ROW()+COLUMN()/100,OFFSET(CalibData2!$O$3,1,0,$Q$2))</f>
        <v>0</v>
      </c>
      <c r="F72" s="228">
        <f t="shared" ca="1" si="10"/>
        <v>1</v>
      </c>
      <c r="G72" s="196" t="s">
        <v>588</v>
      </c>
      <c r="H72" s="41">
        <f t="shared" ca="1" si="11"/>
        <v>1</v>
      </c>
      <c r="I72" s="41">
        <f ca="1">SUMIF(OFFSET(CalibData2!$M$3,1,0,$Q$2),ROW()+COLUMN()/100,OFFSET(CalibData2!$O$3,1,0,$Q$2))</f>
        <v>0</v>
      </c>
      <c r="J72" s="40">
        <v>0</v>
      </c>
      <c r="K72" s="40">
        <v>0</v>
      </c>
      <c r="L72" s="228">
        <f t="shared" ca="1" si="12"/>
        <v>1</v>
      </c>
      <c r="M72" s="195"/>
      <c r="N72" s="195"/>
      <c r="O72" s="195"/>
      <c r="P72" s="195"/>
      <c r="V72" s="171"/>
    </row>
    <row r="73" spans="1:45">
      <c r="A73" s="195" t="s">
        <v>247</v>
      </c>
      <c r="B73" s="41">
        <f t="shared" ca="1" si="9"/>
        <v>1</v>
      </c>
      <c r="C73" s="41">
        <f ca="1">SUMIF(OFFSET(CalibData2!$M$3,1,0,$Q$2),ROW()+COLUMN()/100,OFFSET(CalibData2!$O$3,1,0,$Q$2))</f>
        <v>0</v>
      </c>
      <c r="D73" s="41">
        <f ca="1">SUMIF(OFFSET(CalibData2!$M$3,1,0,$Q$2),ROW()+COLUMN()/100,OFFSET(CalibData2!$O$3,1,0,$Q$2))</f>
        <v>0</v>
      </c>
      <c r="E73" s="41">
        <f ca="1">SUMIF(OFFSET(CalibData2!$M$3,1,0,$Q$2),ROW()+COLUMN()/100,OFFSET(CalibData2!$O$3,1,0,$Q$2))</f>
        <v>0</v>
      </c>
      <c r="F73" s="228">
        <f t="shared" ca="1" si="10"/>
        <v>1</v>
      </c>
      <c r="G73" s="195" t="s">
        <v>247</v>
      </c>
      <c r="H73" s="41">
        <f t="shared" ca="1" si="11"/>
        <v>1</v>
      </c>
      <c r="I73" s="41">
        <f ca="1">SUMIF(OFFSET(CalibData2!$M$3,1,0,$Q$2),ROW()+COLUMN()/100,OFFSET(CalibData2!$O$3,1,0,$Q$2))</f>
        <v>0</v>
      </c>
      <c r="J73" s="40">
        <v>0</v>
      </c>
      <c r="K73" s="40">
        <v>0</v>
      </c>
      <c r="L73" s="228">
        <f t="shared" ca="1" si="12"/>
        <v>1</v>
      </c>
      <c r="M73" s="195"/>
      <c r="N73" s="195"/>
      <c r="O73" s="195"/>
      <c r="P73" s="195"/>
      <c r="V73" s="171"/>
      <c r="W73" s="172"/>
      <c r="X73" s="172"/>
      <c r="Y73" s="172"/>
      <c r="Z73" s="172"/>
      <c r="AA73" s="172"/>
      <c r="AB73" s="172"/>
      <c r="AC73" s="172"/>
      <c r="AD73" s="172"/>
      <c r="AE73" s="172"/>
      <c r="AF73" s="172"/>
      <c r="AG73" s="172"/>
      <c r="AH73" s="172"/>
      <c r="AI73" s="172"/>
      <c r="AJ73" s="172"/>
      <c r="AK73" s="172"/>
      <c r="AL73" s="172"/>
      <c r="AM73" s="172"/>
      <c r="AN73" s="172"/>
      <c r="AO73" s="172"/>
      <c r="AP73" s="172"/>
      <c r="AQ73" s="172"/>
      <c r="AR73" s="172"/>
      <c r="AS73" s="172"/>
    </row>
    <row r="74" spans="1:45">
      <c r="A74" s="195" t="s">
        <v>646</v>
      </c>
      <c r="B74" s="41">
        <f t="shared" ca="1" si="9"/>
        <v>1</v>
      </c>
      <c r="C74" s="41">
        <f ca="1">SUMIF(OFFSET(CalibData2!$M$3,1,0,$Q$2),ROW()+COLUMN()/100,OFFSET(CalibData2!$O$3,1,0,$Q$2))</f>
        <v>0</v>
      </c>
      <c r="D74" s="41">
        <f ca="1">SUMIF(OFFSET(CalibData2!$M$3,1,0,$Q$2),ROW()+COLUMN()/100,OFFSET(CalibData2!$O$3,1,0,$Q$2))</f>
        <v>0</v>
      </c>
      <c r="E74" s="41">
        <f ca="1">SUMIF(OFFSET(CalibData2!$M$3,1,0,$Q$2),ROW()+COLUMN()/100,OFFSET(CalibData2!$O$3,1,0,$Q$2))</f>
        <v>0</v>
      </c>
      <c r="F74" s="228">
        <f t="shared" ca="1" si="10"/>
        <v>1</v>
      </c>
      <c r="G74" s="195" t="s">
        <v>646</v>
      </c>
      <c r="H74" s="41">
        <f t="shared" ca="1" si="11"/>
        <v>1</v>
      </c>
      <c r="I74" s="41">
        <f ca="1">SUMIF(OFFSET(CalibData2!$M$3,1,0,$Q$2),ROW()+COLUMN()/100,OFFSET(CalibData2!$O$3,1,0,$Q$2))</f>
        <v>0</v>
      </c>
      <c r="J74" s="40">
        <v>0</v>
      </c>
      <c r="K74" s="40">
        <v>0</v>
      </c>
      <c r="L74" s="228">
        <f t="shared" ca="1" si="12"/>
        <v>1</v>
      </c>
      <c r="M74" s="195"/>
      <c r="N74" s="195"/>
      <c r="O74" s="195"/>
      <c r="P74" s="195"/>
      <c r="V74" s="171"/>
      <c r="W74" s="172"/>
      <c r="X74" s="172"/>
      <c r="Y74" s="172"/>
      <c r="Z74" s="172"/>
      <c r="AA74" s="172"/>
      <c r="AB74" s="172"/>
      <c r="AC74" s="172"/>
      <c r="AD74" s="172"/>
      <c r="AE74" s="172"/>
      <c r="AF74" s="172"/>
      <c r="AG74" s="172"/>
      <c r="AH74" s="172"/>
      <c r="AI74" s="172"/>
      <c r="AJ74" s="172"/>
      <c r="AK74" s="172"/>
      <c r="AL74" s="172"/>
      <c r="AM74" s="172"/>
      <c r="AN74" s="172"/>
      <c r="AO74" s="172"/>
      <c r="AP74" s="172"/>
      <c r="AQ74" s="172"/>
      <c r="AR74" s="172"/>
      <c r="AS74" s="172"/>
    </row>
    <row r="75" spans="1:45">
      <c r="A75" s="195" t="s">
        <v>245</v>
      </c>
      <c r="B75" s="41">
        <f t="shared" ca="1" si="9"/>
        <v>1</v>
      </c>
      <c r="C75" s="41">
        <f ca="1">SUMIF(OFFSET(CalibData2!$M$3,1,0,$Q$2),ROW()+COLUMN()/100,OFFSET(CalibData2!$O$3,1,0,$Q$2))</f>
        <v>0</v>
      </c>
      <c r="D75" s="41">
        <f ca="1">SUMIF(OFFSET(CalibData2!$M$3,1,0,$Q$2),ROW()+COLUMN()/100,OFFSET(CalibData2!$O$3,1,0,$Q$2))</f>
        <v>0</v>
      </c>
      <c r="E75" s="41">
        <f ca="1">SUMIF(OFFSET(CalibData2!$M$3,1,0,$Q$2),ROW()+COLUMN()/100,OFFSET(CalibData2!$O$3,1,0,$Q$2))</f>
        <v>0</v>
      </c>
      <c r="F75" s="228">
        <f t="shared" ca="1" si="10"/>
        <v>1</v>
      </c>
      <c r="G75" s="195" t="s">
        <v>245</v>
      </c>
      <c r="H75" s="41">
        <f t="shared" ca="1" si="11"/>
        <v>1</v>
      </c>
      <c r="I75" s="41">
        <f ca="1">SUMIF(OFFSET(CalibData2!$M$3,1,0,$Q$2),ROW()+COLUMN()/100,OFFSET(CalibData2!$O$3,1,0,$Q$2))</f>
        <v>0</v>
      </c>
      <c r="J75" s="40">
        <v>0</v>
      </c>
      <c r="K75" s="40">
        <v>0</v>
      </c>
      <c r="L75" s="228">
        <f t="shared" ca="1" si="12"/>
        <v>1</v>
      </c>
      <c r="M75" s="195"/>
      <c r="N75" s="195"/>
      <c r="O75" s="195"/>
      <c r="P75" s="195"/>
      <c r="V75" s="171"/>
      <c r="W75" s="172"/>
      <c r="X75" s="172"/>
      <c r="Y75" s="172"/>
      <c r="Z75" s="172"/>
      <c r="AA75" s="172"/>
      <c r="AB75" s="172"/>
      <c r="AC75" s="172"/>
      <c r="AD75" s="172"/>
      <c r="AE75" s="172"/>
      <c r="AF75" s="172"/>
      <c r="AG75" s="172"/>
      <c r="AH75" s="172"/>
      <c r="AI75" s="172"/>
      <c r="AJ75" s="172"/>
      <c r="AK75" s="172"/>
      <c r="AL75" s="172"/>
      <c r="AM75" s="172"/>
      <c r="AN75" s="172"/>
      <c r="AO75" s="172"/>
      <c r="AP75" s="172"/>
      <c r="AQ75" s="172"/>
      <c r="AR75" s="172"/>
      <c r="AS75" s="172"/>
    </row>
    <row r="76" spans="1:45">
      <c r="A76" s="195" t="s">
        <v>246</v>
      </c>
      <c r="B76" s="41">
        <f t="shared" ca="1" si="9"/>
        <v>1</v>
      </c>
      <c r="C76" s="41">
        <f ca="1">SUMIF(OFFSET(CalibData2!$M$3,1,0,$Q$2),ROW()+COLUMN()/100,OFFSET(CalibData2!$O$3,1,0,$Q$2))</f>
        <v>0</v>
      </c>
      <c r="D76" s="41">
        <f ca="1">SUMIF(OFFSET(CalibData2!$M$3,1,0,$Q$2),ROW()+COLUMN()/100,OFFSET(CalibData2!$O$3,1,0,$Q$2))</f>
        <v>0</v>
      </c>
      <c r="E76" s="41">
        <f ca="1">SUMIF(OFFSET(CalibData2!$M$3,1,0,$Q$2),ROW()+COLUMN()/100,OFFSET(CalibData2!$O$3,1,0,$Q$2))</f>
        <v>0</v>
      </c>
      <c r="F76" s="228">
        <f t="shared" ca="1" si="10"/>
        <v>1</v>
      </c>
      <c r="G76" s="195" t="s">
        <v>246</v>
      </c>
      <c r="H76" s="41">
        <f t="shared" ca="1" si="11"/>
        <v>1</v>
      </c>
      <c r="I76" s="41">
        <f ca="1">SUMIF(OFFSET(CalibData2!$M$3,1,0,$Q$2),ROW()+COLUMN()/100,OFFSET(CalibData2!$O$3,1,0,$Q$2))</f>
        <v>0</v>
      </c>
      <c r="J76" s="40">
        <v>0</v>
      </c>
      <c r="K76" s="40">
        <v>0</v>
      </c>
      <c r="L76" s="228">
        <f t="shared" ca="1" si="12"/>
        <v>1</v>
      </c>
      <c r="M76" s="195"/>
      <c r="N76" s="195"/>
      <c r="O76" s="195"/>
      <c r="P76" s="195"/>
      <c r="V76" s="171"/>
      <c r="W76" s="172"/>
      <c r="X76" s="172"/>
      <c r="Y76" s="172"/>
      <c r="Z76" s="172"/>
      <c r="AA76" s="172"/>
      <c r="AB76" s="172"/>
      <c r="AC76" s="172"/>
      <c r="AD76" s="172"/>
      <c r="AE76" s="172"/>
      <c r="AF76" s="172"/>
      <c r="AG76" s="172"/>
      <c r="AH76" s="172"/>
      <c r="AI76" s="172"/>
      <c r="AJ76" s="172"/>
      <c r="AK76" s="172"/>
      <c r="AL76" s="172"/>
      <c r="AM76" s="172"/>
      <c r="AN76" s="172"/>
      <c r="AO76" s="172"/>
      <c r="AP76" s="172"/>
      <c r="AQ76" s="172"/>
      <c r="AR76" s="172"/>
      <c r="AS76" s="172"/>
    </row>
    <row r="77" spans="1:45">
      <c r="A77" s="195"/>
      <c r="B77" s="195"/>
      <c r="C77" s="195"/>
      <c r="D77" s="195"/>
      <c r="E77" s="195"/>
      <c r="F77" s="195"/>
      <c r="G77" s="195"/>
      <c r="H77" s="195"/>
      <c r="I77" s="195"/>
      <c r="J77" s="195"/>
      <c r="K77" s="195"/>
      <c r="L77" s="195"/>
      <c r="M77" s="195"/>
      <c r="N77" s="195"/>
      <c r="O77" s="195"/>
      <c r="P77" s="195"/>
      <c r="V77" s="171"/>
      <c r="W77" s="172"/>
      <c r="X77" s="172"/>
      <c r="Y77" s="172"/>
      <c r="Z77" s="172"/>
      <c r="AA77" s="172"/>
      <c r="AB77" s="172"/>
      <c r="AC77" s="172"/>
      <c r="AD77" s="172"/>
      <c r="AE77" s="172"/>
      <c r="AF77" s="172"/>
      <c r="AG77" s="172"/>
      <c r="AH77" s="172"/>
      <c r="AI77" s="172"/>
      <c r="AJ77" s="172"/>
      <c r="AK77" s="172"/>
      <c r="AL77" s="172"/>
      <c r="AM77" s="172"/>
      <c r="AN77" s="172"/>
      <c r="AO77" s="172"/>
      <c r="AP77" s="172"/>
      <c r="AQ77" s="172"/>
      <c r="AR77" s="172"/>
      <c r="AS77" s="172"/>
    </row>
    <row r="78" spans="1:45" ht="18">
      <c r="A78" s="131" t="s">
        <v>521</v>
      </c>
      <c r="B78" s="98"/>
      <c r="C78" s="98"/>
      <c r="D78" s="98"/>
      <c r="E78" s="98"/>
      <c r="F78" s="98"/>
      <c r="G78" s="98"/>
      <c r="H78" s="216"/>
      <c r="I78" s="216"/>
      <c r="J78" s="216"/>
      <c r="K78" s="216"/>
      <c r="L78" s="219"/>
      <c r="M78" s="219"/>
      <c r="N78" s="219"/>
      <c r="O78" s="195"/>
      <c r="P78" s="195"/>
      <c r="V78" s="171"/>
      <c r="W78" s="172"/>
      <c r="X78" s="172"/>
      <c r="Y78" s="172"/>
      <c r="Z78" s="172"/>
      <c r="AA78" s="172"/>
      <c r="AB78" s="172"/>
      <c r="AC78" s="172"/>
      <c r="AD78" s="172"/>
      <c r="AE78" s="172"/>
      <c r="AF78" s="172"/>
      <c r="AG78" s="172"/>
      <c r="AH78" s="172"/>
      <c r="AI78" s="172"/>
      <c r="AJ78" s="172"/>
      <c r="AK78" s="172"/>
      <c r="AL78" s="172"/>
      <c r="AM78" s="172"/>
      <c r="AN78" s="172"/>
      <c r="AO78" s="172"/>
      <c r="AP78" s="172"/>
      <c r="AQ78" s="172"/>
      <c r="AR78" s="172"/>
      <c r="AS78" s="172"/>
    </row>
    <row r="79" spans="1:45" ht="33.75">
      <c r="A79" s="195"/>
      <c r="B79" s="209" t="s">
        <v>213</v>
      </c>
      <c r="C79" s="209" t="s">
        <v>105</v>
      </c>
      <c r="D79" s="209" t="s">
        <v>179</v>
      </c>
      <c r="E79" s="209" t="s">
        <v>90</v>
      </c>
      <c r="F79" s="209" t="s">
        <v>93</v>
      </c>
      <c r="G79" s="209" t="s">
        <v>95</v>
      </c>
      <c r="H79" s="209" t="s">
        <v>269</v>
      </c>
      <c r="I79" s="209" t="s">
        <v>97</v>
      </c>
      <c r="J79" s="209" t="s">
        <v>268</v>
      </c>
      <c r="K79" s="209" t="s">
        <v>636</v>
      </c>
      <c r="L79" s="209" t="s">
        <v>104</v>
      </c>
      <c r="M79" s="216"/>
      <c r="N79" s="214"/>
      <c r="O79" s="195"/>
      <c r="P79" s="195"/>
      <c r="V79" s="171"/>
      <c r="W79" s="172"/>
      <c r="X79" s="172"/>
      <c r="Y79" s="172"/>
      <c r="Z79" s="172"/>
      <c r="AA79" s="172"/>
      <c r="AB79" s="172"/>
      <c r="AC79" s="172"/>
      <c r="AD79" s="172"/>
      <c r="AE79" s="172"/>
      <c r="AF79" s="172"/>
      <c r="AG79" s="172"/>
      <c r="AH79" s="172"/>
      <c r="AI79" s="172"/>
      <c r="AJ79" s="172"/>
      <c r="AK79" s="172"/>
      <c r="AL79" s="172"/>
      <c r="AM79" s="172"/>
      <c r="AN79" s="172"/>
      <c r="AO79" s="172"/>
      <c r="AP79" s="172"/>
      <c r="AQ79" s="172"/>
      <c r="AR79" s="172"/>
      <c r="AS79" s="172"/>
    </row>
    <row r="80" spans="1:45">
      <c r="A80" s="195"/>
      <c r="B80" s="210" t="s">
        <v>127</v>
      </c>
      <c r="C80" s="210" t="s">
        <v>128</v>
      </c>
      <c r="D80" s="210" t="s">
        <v>44</v>
      </c>
      <c r="E80" s="210" t="s">
        <v>91</v>
      </c>
      <c r="F80" s="210" t="s">
        <v>94</v>
      </c>
      <c r="G80" s="210" t="s">
        <v>129</v>
      </c>
      <c r="H80" s="210" t="s">
        <v>96</v>
      </c>
      <c r="I80" s="210" t="s">
        <v>92</v>
      </c>
      <c r="J80" s="210" t="s">
        <v>637</v>
      </c>
      <c r="K80" s="210" t="s">
        <v>642</v>
      </c>
      <c r="L80" s="210" t="s">
        <v>130</v>
      </c>
      <c r="M80" s="216" t="s">
        <v>248</v>
      </c>
      <c r="N80" s="214"/>
      <c r="O80" s="195"/>
      <c r="P80" s="210" t="s">
        <v>882</v>
      </c>
      <c r="Q80" s="210" t="s">
        <v>888</v>
      </c>
      <c r="V80" s="171"/>
      <c r="W80" s="172"/>
      <c r="X80" s="172"/>
      <c r="Y80" s="172"/>
      <c r="Z80" s="172"/>
      <c r="AA80" s="172"/>
      <c r="AB80" s="172"/>
      <c r="AC80" s="172"/>
      <c r="AD80" s="172"/>
      <c r="AE80" s="172"/>
      <c r="AF80" s="172"/>
      <c r="AG80" s="172"/>
      <c r="AH80" s="172"/>
      <c r="AI80" s="172"/>
      <c r="AJ80" s="172"/>
      <c r="AK80" s="172"/>
      <c r="AL80" s="172"/>
      <c r="AM80" s="172"/>
      <c r="AN80" s="172"/>
      <c r="AO80" s="172"/>
      <c r="AP80" s="172"/>
      <c r="AQ80" s="172"/>
      <c r="AR80" s="172"/>
      <c r="AS80" s="172"/>
    </row>
    <row r="81" spans="1:45">
      <c r="A81" s="211" t="s">
        <v>244</v>
      </c>
      <c r="B81" s="33">
        <f t="shared" ref="B81:L81" ca="1" si="13">B36*$G9</f>
        <v>0.32091780821917804</v>
      </c>
      <c r="C81" s="33">
        <f t="shared" ca="1" si="13"/>
        <v>0</v>
      </c>
      <c r="D81" s="33">
        <f t="shared" ca="1" si="13"/>
        <v>0.10134246575342465</v>
      </c>
      <c r="E81" s="33">
        <f t="shared" si="13"/>
        <v>0</v>
      </c>
      <c r="F81" s="33">
        <f t="shared" ca="1" si="13"/>
        <v>0</v>
      </c>
      <c r="G81" s="33">
        <f t="shared" ca="1" si="13"/>
        <v>7.093972602739726E-2</v>
      </c>
      <c r="H81" s="33">
        <f t="shared" si="13"/>
        <v>0</v>
      </c>
      <c r="I81" s="33">
        <f t="shared" si="13"/>
        <v>0</v>
      </c>
      <c r="J81" s="33">
        <f t="shared" ca="1" si="13"/>
        <v>0</v>
      </c>
      <c r="K81" s="33">
        <f t="shared" si="13"/>
        <v>0</v>
      </c>
      <c r="L81" s="33">
        <f t="shared" si="13"/>
        <v>0</v>
      </c>
      <c r="M81" s="217">
        <f t="shared" ref="M81:M92" ca="1" si="14">SUM(B81:L81)</f>
        <v>0.49319999999999997</v>
      </c>
      <c r="N81" s="222">
        <f t="shared" ref="N81:N91" ca="1" si="15">M81/$M$92</f>
        <v>1.350106581550029E-2</v>
      </c>
      <c r="O81" s="195"/>
      <c r="P81" s="33">
        <f t="shared" ref="P81:P91" ca="1" si="16">D81*J52</f>
        <v>4.2624881362061183E-2</v>
      </c>
      <c r="Q81" s="33">
        <f t="shared" ref="Q81:Q91" ca="1" si="17">D81-P81</f>
        <v>5.8717584391363466E-2</v>
      </c>
      <c r="V81" s="171"/>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row>
    <row r="82" spans="1:45">
      <c r="A82" s="211" t="s">
        <v>663</v>
      </c>
      <c r="B82" s="33">
        <f t="shared" ref="B82:L82" ca="1" si="18">B37*$G10</f>
        <v>0.84081086172903763</v>
      </c>
      <c r="C82" s="33">
        <f t="shared" si="18"/>
        <v>0</v>
      </c>
      <c r="D82" s="33">
        <f t="shared" ca="1" si="18"/>
        <v>0.25115129636062161</v>
      </c>
      <c r="E82" s="33">
        <f t="shared" si="18"/>
        <v>0</v>
      </c>
      <c r="F82" s="33">
        <f t="shared" si="18"/>
        <v>0</v>
      </c>
      <c r="G82" s="33">
        <f t="shared" ca="1" si="18"/>
        <v>0</v>
      </c>
      <c r="H82" s="33">
        <f t="shared" si="18"/>
        <v>0</v>
      </c>
      <c r="I82" s="33">
        <f t="shared" si="18"/>
        <v>0</v>
      </c>
      <c r="J82" s="33">
        <f t="shared" ca="1" si="18"/>
        <v>0</v>
      </c>
      <c r="K82" s="33">
        <f t="shared" si="18"/>
        <v>0</v>
      </c>
      <c r="L82" s="33">
        <f t="shared" si="18"/>
        <v>0</v>
      </c>
      <c r="M82" s="217">
        <f t="shared" ca="1" si="14"/>
        <v>1.0919621580896592</v>
      </c>
      <c r="N82" s="222">
        <f t="shared" ca="1" si="15"/>
        <v>2.9891834883220243E-2</v>
      </c>
      <c r="O82" s="195"/>
      <c r="P82" s="33">
        <f t="shared" ca="1" si="16"/>
        <v>0.15316475642486732</v>
      </c>
      <c r="Q82" s="33">
        <f t="shared" ca="1" si="17"/>
        <v>9.7986539935754291E-2</v>
      </c>
      <c r="V82" s="171"/>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row>
    <row r="83" spans="1:45">
      <c r="A83" s="211" t="s">
        <v>574</v>
      </c>
      <c r="B83" s="33">
        <f t="shared" ref="B83:L83" si="19">IF($G11=0,0,(B38*$G11))</f>
        <v>0</v>
      </c>
      <c r="C83" s="33">
        <f t="shared" si="19"/>
        <v>0</v>
      </c>
      <c r="D83" s="33">
        <f t="shared" si="19"/>
        <v>0</v>
      </c>
      <c r="E83" s="33">
        <f t="shared" si="19"/>
        <v>0</v>
      </c>
      <c r="F83" s="33">
        <f t="shared" si="19"/>
        <v>0</v>
      </c>
      <c r="G83" s="33">
        <f t="shared" si="19"/>
        <v>0</v>
      </c>
      <c r="H83" s="33">
        <f t="shared" si="19"/>
        <v>0</v>
      </c>
      <c r="I83" s="33">
        <f t="shared" si="19"/>
        <v>0</v>
      </c>
      <c r="J83" s="33">
        <f t="shared" si="19"/>
        <v>0</v>
      </c>
      <c r="K83" s="33">
        <f t="shared" si="19"/>
        <v>0</v>
      </c>
      <c r="L83" s="33">
        <f t="shared" si="19"/>
        <v>0</v>
      </c>
      <c r="M83" s="217">
        <f t="shared" si="14"/>
        <v>0</v>
      </c>
      <c r="N83" s="222">
        <f t="shared" ca="1" si="15"/>
        <v>0</v>
      </c>
      <c r="O83" s="195"/>
      <c r="P83" s="33">
        <f t="shared" ca="1" si="16"/>
        <v>0</v>
      </c>
      <c r="Q83" s="33">
        <f t="shared" ca="1" si="17"/>
        <v>0</v>
      </c>
      <c r="V83" s="171"/>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row>
    <row r="84" spans="1:45">
      <c r="A84" s="211" t="s">
        <v>576</v>
      </c>
      <c r="B84" s="33">
        <f t="shared" ref="B84:L84" ca="1" si="20">B39*$G12</f>
        <v>0</v>
      </c>
      <c r="C84" s="33">
        <f t="shared" si="20"/>
        <v>0</v>
      </c>
      <c r="D84" s="33">
        <f t="shared" ca="1" si="20"/>
        <v>0</v>
      </c>
      <c r="E84" s="33">
        <f t="shared" si="20"/>
        <v>0</v>
      </c>
      <c r="F84" s="33">
        <f t="shared" si="20"/>
        <v>0</v>
      </c>
      <c r="G84" s="33">
        <f t="shared" ca="1" si="20"/>
        <v>0</v>
      </c>
      <c r="H84" s="33">
        <f t="shared" si="20"/>
        <v>0</v>
      </c>
      <c r="I84" s="33">
        <f t="shared" si="20"/>
        <v>0</v>
      </c>
      <c r="J84" s="33">
        <f t="shared" ca="1" si="20"/>
        <v>0</v>
      </c>
      <c r="K84" s="33">
        <f t="shared" si="20"/>
        <v>0</v>
      </c>
      <c r="L84" s="33">
        <f t="shared" ca="1" si="20"/>
        <v>0</v>
      </c>
      <c r="M84" s="217">
        <f t="shared" ca="1" si="14"/>
        <v>0</v>
      </c>
      <c r="N84" s="222">
        <f t="shared" ca="1" si="15"/>
        <v>0</v>
      </c>
      <c r="O84" s="195"/>
      <c r="P84" s="33">
        <f t="shared" ca="1" si="16"/>
        <v>0</v>
      </c>
      <c r="Q84" s="33">
        <f t="shared" ca="1" si="17"/>
        <v>0</v>
      </c>
      <c r="V84" s="171"/>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row>
    <row r="85" spans="1:45">
      <c r="A85" s="211" t="s">
        <v>664</v>
      </c>
      <c r="B85" s="33">
        <f t="shared" ref="B85:L85" ca="1" si="21">B40*$G13</f>
        <v>0</v>
      </c>
      <c r="C85" s="33">
        <f t="shared" si="21"/>
        <v>0</v>
      </c>
      <c r="D85" s="33">
        <f t="shared" ca="1" si="21"/>
        <v>0</v>
      </c>
      <c r="E85" s="33">
        <f t="shared" si="21"/>
        <v>0</v>
      </c>
      <c r="F85" s="33">
        <f t="shared" si="21"/>
        <v>0</v>
      </c>
      <c r="G85" s="33">
        <f t="shared" ca="1" si="21"/>
        <v>0</v>
      </c>
      <c r="H85" s="33">
        <f t="shared" si="21"/>
        <v>0</v>
      </c>
      <c r="I85" s="33">
        <f t="shared" si="21"/>
        <v>0</v>
      </c>
      <c r="J85" s="33">
        <f t="shared" ca="1" si="21"/>
        <v>0</v>
      </c>
      <c r="K85" s="33">
        <f t="shared" si="21"/>
        <v>0</v>
      </c>
      <c r="L85" s="33">
        <f t="shared" si="21"/>
        <v>0</v>
      </c>
      <c r="M85" s="217">
        <f t="shared" ca="1" si="14"/>
        <v>0</v>
      </c>
      <c r="N85" s="222">
        <f t="shared" ca="1" si="15"/>
        <v>0</v>
      </c>
      <c r="O85" s="195"/>
      <c r="P85" s="33">
        <f t="shared" ca="1" si="16"/>
        <v>0</v>
      </c>
      <c r="Q85" s="33">
        <f t="shared" ca="1" si="17"/>
        <v>0</v>
      </c>
      <c r="V85" s="171"/>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row>
    <row r="86" spans="1:45">
      <c r="A86" s="211" t="s">
        <v>665</v>
      </c>
      <c r="B86" s="33">
        <f t="shared" ref="B86:L86" ca="1" si="22">B41*$G14</f>
        <v>0</v>
      </c>
      <c r="C86" s="33">
        <f t="shared" si="22"/>
        <v>0</v>
      </c>
      <c r="D86" s="33">
        <f t="shared" ca="1" si="22"/>
        <v>0</v>
      </c>
      <c r="E86" s="33">
        <f t="shared" si="22"/>
        <v>0</v>
      </c>
      <c r="F86" s="33">
        <f t="shared" si="22"/>
        <v>0</v>
      </c>
      <c r="G86" s="33">
        <f t="shared" ca="1" si="22"/>
        <v>0</v>
      </c>
      <c r="H86" s="33">
        <f t="shared" si="22"/>
        <v>0</v>
      </c>
      <c r="I86" s="33">
        <f t="shared" si="22"/>
        <v>0</v>
      </c>
      <c r="J86" s="33">
        <f t="shared" ca="1" si="22"/>
        <v>0</v>
      </c>
      <c r="K86" s="33">
        <f t="shared" si="22"/>
        <v>0</v>
      </c>
      <c r="L86" s="33">
        <f t="shared" si="22"/>
        <v>0</v>
      </c>
      <c r="M86" s="217">
        <f t="shared" ca="1" si="14"/>
        <v>0</v>
      </c>
      <c r="N86" s="222">
        <f t="shared" ca="1" si="15"/>
        <v>0</v>
      </c>
      <c r="O86" s="195"/>
      <c r="P86" s="33">
        <f t="shared" ca="1" si="16"/>
        <v>0</v>
      </c>
      <c r="Q86" s="33">
        <f t="shared" ca="1" si="17"/>
        <v>0</v>
      </c>
      <c r="V86" s="171"/>
      <c r="W86" s="172"/>
      <c r="X86" s="172"/>
      <c r="Y86" s="172"/>
      <c r="Z86" s="172"/>
      <c r="AA86" s="172"/>
      <c r="AB86" s="172"/>
      <c r="AC86" s="172"/>
      <c r="AD86" s="172"/>
      <c r="AE86" s="172"/>
      <c r="AF86" s="172"/>
      <c r="AG86" s="172"/>
      <c r="AH86" s="172"/>
      <c r="AI86" s="172"/>
      <c r="AJ86" s="172"/>
      <c r="AK86" s="172"/>
      <c r="AL86" s="172"/>
      <c r="AM86" s="172"/>
      <c r="AN86" s="172"/>
      <c r="AO86" s="172"/>
      <c r="AP86" s="172"/>
      <c r="AQ86" s="172"/>
      <c r="AR86" s="172"/>
      <c r="AS86" s="172"/>
    </row>
    <row r="87" spans="1:45">
      <c r="A87" s="211" t="s">
        <v>588</v>
      </c>
      <c r="B87" s="33">
        <f t="shared" ref="B87:L87" ca="1" si="23">B42*$G15</f>
        <v>8.0496004761545711E-2</v>
      </c>
      <c r="C87" s="33">
        <f t="shared" si="23"/>
        <v>0</v>
      </c>
      <c r="D87" s="33">
        <f t="shared" ca="1" si="23"/>
        <v>1.6052671469788019E-2</v>
      </c>
      <c r="E87" s="33">
        <f t="shared" si="23"/>
        <v>0</v>
      </c>
      <c r="F87" s="33">
        <f t="shared" si="23"/>
        <v>0</v>
      </c>
      <c r="G87" s="33">
        <f t="shared" ca="1" si="23"/>
        <v>3.8774568767603905E-4</v>
      </c>
      <c r="H87" s="33">
        <f t="shared" si="23"/>
        <v>0</v>
      </c>
      <c r="I87" s="33">
        <f t="shared" si="23"/>
        <v>0</v>
      </c>
      <c r="J87" s="33">
        <f t="shared" ca="1" si="23"/>
        <v>0</v>
      </c>
      <c r="K87" s="33">
        <f t="shared" si="23"/>
        <v>0</v>
      </c>
      <c r="L87" s="33">
        <f t="shared" si="23"/>
        <v>0</v>
      </c>
      <c r="M87" s="217">
        <f t="shared" ca="1" si="14"/>
        <v>9.6936421919009766E-2</v>
      </c>
      <c r="N87" s="222">
        <f t="shared" ca="1" si="15"/>
        <v>2.6535786947438278E-3</v>
      </c>
      <c r="O87" s="195"/>
      <c r="P87" s="33">
        <f t="shared" ca="1" si="16"/>
        <v>1.1489135515659329E-2</v>
      </c>
      <c r="Q87" s="33">
        <f t="shared" ca="1" si="17"/>
        <v>4.5635359541286898E-3</v>
      </c>
      <c r="V87" s="171"/>
      <c r="W87" s="172"/>
      <c r="X87" s="172"/>
      <c r="Y87" s="172"/>
      <c r="Z87" s="172"/>
      <c r="AA87" s="172"/>
      <c r="AB87" s="172"/>
      <c r="AC87" s="172"/>
      <c r="AD87" s="172"/>
      <c r="AE87" s="172"/>
      <c r="AF87" s="172"/>
      <c r="AG87" s="172"/>
      <c r="AH87" s="172"/>
      <c r="AI87" s="172"/>
      <c r="AJ87" s="172"/>
      <c r="AK87" s="172"/>
      <c r="AL87" s="172"/>
      <c r="AM87" s="172"/>
      <c r="AN87" s="172"/>
      <c r="AO87" s="172"/>
      <c r="AP87" s="172"/>
      <c r="AQ87" s="172"/>
      <c r="AR87" s="172"/>
      <c r="AS87" s="172"/>
    </row>
    <row r="88" spans="1:45">
      <c r="A88" s="211" t="s">
        <v>247</v>
      </c>
      <c r="B88" s="33">
        <f t="shared" ref="B88:L88" ca="1" si="24">B43*$G16</f>
        <v>2.6114356703336612</v>
      </c>
      <c r="C88" s="33">
        <f t="shared" ca="1" si="24"/>
        <v>0.21011391783713226</v>
      </c>
      <c r="D88" s="33">
        <f t="shared" ca="1" si="24"/>
        <v>1.0155583162408681</v>
      </c>
      <c r="E88" s="33">
        <f t="shared" ca="1" si="24"/>
        <v>1.1261702254354671</v>
      </c>
      <c r="F88" s="33">
        <f t="shared" ca="1" si="24"/>
        <v>0.1386636304699681</v>
      </c>
      <c r="G88" s="33">
        <f t="shared" ca="1" si="24"/>
        <v>0.48422372416492865</v>
      </c>
      <c r="H88" s="33">
        <f t="shared" ca="1" si="24"/>
        <v>0.20029191067884283</v>
      </c>
      <c r="I88" s="33">
        <f t="shared" ca="1" si="24"/>
        <v>0.28503079596604552</v>
      </c>
      <c r="J88" s="33">
        <f t="shared" si="24"/>
        <v>0</v>
      </c>
      <c r="K88" s="33">
        <f t="shared" ca="1" si="24"/>
        <v>4.480983783919914</v>
      </c>
      <c r="L88" s="33">
        <f t="shared" ca="1" si="24"/>
        <v>1.4790787250129931</v>
      </c>
      <c r="M88" s="217">
        <f t="shared" ca="1" si="14"/>
        <v>12.031550700059821</v>
      </c>
      <c r="N88" s="222">
        <f t="shared" ca="1" si="15"/>
        <v>0.32935676776974099</v>
      </c>
      <c r="O88" s="195"/>
      <c r="P88" s="33">
        <f t="shared" ca="1" si="16"/>
        <v>0.87434895214414687</v>
      </c>
      <c r="Q88" s="33">
        <f t="shared" ca="1" si="17"/>
        <v>0.14120936409672125</v>
      </c>
      <c r="V88" s="171"/>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row>
    <row r="89" spans="1:45">
      <c r="A89" s="211" t="s">
        <v>414</v>
      </c>
      <c r="B89" s="33">
        <f t="shared" ref="B89:L89" ca="1" si="25">IF($G17=0,0,(B44*$G17))</f>
        <v>17.340768000000001</v>
      </c>
      <c r="C89" s="33">
        <f t="shared" si="25"/>
        <v>0</v>
      </c>
      <c r="D89" s="33">
        <f t="shared" ca="1" si="25"/>
        <v>5.476032</v>
      </c>
      <c r="E89" s="33">
        <f t="shared" si="25"/>
        <v>0</v>
      </c>
      <c r="F89" s="33">
        <f t="shared" si="25"/>
        <v>0</v>
      </c>
      <c r="G89" s="33">
        <f t="shared" si="25"/>
        <v>0</v>
      </c>
      <c r="H89" s="33">
        <f t="shared" si="25"/>
        <v>0</v>
      </c>
      <c r="I89" s="33">
        <f t="shared" si="25"/>
        <v>0</v>
      </c>
      <c r="J89" s="33">
        <f t="shared" ca="1" si="25"/>
        <v>0</v>
      </c>
      <c r="K89" s="33">
        <f t="shared" si="25"/>
        <v>0</v>
      </c>
      <c r="L89" s="33">
        <f t="shared" si="25"/>
        <v>0</v>
      </c>
      <c r="M89" s="217">
        <f t="shared" ca="1" si="14"/>
        <v>22.816800000000001</v>
      </c>
      <c r="N89" s="222">
        <f t="shared" ca="1" si="15"/>
        <v>0.6245967528367945</v>
      </c>
      <c r="O89" s="195"/>
      <c r="P89" s="33">
        <f t="shared" ca="1" si="16"/>
        <v>0.31997853060061221</v>
      </c>
      <c r="Q89" s="33">
        <f t="shared" ca="1" si="17"/>
        <v>5.1560534693993878</v>
      </c>
      <c r="V89" s="171"/>
      <c r="W89" s="172"/>
      <c r="X89" s="172"/>
      <c r="Y89" s="172"/>
      <c r="Z89" s="172"/>
      <c r="AA89" s="172"/>
      <c r="AB89" s="172"/>
      <c r="AC89" s="172"/>
      <c r="AD89" s="172"/>
      <c r="AE89" s="172"/>
      <c r="AF89" s="172"/>
      <c r="AG89" s="172"/>
      <c r="AH89" s="172"/>
      <c r="AI89" s="172"/>
      <c r="AJ89" s="172"/>
      <c r="AK89" s="172"/>
      <c r="AL89" s="172"/>
      <c r="AM89" s="172"/>
      <c r="AN89" s="172"/>
      <c r="AO89" s="172"/>
      <c r="AP89" s="172"/>
      <c r="AQ89" s="172"/>
      <c r="AR89" s="172"/>
      <c r="AS89" s="172"/>
    </row>
    <row r="90" spans="1:45">
      <c r="A90" s="211" t="s">
        <v>245</v>
      </c>
      <c r="B90" s="33">
        <f t="shared" ref="B90:L90" ca="1" si="26">B45*$G18</f>
        <v>0</v>
      </c>
      <c r="C90" s="33">
        <f t="shared" ca="1" si="26"/>
        <v>0</v>
      </c>
      <c r="D90" s="33">
        <f t="shared" ca="1" si="26"/>
        <v>0</v>
      </c>
      <c r="E90" s="33">
        <f t="shared" si="26"/>
        <v>0</v>
      </c>
      <c r="F90" s="33">
        <f t="shared" si="26"/>
        <v>0</v>
      </c>
      <c r="G90" s="33">
        <f t="shared" si="26"/>
        <v>0</v>
      </c>
      <c r="H90" s="33">
        <f t="shared" si="26"/>
        <v>0</v>
      </c>
      <c r="I90" s="33">
        <f t="shared" si="26"/>
        <v>0</v>
      </c>
      <c r="J90" s="33">
        <f t="shared" ca="1" si="26"/>
        <v>0</v>
      </c>
      <c r="K90" s="33">
        <f t="shared" si="26"/>
        <v>0</v>
      </c>
      <c r="L90" s="33">
        <f t="shared" si="26"/>
        <v>0</v>
      </c>
      <c r="M90" s="217">
        <f t="shared" ca="1" si="14"/>
        <v>0</v>
      </c>
      <c r="N90" s="222">
        <f t="shared" ca="1" si="15"/>
        <v>0</v>
      </c>
      <c r="O90" s="195"/>
      <c r="P90" s="33">
        <f t="shared" ca="1" si="16"/>
        <v>0</v>
      </c>
      <c r="Q90" s="33">
        <f t="shared" ca="1" si="17"/>
        <v>0</v>
      </c>
      <c r="V90" s="171"/>
      <c r="W90" s="172"/>
      <c r="X90" s="172"/>
      <c r="Y90" s="172"/>
      <c r="Z90" s="172"/>
      <c r="AA90" s="172"/>
      <c r="AB90" s="172"/>
      <c r="AC90" s="172"/>
      <c r="AD90" s="172"/>
      <c r="AE90" s="172"/>
      <c r="AF90" s="172"/>
      <c r="AG90" s="172"/>
      <c r="AH90" s="172"/>
      <c r="AI90" s="172"/>
      <c r="AJ90" s="172"/>
      <c r="AK90" s="172"/>
      <c r="AL90" s="172"/>
      <c r="AM90" s="172"/>
      <c r="AN90" s="172"/>
      <c r="AO90" s="172"/>
      <c r="AP90" s="172"/>
      <c r="AQ90" s="172"/>
      <c r="AR90" s="172"/>
      <c r="AS90" s="172"/>
    </row>
    <row r="91" spans="1:45">
      <c r="A91" s="211" t="s">
        <v>246</v>
      </c>
      <c r="B91" s="33">
        <f t="shared" ref="B91:L91" ca="1" si="27">B46*$G19</f>
        <v>0</v>
      </c>
      <c r="C91" s="33">
        <f t="shared" si="27"/>
        <v>0</v>
      </c>
      <c r="D91" s="33">
        <f t="shared" ca="1" si="27"/>
        <v>0</v>
      </c>
      <c r="E91" s="33">
        <f t="shared" si="27"/>
        <v>0</v>
      </c>
      <c r="F91" s="33">
        <f t="shared" si="27"/>
        <v>0</v>
      </c>
      <c r="G91" s="33">
        <f t="shared" ca="1" si="27"/>
        <v>0</v>
      </c>
      <c r="H91" s="33">
        <f t="shared" si="27"/>
        <v>0</v>
      </c>
      <c r="I91" s="33">
        <f t="shared" si="27"/>
        <v>0</v>
      </c>
      <c r="J91" s="33">
        <f t="shared" ca="1" si="27"/>
        <v>0</v>
      </c>
      <c r="K91" s="33">
        <f t="shared" si="27"/>
        <v>0</v>
      </c>
      <c r="L91" s="33">
        <f t="shared" si="27"/>
        <v>0</v>
      </c>
      <c r="M91" s="217">
        <f t="shared" ca="1" si="14"/>
        <v>0</v>
      </c>
      <c r="N91" s="222">
        <f t="shared" ca="1" si="15"/>
        <v>0</v>
      </c>
      <c r="O91" s="195"/>
      <c r="P91" s="33">
        <f t="shared" ca="1" si="16"/>
        <v>0</v>
      </c>
      <c r="Q91" s="33">
        <f t="shared" ca="1" si="17"/>
        <v>0</v>
      </c>
      <c r="V91" s="171"/>
      <c r="W91" s="172"/>
      <c r="X91" s="172"/>
      <c r="Y91" s="172"/>
      <c r="Z91" s="172"/>
      <c r="AA91" s="172"/>
      <c r="AB91" s="172"/>
      <c r="AC91" s="172"/>
      <c r="AD91" s="172"/>
      <c r="AE91" s="172"/>
      <c r="AF91" s="172"/>
      <c r="AG91" s="172"/>
      <c r="AH91" s="172"/>
      <c r="AI91" s="172"/>
      <c r="AJ91" s="172"/>
      <c r="AK91" s="172"/>
      <c r="AL91" s="172"/>
      <c r="AM91" s="172"/>
      <c r="AN91" s="172"/>
      <c r="AO91" s="172"/>
      <c r="AP91" s="172"/>
      <c r="AQ91" s="172"/>
      <c r="AR91" s="172"/>
      <c r="AS91" s="172"/>
    </row>
    <row r="92" spans="1:45">
      <c r="A92" s="216" t="s">
        <v>248</v>
      </c>
      <c r="B92" s="217">
        <f t="shared" ref="B92:L92" ca="1" si="28">SUM(B81:B91)</f>
        <v>21.194428345043423</v>
      </c>
      <c r="C92" s="217">
        <f t="shared" ca="1" si="28"/>
        <v>0.21011391783713226</v>
      </c>
      <c r="D92" s="217">
        <f t="shared" ca="1" si="28"/>
        <v>6.8601367498247026</v>
      </c>
      <c r="E92" s="217">
        <f t="shared" ca="1" si="28"/>
        <v>1.1261702254354671</v>
      </c>
      <c r="F92" s="217">
        <f t="shared" ca="1" si="28"/>
        <v>0.1386636304699681</v>
      </c>
      <c r="G92" s="217">
        <f t="shared" ca="1" si="28"/>
        <v>0.5555511958800019</v>
      </c>
      <c r="H92" s="217">
        <f t="shared" ca="1" si="28"/>
        <v>0.20029191067884283</v>
      </c>
      <c r="I92" s="217">
        <f t="shared" ca="1" si="28"/>
        <v>0.28503079596604552</v>
      </c>
      <c r="J92" s="217">
        <f t="shared" ca="1" si="28"/>
        <v>0</v>
      </c>
      <c r="K92" s="217">
        <f t="shared" ca="1" si="28"/>
        <v>4.480983783919914</v>
      </c>
      <c r="L92" s="217">
        <f t="shared" ca="1" si="28"/>
        <v>1.4790787250129931</v>
      </c>
      <c r="M92" s="217">
        <f t="shared" ca="1" si="14"/>
        <v>36.530449280068495</v>
      </c>
      <c r="N92" s="214"/>
      <c r="O92" s="195"/>
      <c r="P92" s="195"/>
      <c r="V92" s="171"/>
      <c r="W92" s="172"/>
      <c r="X92" s="172"/>
      <c r="Y92" s="172"/>
      <c r="Z92" s="172"/>
      <c r="AA92" s="172"/>
      <c r="AB92" s="172"/>
      <c r="AC92" s="172"/>
      <c r="AD92" s="172"/>
      <c r="AE92" s="172"/>
      <c r="AF92" s="172"/>
      <c r="AG92" s="172"/>
      <c r="AH92" s="172"/>
      <c r="AI92" s="172"/>
      <c r="AJ92" s="172"/>
      <c r="AK92" s="172"/>
      <c r="AL92" s="172"/>
      <c r="AM92" s="172"/>
      <c r="AN92" s="172"/>
      <c r="AO92" s="172"/>
      <c r="AP92" s="172"/>
      <c r="AQ92" s="172"/>
      <c r="AR92" s="172"/>
      <c r="AS92" s="172"/>
    </row>
    <row r="93" spans="1:45">
      <c r="A93" s="216" t="s">
        <v>337</v>
      </c>
      <c r="B93" s="218">
        <f t="shared" ref="B93:M93" ca="1" si="29">B92/$M$92</f>
        <v>0.5801852636016549</v>
      </c>
      <c r="C93" s="218">
        <f t="shared" ca="1" si="29"/>
        <v>5.7517474320189447E-3</v>
      </c>
      <c r="D93" s="218">
        <f t="shared" ca="1" si="29"/>
        <v>0.18779229067866093</v>
      </c>
      <c r="E93" s="218">
        <f t="shared" ca="1" si="29"/>
        <v>3.082826101593885E-2</v>
      </c>
      <c r="F93" s="218">
        <f t="shared" ca="1" si="29"/>
        <v>3.7958369853837207E-3</v>
      </c>
      <c r="G93" s="218">
        <f t="shared" ca="1" si="29"/>
        <v>1.5207893875620033E-2</v>
      </c>
      <c r="H93" s="218">
        <f t="shared" ca="1" si="29"/>
        <v>5.4828756455542636E-3</v>
      </c>
      <c r="I93" s="218">
        <f t="shared" ca="1" si="29"/>
        <v>7.8025538032887587E-3</v>
      </c>
      <c r="J93" s="218">
        <f t="shared" ca="1" si="29"/>
        <v>0</v>
      </c>
      <c r="K93" s="218">
        <f t="shared" ca="1" si="29"/>
        <v>0.12266434911778649</v>
      </c>
      <c r="L93" s="218">
        <f t="shared" ca="1" si="29"/>
        <v>4.0488927844093019E-2</v>
      </c>
      <c r="M93" s="218">
        <f t="shared" ca="1" si="29"/>
        <v>1</v>
      </c>
      <c r="N93" s="214"/>
      <c r="O93" s="195"/>
      <c r="P93" s="195"/>
      <c r="V93" s="171"/>
      <c r="W93" s="172"/>
      <c r="X93" s="172"/>
      <c r="Y93" s="172"/>
      <c r="Z93" s="172"/>
      <c r="AA93" s="172"/>
      <c r="AB93" s="172"/>
      <c r="AC93" s="172"/>
      <c r="AD93" s="172"/>
      <c r="AE93" s="172"/>
      <c r="AF93" s="172"/>
      <c r="AG93" s="172"/>
      <c r="AH93" s="172"/>
      <c r="AI93" s="172"/>
      <c r="AJ93" s="172"/>
      <c r="AK93" s="172"/>
      <c r="AL93" s="172"/>
      <c r="AM93" s="172"/>
      <c r="AN93" s="172"/>
      <c r="AO93" s="172"/>
      <c r="AP93" s="172"/>
      <c r="AQ93" s="172"/>
      <c r="AR93" s="172"/>
      <c r="AS93" s="172"/>
    </row>
    <row r="94" spans="1:45">
      <c r="A94" s="195"/>
      <c r="B94" s="195"/>
      <c r="C94" s="195"/>
      <c r="D94" s="195"/>
      <c r="E94" s="195"/>
      <c r="F94" s="195"/>
      <c r="G94" s="195"/>
      <c r="H94" s="195"/>
      <c r="I94" s="195"/>
      <c r="J94" s="195"/>
      <c r="K94" s="195"/>
      <c r="L94" s="195"/>
      <c r="M94" s="195"/>
      <c r="N94" s="195"/>
      <c r="O94" s="195"/>
      <c r="P94" s="195"/>
      <c r="V94" s="171"/>
      <c r="W94" s="172"/>
      <c r="X94" s="172"/>
      <c r="Y94" s="172"/>
      <c r="Z94" s="172"/>
      <c r="AA94" s="172"/>
      <c r="AB94" s="172"/>
      <c r="AC94" s="172"/>
      <c r="AD94" s="172"/>
      <c r="AE94" s="172"/>
      <c r="AF94" s="172"/>
      <c r="AG94" s="172"/>
      <c r="AH94" s="172"/>
      <c r="AI94" s="172"/>
      <c r="AJ94" s="172"/>
      <c r="AK94" s="172"/>
      <c r="AL94" s="172"/>
      <c r="AM94" s="172"/>
      <c r="AN94" s="172"/>
      <c r="AO94" s="172"/>
      <c r="AP94" s="172"/>
      <c r="AQ94" s="172"/>
      <c r="AR94" s="172"/>
      <c r="AS94" s="172"/>
    </row>
    <row r="95" spans="1:45">
      <c r="A95" s="195"/>
      <c r="B95" s="195"/>
      <c r="C95" s="195"/>
      <c r="D95" s="195"/>
      <c r="E95" s="195"/>
      <c r="F95" s="195"/>
      <c r="G95" s="195"/>
      <c r="H95" s="195"/>
      <c r="I95" s="195"/>
      <c r="J95" s="195"/>
      <c r="K95" s="195"/>
      <c r="L95" s="195"/>
      <c r="M95" s="195"/>
      <c r="N95" s="195"/>
      <c r="O95" s="195"/>
      <c r="P95" s="195"/>
      <c r="V95" s="171"/>
      <c r="W95" s="172"/>
      <c r="X95" s="172"/>
      <c r="Y95" s="172"/>
      <c r="Z95" s="172"/>
      <c r="AA95" s="172"/>
      <c r="AB95" s="172"/>
      <c r="AC95" s="172"/>
      <c r="AD95" s="172"/>
      <c r="AE95" s="172"/>
      <c r="AF95" s="172"/>
      <c r="AG95" s="172"/>
      <c r="AH95" s="172"/>
      <c r="AI95" s="172"/>
      <c r="AJ95" s="172"/>
      <c r="AK95" s="172"/>
      <c r="AL95" s="172"/>
      <c r="AM95" s="172"/>
      <c r="AN95" s="172"/>
      <c r="AO95" s="172"/>
      <c r="AP95" s="172"/>
      <c r="AQ95" s="172"/>
      <c r="AR95" s="172"/>
      <c r="AS95" s="172"/>
    </row>
    <row r="96" spans="1:45" ht="18">
      <c r="A96" s="194" t="s">
        <v>523</v>
      </c>
      <c r="B96" s="195"/>
      <c r="C96" s="195"/>
      <c r="D96" s="195"/>
      <c r="E96" s="195"/>
      <c r="F96" s="195"/>
      <c r="G96" s="195"/>
      <c r="H96" s="230"/>
      <c r="I96" s="195"/>
      <c r="J96" s="195"/>
      <c r="K96" s="195"/>
      <c r="L96" s="195"/>
      <c r="M96" s="195"/>
      <c r="N96" s="195"/>
      <c r="O96" s="195"/>
      <c r="P96" s="195"/>
      <c r="V96" s="171"/>
      <c r="W96" s="172"/>
      <c r="X96" s="172"/>
      <c r="Y96" s="172"/>
      <c r="Z96" s="172"/>
      <c r="AA96" s="172"/>
      <c r="AB96" s="172"/>
      <c r="AC96" s="172"/>
      <c r="AD96" s="172"/>
      <c r="AE96" s="172"/>
      <c r="AF96" s="172"/>
      <c r="AG96" s="172"/>
      <c r="AH96" s="172"/>
      <c r="AI96" s="172"/>
      <c r="AJ96" s="172"/>
      <c r="AK96" s="172"/>
      <c r="AL96" s="172"/>
      <c r="AM96" s="172"/>
      <c r="AN96" s="172"/>
      <c r="AO96" s="172"/>
      <c r="AP96" s="172"/>
      <c r="AQ96" s="172"/>
      <c r="AR96" s="172"/>
      <c r="AS96" s="172"/>
    </row>
    <row r="97" spans="1:45" ht="18">
      <c r="A97" s="204"/>
      <c r="B97" s="131" t="s">
        <v>524</v>
      </c>
      <c r="C97" s="98"/>
      <c r="D97" s="98"/>
      <c r="E97" s="195"/>
      <c r="F97" s="195"/>
      <c r="G97" s="195"/>
      <c r="H97" s="230"/>
      <c r="I97" s="231"/>
      <c r="J97" s="232"/>
      <c r="K97" s="233"/>
      <c r="L97" s="195"/>
      <c r="M97" s="195"/>
      <c r="N97" s="195"/>
      <c r="O97" s="131" t="s">
        <v>977</v>
      </c>
      <c r="P97" s="131"/>
      <c r="V97" s="171"/>
      <c r="W97" s="172"/>
      <c r="X97" s="172"/>
      <c r="Y97" s="172"/>
      <c r="Z97" s="172"/>
      <c r="AA97" s="172"/>
      <c r="AB97" s="172"/>
      <c r="AC97" s="172"/>
      <c r="AD97" s="172"/>
      <c r="AE97" s="172"/>
      <c r="AF97" s="172"/>
      <c r="AG97" s="172"/>
      <c r="AH97" s="172"/>
      <c r="AI97" s="172"/>
      <c r="AJ97" s="172"/>
      <c r="AK97" s="172"/>
      <c r="AL97" s="172"/>
      <c r="AM97" s="172"/>
      <c r="AN97" s="172"/>
      <c r="AO97" s="172"/>
      <c r="AP97" s="172"/>
      <c r="AQ97" s="172"/>
      <c r="AR97" s="172"/>
      <c r="AS97" s="172"/>
    </row>
    <row r="98" spans="1:45" s="35" customFormat="1" ht="18">
      <c r="A98" s="196" t="s">
        <v>374</v>
      </c>
      <c r="B98" s="200" t="s">
        <v>407</v>
      </c>
      <c r="C98" s="235"/>
      <c r="D98" s="196"/>
      <c r="E98" s="195"/>
      <c r="F98" s="131" t="s">
        <v>525</v>
      </c>
      <c r="G98" s="98"/>
      <c r="H98" s="134"/>
      <c r="I98" s="98"/>
      <c r="J98" s="232"/>
      <c r="K98" s="234"/>
      <c r="L98" s="195"/>
      <c r="M98" s="195"/>
      <c r="N98" s="195"/>
      <c r="O98" s="405" t="s">
        <v>655</v>
      </c>
      <c r="P98" s="12">
        <v>500</v>
      </c>
      <c r="V98" s="171"/>
      <c r="W98" s="172"/>
      <c r="X98" s="172"/>
      <c r="Y98" s="172"/>
      <c r="Z98" s="172"/>
      <c r="AA98" s="172"/>
      <c r="AB98" s="172"/>
      <c r="AC98" s="172"/>
      <c r="AD98" s="172"/>
      <c r="AE98" s="172"/>
      <c r="AF98" s="172"/>
      <c r="AG98" s="172"/>
      <c r="AH98" s="172"/>
      <c r="AI98" s="172"/>
      <c r="AJ98" s="172"/>
      <c r="AK98" s="172"/>
      <c r="AL98" s="172"/>
      <c r="AM98" s="172"/>
      <c r="AN98" s="172"/>
      <c r="AO98" s="172"/>
      <c r="AP98" s="172"/>
      <c r="AQ98" s="172"/>
      <c r="AR98" s="172"/>
      <c r="AS98" s="172"/>
    </row>
    <row r="99" spans="1:45" s="35" customFormat="1">
      <c r="A99" s="195" t="s">
        <v>403</v>
      </c>
      <c r="B99" s="47">
        <v>0.32400000000000001</v>
      </c>
      <c r="C99" s="365">
        <v>0.32400000000000001</v>
      </c>
      <c r="D99" s="75" t="s">
        <v>436</v>
      </c>
      <c r="E99" s="195"/>
      <c r="F99" s="43" t="s">
        <v>244</v>
      </c>
      <c r="G99" s="44">
        <f>$C99+$C100+$C101+$C114</f>
        <v>0.32400000000000001</v>
      </c>
      <c r="H99" s="91" t="s">
        <v>422</v>
      </c>
      <c r="I99" s="229"/>
      <c r="J99" s="229"/>
      <c r="K99" s="229"/>
      <c r="L99" s="229"/>
      <c r="M99" s="195"/>
      <c r="N99" s="195"/>
      <c r="O99" s="405" t="s">
        <v>828</v>
      </c>
      <c r="P99" s="12"/>
      <c r="V99"/>
      <c r="W99"/>
      <c r="X99"/>
      <c r="Y99"/>
      <c r="Z99"/>
      <c r="AA99"/>
      <c r="AB99"/>
      <c r="AC99"/>
      <c r="AD99"/>
      <c r="AE99"/>
      <c r="AF99"/>
      <c r="AG99"/>
      <c r="AH99"/>
      <c r="AI99"/>
      <c r="AJ99"/>
      <c r="AK99"/>
      <c r="AL99"/>
      <c r="AM99"/>
      <c r="AN99"/>
      <c r="AO99"/>
      <c r="AP99"/>
      <c r="AQ99"/>
      <c r="AR99"/>
      <c r="AS99"/>
    </row>
    <row r="100" spans="1:45" s="35" customFormat="1">
      <c r="A100" s="205" t="s">
        <v>182</v>
      </c>
      <c r="B100" s="47">
        <v>0</v>
      </c>
      <c r="C100" s="365">
        <v>0</v>
      </c>
      <c r="D100" s="75" t="s">
        <v>440</v>
      </c>
      <c r="E100" s="195"/>
      <c r="F100" s="43" t="s">
        <v>413</v>
      </c>
      <c r="G100" s="44">
        <f>$C102+$C105+$C106+$C113</f>
        <v>0.60500681521547883</v>
      </c>
      <c r="H100" s="91" t="s">
        <v>423</v>
      </c>
      <c r="I100" s="229"/>
      <c r="J100" s="229"/>
      <c r="K100" s="229"/>
      <c r="L100" s="229"/>
      <c r="M100" s="195"/>
      <c r="N100" s="195"/>
      <c r="O100" s="405" t="s">
        <v>795</v>
      </c>
      <c r="P100" s="383">
        <f>223.44-P103</f>
        <v>56.139999999999986</v>
      </c>
      <c r="V100" s="171"/>
      <c r="W100"/>
      <c r="X100"/>
      <c r="Y100"/>
      <c r="Z100"/>
      <c r="AA100"/>
      <c r="AB100"/>
      <c r="AC100"/>
      <c r="AD100"/>
      <c r="AE100"/>
      <c r="AF100"/>
      <c r="AG100"/>
      <c r="AH100"/>
      <c r="AI100"/>
      <c r="AJ100"/>
      <c r="AK100"/>
      <c r="AL100"/>
      <c r="AM100"/>
      <c r="AN100"/>
      <c r="AO100"/>
      <c r="AP100"/>
      <c r="AQ100"/>
      <c r="AR100"/>
      <c r="AS100"/>
    </row>
    <row r="101" spans="1:45" s="35" customFormat="1">
      <c r="A101" s="205" t="s">
        <v>183</v>
      </c>
      <c r="B101" s="47">
        <v>0</v>
      </c>
      <c r="C101" s="365">
        <v>0</v>
      </c>
      <c r="D101" s="75" t="s">
        <v>441</v>
      </c>
      <c r="E101" s="195"/>
      <c r="F101" s="60" t="s">
        <v>574</v>
      </c>
      <c r="G101" s="61">
        <f>$C103</f>
        <v>0</v>
      </c>
      <c r="H101" s="91" t="s">
        <v>596</v>
      </c>
      <c r="I101" s="229"/>
      <c r="J101" s="229"/>
      <c r="K101" s="229"/>
      <c r="L101" s="229"/>
      <c r="M101" s="195"/>
      <c r="N101" s="195"/>
      <c r="O101" s="405" t="s">
        <v>829</v>
      </c>
      <c r="P101" s="12"/>
      <c r="V101" s="171"/>
      <c r="W101" s="172"/>
      <c r="X101" s="172"/>
      <c r="Y101" s="172"/>
      <c r="Z101" s="172"/>
      <c r="AA101" s="172"/>
      <c r="AB101" s="172"/>
      <c r="AC101" s="172"/>
      <c r="AD101" s="172"/>
      <c r="AE101" s="172"/>
      <c r="AF101" s="172"/>
      <c r="AG101" s="172"/>
      <c r="AH101" s="172"/>
      <c r="AI101" s="172"/>
      <c r="AJ101" s="172"/>
      <c r="AK101" s="172"/>
      <c r="AL101" s="172"/>
      <c r="AM101" s="172"/>
      <c r="AN101" s="172"/>
      <c r="AO101" s="172"/>
      <c r="AP101" s="172"/>
      <c r="AQ101" s="172"/>
      <c r="AR101" s="172"/>
      <c r="AS101" s="172"/>
    </row>
    <row r="102" spans="1:45" s="35" customFormat="1">
      <c r="A102" s="195" t="s">
        <v>411</v>
      </c>
      <c r="B102" s="47">
        <v>0.60500681521547883</v>
      </c>
      <c r="C102" s="365">
        <v>0.60500681521547883</v>
      </c>
      <c r="D102" s="75" t="s">
        <v>221</v>
      </c>
      <c r="E102" s="195"/>
      <c r="F102" s="60" t="s">
        <v>576</v>
      </c>
      <c r="G102" s="61">
        <f>$C104</f>
        <v>0</v>
      </c>
      <c r="H102" s="91" t="s">
        <v>597</v>
      </c>
      <c r="I102" s="229"/>
      <c r="J102" s="229"/>
      <c r="K102" s="229"/>
      <c r="L102" s="229"/>
      <c r="M102" s="195"/>
      <c r="N102" s="195"/>
      <c r="O102" s="405" t="s">
        <v>830</v>
      </c>
      <c r="P102" s="12"/>
      <c r="V102" s="171"/>
      <c r="W102" s="172"/>
      <c r="X102" s="172"/>
      <c r="Y102" s="172"/>
      <c r="Z102" s="172"/>
      <c r="AA102" s="172"/>
      <c r="AB102" s="172"/>
      <c r="AC102" s="172"/>
      <c r="AD102" s="172"/>
      <c r="AE102" s="172"/>
      <c r="AF102" s="172"/>
      <c r="AG102" s="172"/>
      <c r="AH102" s="172"/>
      <c r="AI102" s="172"/>
      <c r="AJ102" s="172"/>
      <c r="AK102" s="172"/>
      <c r="AL102" s="172"/>
      <c r="AM102" s="172"/>
      <c r="AN102" s="172"/>
      <c r="AO102" s="172"/>
      <c r="AP102" s="172"/>
      <c r="AQ102" s="172"/>
      <c r="AR102" s="172"/>
      <c r="AS102" s="172"/>
    </row>
    <row r="103" spans="1:45" s="35" customFormat="1">
      <c r="A103" s="195" t="s">
        <v>410</v>
      </c>
      <c r="B103" s="47">
        <v>0</v>
      </c>
      <c r="C103" s="365">
        <v>0</v>
      </c>
      <c r="D103" s="75" t="s">
        <v>217</v>
      </c>
      <c r="E103" s="195"/>
      <c r="F103" s="43" t="s">
        <v>664</v>
      </c>
      <c r="G103" s="44">
        <f>$C107+$C108+$C109</f>
        <v>0</v>
      </c>
      <c r="H103" s="91" t="s">
        <v>442</v>
      </c>
      <c r="I103" s="229"/>
      <c r="J103" s="229"/>
      <c r="K103" s="229"/>
      <c r="L103" s="229"/>
      <c r="M103" s="195"/>
      <c r="N103" s="195"/>
      <c r="O103" s="405" t="s">
        <v>950</v>
      </c>
      <c r="P103" s="139">
        <v>167.3</v>
      </c>
      <c r="V103" s="171"/>
      <c r="W103" s="172"/>
      <c r="X103" s="172"/>
      <c r="Y103" s="172"/>
      <c r="Z103" s="172"/>
      <c r="AA103" s="172"/>
      <c r="AB103" s="172"/>
      <c r="AC103" s="172"/>
      <c r="AD103" s="172"/>
      <c r="AE103" s="172"/>
      <c r="AF103" s="172"/>
      <c r="AG103" s="172"/>
      <c r="AH103" s="172"/>
      <c r="AI103" s="172"/>
      <c r="AJ103" s="172"/>
      <c r="AK103" s="172"/>
      <c r="AL103" s="172"/>
      <c r="AM103" s="172"/>
      <c r="AN103" s="172"/>
      <c r="AO103" s="172"/>
      <c r="AP103" s="172"/>
      <c r="AQ103" s="172"/>
      <c r="AR103" s="172"/>
      <c r="AS103" s="172"/>
    </row>
    <row r="104" spans="1:45" s="35" customFormat="1">
      <c r="A104" s="195" t="s">
        <v>409</v>
      </c>
      <c r="B104" s="47">
        <v>0</v>
      </c>
      <c r="C104" s="365">
        <v>0</v>
      </c>
      <c r="D104" s="75" t="s">
        <v>219</v>
      </c>
      <c r="E104" s="195"/>
      <c r="F104" s="43" t="s">
        <v>405</v>
      </c>
      <c r="G104" s="44">
        <f>$C110</f>
        <v>0</v>
      </c>
      <c r="H104" s="91" t="s">
        <v>443</v>
      </c>
      <c r="I104" s="229"/>
      <c r="J104" s="229"/>
      <c r="K104" s="229"/>
      <c r="L104" s="229"/>
      <c r="M104" s="195"/>
      <c r="N104" s="195"/>
      <c r="O104" s="407" t="str">
        <f>Region</f>
        <v>FIM</v>
      </c>
      <c r="P104" s="426">
        <f>INDEX(P98:P103,RegIndex)</f>
        <v>56.139999999999986</v>
      </c>
      <c r="V104" s="171"/>
      <c r="W104" s="172"/>
      <c r="X104" s="172"/>
      <c r="Y104" s="172"/>
      <c r="Z104" s="172"/>
      <c r="AA104" s="172"/>
      <c r="AB104" s="172"/>
      <c r="AC104" s="172"/>
      <c r="AD104" s="172"/>
      <c r="AE104" s="172"/>
      <c r="AF104" s="172"/>
      <c r="AG104" s="172"/>
      <c r="AH104" s="172"/>
      <c r="AI104" s="172"/>
      <c r="AJ104" s="172"/>
      <c r="AK104" s="172"/>
      <c r="AL104" s="172"/>
      <c r="AM104" s="172"/>
      <c r="AN104" s="172"/>
      <c r="AO104" s="172"/>
      <c r="AP104" s="172"/>
      <c r="AQ104" s="172"/>
      <c r="AR104" s="172"/>
      <c r="AS104" s="172"/>
    </row>
    <row r="105" spans="1:45" s="35" customFormat="1">
      <c r="A105" s="195" t="s">
        <v>426</v>
      </c>
      <c r="B105" s="45">
        <v>0</v>
      </c>
      <c r="C105" s="365">
        <v>0</v>
      </c>
      <c r="D105" s="76" t="s">
        <v>220</v>
      </c>
      <c r="E105" s="195"/>
      <c r="F105" s="43" t="s">
        <v>588</v>
      </c>
      <c r="G105" s="44">
        <f>$C111+$C112+$C115+$C116</f>
        <v>5.3999999999999999E-2</v>
      </c>
      <c r="H105" s="91" t="s">
        <v>444</v>
      </c>
      <c r="I105" s="229"/>
      <c r="J105" s="229"/>
      <c r="K105" s="229"/>
      <c r="L105" s="229"/>
      <c r="M105" s="195"/>
      <c r="N105" s="195"/>
      <c r="O105" s="195"/>
      <c r="P105" s="195"/>
      <c r="V105" s="171"/>
      <c r="W105" s="172"/>
      <c r="X105" s="172"/>
      <c r="Y105" s="172"/>
      <c r="Z105" s="172"/>
      <c r="AA105" s="172"/>
      <c r="AB105" s="172"/>
      <c r="AC105" s="172"/>
      <c r="AD105" s="172"/>
      <c r="AE105" s="172"/>
      <c r="AF105" s="172"/>
      <c r="AG105" s="172"/>
      <c r="AH105" s="172"/>
      <c r="AI105" s="172"/>
      <c r="AJ105" s="172"/>
      <c r="AK105" s="172"/>
      <c r="AL105" s="172"/>
      <c r="AM105" s="172"/>
      <c r="AN105" s="172"/>
      <c r="AO105" s="172"/>
      <c r="AP105" s="172"/>
      <c r="AQ105" s="172"/>
      <c r="AR105" s="172"/>
      <c r="AS105" s="172"/>
    </row>
    <row r="106" spans="1:45" s="35" customFormat="1">
      <c r="A106" s="205" t="s">
        <v>184</v>
      </c>
      <c r="B106" s="45">
        <v>0</v>
      </c>
      <c r="C106" s="365">
        <v>0</v>
      </c>
      <c r="D106" s="92" t="s">
        <v>647</v>
      </c>
      <c r="E106" s="195"/>
      <c r="F106" s="43" t="s">
        <v>247</v>
      </c>
      <c r="G106" s="44">
        <f>$C117</f>
        <v>16.876623934726585</v>
      </c>
      <c r="H106" s="91" t="s">
        <v>445</v>
      </c>
      <c r="I106" s="229"/>
      <c r="J106" s="229"/>
      <c r="K106" s="229"/>
      <c r="L106" s="229"/>
      <c r="M106" s="195"/>
      <c r="N106" s="195"/>
      <c r="O106" s="195"/>
      <c r="P106" s="195"/>
      <c r="V106" s="171"/>
      <c r="W106" s="172"/>
      <c r="X106" s="172"/>
      <c r="Y106" s="172"/>
      <c r="Z106" s="172"/>
      <c r="AA106" s="172"/>
      <c r="AB106" s="172"/>
      <c r="AC106" s="172"/>
      <c r="AD106" s="172"/>
      <c r="AE106" s="172"/>
      <c r="AF106" s="172"/>
      <c r="AG106" s="172"/>
      <c r="AH106" s="172"/>
      <c r="AI106" s="172"/>
      <c r="AJ106" s="172"/>
      <c r="AK106" s="172"/>
      <c r="AL106" s="172"/>
      <c r="AM106" s="172"/>
      <c r="AN106" s="172"/>
      <c r="AO106" s="172"/>
      <c r="AP106" s="172"/>
      <c r="AQ106" s="172"/>
      <c r="AR106" s="172"/>
      <c r="AS106" s="172"/>
    </row>
    <row r="107" spans="1:45" s="35" customFormat="1">
      <c r="A107" s="205" t="s">
        <v>375</v>
      </c>
      <c r="B107" s="47">
        <v>0</v>
      </c>
      <c r="C107" s="365">
        <v>0</v>
      </c>
      <c r="D107" s="75" t="s">
        <v>437</v>
      </c>
      <c r="E107" s="195"/>
      <c r="F107" s="43" t="s">
        <v>414</v>
      </c>
      <c r="G107" s="44">
        <f>$C118</f>
        <v>12.915719999999999</v>
      </c>
      <c r="H107" s="91" t="s">
        <v>446</v>
      </c>
      <c r="I107" s="229"/>
      <c r="J107" s="229"/>
      <c r="K107" s="229"/>
      <c r="L107" s="229"/>
      <c r="M107" s="195"/>
      <c r="N107" s="195"/>
      <c r="O107" s="195"/>
      <c r="P107" s="195"/>
      <c r="V107" s="171"/>
      <c r="W107" s="172"/>
      <c r="X107" s="172"/>
      <c r="Y107" s="172"/>
      <c r="Z107" s="172"/>
      <c r="AA107" s="172"/>
      <c r="AB107" s="172"/>
      <c r="AC107" s="172"/>
      <c r="AD107" s="172"/>
      <c r="AE107" s="172"/>
      <c r="AF107" s="172"/>
      <c r="AG107" s="172"/>
      <c r="AH107" s="172"/>
      <c r="AI107" s="172"/>
      <c r="AJ107" s="172"/>
      <c r="AK107" s="172"/>
      <c r="AL107" s="172"/>
      <c r="AM107" s="172"/>
      <c r="AN107" s="172"/>
      <c r="AO107" s="172"/>
      <c r="AP107" s="172"/>
      <c r="AQ107" s="172"/>
      <c r="AR107" s="172"/>
      <c r="AS107" s="172"/>
    </row>
    <row r="108" spans="1:45">
      <c r="A108" s="287" t="s">
        <v>376</v>
      </c>
      <c r="B108" s="47">
        <v>0</v>
      </c>
      <c r="C108" s="365">
        <v>0</v>
      </c>
      <c r="D108" s="75" t="s">
        <v>438</v>
      </c>
      <c r="E108" s="195"/>
      <c r="F108" s="43" t="s">
        <v>245</v>
      </c>
      <c r="G108" s="425">
        <f>$C119</f>
        <v>0</v>
      </c>
      <c r="H108" s="91" t="s">
        <v>148</v>
      </c>
      <c r="I108" s="195"/>
      <c r="J108" s="195"/>
      <c r="K108" s="195"/>
      <c r="L108" s="195"/>
      <c r="M108" s="195"/>
      <c r="N108" s="195"/>
      <c r="O108" s="195"/>
      <c r="P108" s="195"/>
      <c r="V108" s="171"/>
      <c r="W108" s="172"/>
      <c r="X108" s="172"/>
      <c r="Y108" s="172"/>
      <c r="Z108" s="172"/>
      <c r="AA108" s="172"/>
      <c r="AB108" s="172"/>
      <c r="AC108" s="172"/>
      <c r="AD108" s="172"/>
      <c r="AE108" s="172"/>
      <c r="AF108" s="172"/>
      <c r="AG108" s="172"/>
      <c r="AH108" s="172"/>
      <c r="AI108" s="172"/>
      <c r="AJ108" s="172"/>
      <c r="AK108" s="172"/>
      <c r="AL108" s="172"/>
      <c r="AM108" s="172"/>
      <c r="AN108" s="172"/>
      <c r="AO108" s="172"/>
      <c r="AP108" s="172"/>
      <c r="AQ108" s="172"/>
      <c r="AR108" s="172"/>
      <c r="AS108" s="172"/>
    </row>
    <row r="109" spans="1:45">
      <c r="A109" s="205" t="s">
        <v>185</v>
      </c>
      <c r="B109" s="47">
        <v>0</v>
      </c>
      <c r="C109" s="365">
        <v>0</v>
      </c>
      <c r="D109" s="75" t="s">
        <v>439</v>
      </c>
      <c r="E109" s="195"/>
      <c r="F109" s="43" t="s">
        <v>246</v>
      </c>
      <c r="G109" s="44">
        <f>$C120</f>
        <v>0</v>
      </c>
      <c r="H109" s="91" t="s">
        <v>149</v>
      </c>
      <c r="I109" s="195"/>
      <c r="J109" s="195"/>
      <c r="K109" s="195"/>
      <c r="L109" s="195"/>
      <c r="M109" s="195"/>
      <c r="N109" s="195"/>
      <c r="O109" s="195"/>
      <c r="P109" s="195"/>
      <c r="V109" s="171"/>
      <c r="W109" s="172"/>
      <c r="X109" s="172"/>
      <c r="Y109" s="172"/>
      <c r="Z109" s="172"/>
      <c r="AA109" s="172"/>
      <c r="AB109" s="172"/>
      <c r="AC109" s="172"/>
      <c r="AD109" s="172"/>
      <c r="AE109" s="172"/>
      <c r="AF109" s="172"/>
      <c r="AG109" s="172"/>
      <c r="AH109" s="172"/>
      <c r="AI109" s="172"/>
      <c r="AJ109" s="172"/>
      <c r="AK109" s="172"/>
      <c r="AL109" s="172"/>
      <c r="AM109" s="172"/>
      <c r="AN109" s="172"/>
      <c r="AO109" s="172"/>
      <c r="AP109" s="172"/>
      <c r="AQ109" s="172"/>
      <c r="AR109" s="172"/>
      <c r="AS109" s="172"/>
    </row>
    <row r="110" spans="1:45">
      <c r="A110" s="195" t="s">
        <v>405</v>
      </c>
      <c r="B110" s="47">
        <v>0</v>
      </c>
      <c r="C110" s="365">
        <v>0</v>
      </c>
      <c r="D110" s="75" t="s">
        <v>110</v>
      </c>
      <c r="E110" s="195"/>
      <c r="F110" s="195"/>
      <c r="G110" s="195"/>
      <c r="H110" s="195"/>
      <c r="I110" s="195"/>
      <c r="J110" s="195"/>
      <c r="K110" s="195"/>
      <c r="L110" s="195"/>
      <c r="M110" s="195"/>
      <c r="N110" s="195"/>
      <c r="O110" s="195"/>
      <c r="P110" s="195"/>
      <c r="V110" s="171"/>
      <c r="W110" s="172"/>
      <c r="X110" s="172"/>
      <c r="Y110" s="172"/>
      <c r="Z110" s="172"/>
      <c r="AA110" s="172"/>
      <c r="AB110" s="172"/>
      <c r="AC110" s="172"/>
      <c r="AD110" s="172"/>
      <c r="AE110" s="172"/>
      <c r="AF110" s="172"/>
      <c r="AG110" s="172"/>
      <c r="AH110" s="172"/>
      <c r="AI110" s="172"/>
      <c r="AJ110" s="172"/>
      <c r="AK110" s="172"/>
      <c r="AL110" s="172"/>
      <c r="AM110" s="172"/>
      <c r="AN110" s="172"/>
      <c r="AO110" s="172"/>
      <c r="AP110" s="172"/>
      <c r="AQ110" s="172"/>
      <c r="AR110" s="172"/>
      <c r="AS110" s="172"/>
    </row>
    <row r="111" spans="1:45">
      <c r="A111" s="195" t="s">
        <v>585</v>
      </c>
      <c r="B111" s="47">
        <v>5.3999999999999999E-2</v>
      </c>
      <c r="C111" s="365">
        <v>5.3999999999999999E-2</v>
      </c>
      <c r="D111" s="75" t="s">
        <v>53</v>
      </c>
      <c r="E111" s="195"/>
      <c r="F111" s="195"/>
      <c r="G111" s="195"/>
      <c r="H111" s="195"/>
      <c r="I111" s="195"/>
      <c r="J111" s="195"/>
      <c r="K111" s="195"/>
      <c r="L111" s="195"/>
      <c r="M111" s="195"/>
      <c r="N111" s="195"/>
      <c r="O111" s="195"/>
      <c r="P111" s="195"/>
      <c r="V111" s="171"/>
      <c r="W111" s="172"/>
      <c r="X111" s="172"/>
      <c r="Y111" s="172"/>
      <c r="Z111" s="172"/>
      <c r="AA111" s="172"/>
      <c r="AB111" s="172"/>
      <c r="AC111" s="172"/>
      <c r="AD111" s="172"/>
      <c r="AE111" s="172"/>
      <c r="AF111" s="172"/>
      <c r="AG111" s="172"/>
      <c r="AH111" s="172"/>
      <c r="AI111" s="172"/>
      <c r="AJ111" s="172"/>
      <c r="AK111" s="172"/>
      <c r="AL111" s="172"/>
      <c r="AM111" s="172"/>
      <c r="AN111" s="172"/>
      <c r="AO111" s="172"/>
      <c r="AP111" s="172"/>
      <c r="AQ111" s="172"/>
      <c r="AR111" s="172"/>
      <c r="AS111" s="172"/>
    </row>
    <row r="112" spans="1:45">
      <c r="A112" s="195" t="s">
        <v>586</v>
      </c>
      <c r="B112" s="47">
        <v>0</v>
      </c>
      <c r="C112" s="365">
        <v>0</v>
      </c>
      <c r="D112" s="75" t="s">
        <v>589</v>
      </c>
      <c r="E112" s="195"/>
      <c r="F112" s="195"/>
      <c r="G112" s="195"/>
      <c r="H112" s="195"/>
      <c r="I112" s="195"/>
      <c r="J112" s="195"/>
      <c r="K112" s="195"/>
      <c r="L112" s="195"/>
      <c r="M112" s="195"/>
      <c r="N112" s="195"/>
      <c r="O112" s="195"/>
      <c r="P112" s="195"/>
      <c r="V112" s="171"/>
      <c r="W112" s="172"/>
      <c r="X112" s="172"/>
      <c r="Y112" s="172"/>
      <c r="Z112" s="172"/>
      <c r="AA112" s="172"/>
      <c r="AB112" s="172"/>
      <c r="AC112" s="172"/>
      <c r="AD112" s="172"/>
      <c r="AE112" s="172"/>
      <c r="AF112" s="172"/>
      <c r="AG112" s="172"/>
      <c r="AH112" s="172"/>
      <c r="AI112" s="172"/>
      <c r="AJ112" s="172"/>
      <c r="AK112" s="172"/>
      <c r="AL112" s="172"/>
      <c r="AM112" s="172"/>
      <c r="AN112" s="172"/>
      <c r="AO112" s="172"/>
      <c r="AP112" s="172"/>
      <c r="AQ112" s="172"/>
      <c r="AR112" s="172"/>
      <c r="AS112" s="172"/>
    </row>
    <row r="113" spans="1:45">
      <c r="A113" t="s">
        <v>966</v>
      </c>
      <c r="B113" s="47">
        <v>0</v>
      </c>
      <c r="C113" s="365">
        <v>0</v>
      </c>
      <c r="D113" s="75" t="s">
        <v>742</v>
      </c>
      <c r="E113" s="195"/>
      <c r="F113" s="195"/>
      <c r="G113" s="195"/>
      <c r="H113" s="195"/>
      <c r="I113" s="195"/>
      <c r="J113" s="195"/>
      <c r="K113" s="195"/>
      <c r="L113" s="195"/>
      <c r="M113" s="195"/>
      <c r="N113" s="195"/>
      <c r="O113" s="195"/>
      <c r="P113" s="195"/>
      <c r="V113" s="171"/>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row>
    <row r="114" spans="1:45">
      <c r="A114" s="195" t="s">
        <v>967</v>
      </c>
      <c r="B114" s="47">
        <v>0</v>
      </c>
      <c r="C114" s="365">
        <v>0</v>
      </c>
      <c r="D114" s="75" t="s">
        <v>43</v>
      </c>
      <c r="E114" s="195"/>
      <c r="F114" s="195"/>
      <c r="G114" s="195"/>
      <c r="H114" s="195"/>
      <c r="I114" s="195"/>
      <c r="J114" s="195"/>
      <c r="K114" s="195"/>
      <c r="L114" s="195"/>
      <c r="M114" s="195"/>
      <c r="N114" s="195"/>
      <c r="O114" s="195"/>
      <c r="P114" s="195"/>
      <c r="V114" s="171"/>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row>
    <row r="115" spans="1:45">
      <c r="A115" s="205" t="s">
        <v>367</v>
      </c>
      <c r="B115" s="47">
        <v>0</v>
      </c>
      <c r="C115" s="365">
        <v>0</v>
      </c>
      <c r="D115" s="75" t="s">
        <v>54</v>
      </c>
      <c r="E115" s="195"/>
      <c r="F115" s="195"/>
      <c r="G115" s="195"/>
      <c r="H115" s="195"/>
      <c r="I115" s="195"/>
      <c r="J115" s="195"/>
      <c r="K115" s="195"/>
      <c r="L115" s="195"/>
      <c r="M115" s="195"/>
      <c r="N115" s="195"/>
      <c r="O115" s="195"/>
      <c r="P115" s="195"/>
      <c r="V115" s="171"/>
      <c r="W115" s="172"/>
      <c r="X115" s="172"/>
      <c r="Y115" s="172"/>
      <c r="Z115" s="172"/>
      <c r="AA115" s="172"/>
      <c r="AB115" s="172"/>
      <c r="AC115" s="172"/>
      <c r="AD115" s="172"/>
      <c r="AE115" s="172"/>
      <c r="AF115" s="172"/>
      <c r="AG115" s="172"/>
      <c r="AH115" s="172"/>
      <c r="AI115" s="172"/>
      <c r="AJ115" s="172"/>
      <c r="AK115" s="172"/>
      <c r="AL115" s="172"/>
      <c r="AM115" s="172"/>
      <c r="AN115" s="172"/>
      <c r="AO115" s="172"/>
      <c r="AP115" s="172"/>
      <c r="AQ115" s="172"/>
      <c r="AR115" s="172"/>
      <c r="AS115" s="172"/>
    </row>
    <row r="116" spans="1:45">
      <c r="A116" s="195" t="s">
        <v>587</v>
      </c>
      <c r="B116" s="47">
        <v>0</v>
      </c>
      <c r="C116" s="365">
        <v>0</v>
      </c>
      <c r="D116" s="75" t="s">
        <v>55</v>
      </c>
      <c r="E116" s="195"/>
      <c r="F116" s="195"/>
      <c r="G116" s="195"/>
      <c r="H116" s="195"/>
      <c r="I116" s="195"/>
      <c r="J116" s="195"/>
      <c r="K116" s="195"/>
      <c r="L116" s="195"/>
      <c r="M116" s="195"/>
      <c r="N116" s="195"/>
      <c r="O116" s="195"/>
      <c r="P116" s="195"/>
      <c r="V116" s="171"/>
      <c r="W116" s="172"/>
      <c r="X116" s="172"/>
      <c r="Y116" s="172"/>
      <c r="Z116" s="172"/>
      <c r="AA116" s="172"/>
      <c r="AB116" s="172"/>
      <c r="AC116" s="172"/>
      <c r="AD116" s="172"/>
      <c r="AE116" s="172"/>
      <c r="AF116" s="172"/>
      <c r="AG116" s="172"/>
      <c r="AH116" s="172"/>
      <c r="AI116" s="172"/>
      <c r="AJ116" s="172"/>
      <c r="AK116" s="172"/>
      <c r="AL116" s="172"/>
      <c r="AM116" s="172"/>
      <c r="AN116" s="172"/>
      <c r="AO116" s="172"/>
      <c r="AP116" s="172"/>
      <c r="AQ116" s="172"/>
      <c r="AR116" s="172"/>
      <c r="AS116" s="172"/>
    </row>
    <row r="117" spans="1:45">
      <c r="A117" s="195" t="s">
        <v>404</v>
      </c>
      <c r="B117" s="47">
        <v>16.876623934726585</v>
      </c>
      <c r="C117" s="365">
        <v>16.876623934726585</v>
      </c>
      <c r="D117" s="75" t="s">
        <v>106</v>
      </c>
      <c r="E117" s="195"/>
      <c r="F117" s="195"/>
      <c r="G117" s="195"/>
      <c r="H117" s="195"/>
      <c r="I117" s="195"/>
      <c r="J117" s="195"/>
      <c r="K117" s="195"/>
      <c r="L117" s="195"/>
      <c r="M117" s="195"/>
      <c r="N117" s="195"/>
      <c r="O117" s="195"/>
      <c r="P117" s="195"/>
      <c r="V117" s="171"/>
      <c r="W117" s="172"/>
      <c r="X117" s="172"/>
      <c r="Y117" s="172"/>
      <c r="Z117" s="172"/>
      <c r="AA117" s="172"/>
      <c r="AB117" s="172"/>
      <c r="AC117" s="172"/>
      <c r="AD117" s="172"/>
      <c r="AE117" s="172"/>
      <c r="AF117" s="172"/>
      <c r="AG117" s="172"/>
      <c r="AH117" s="172"/>
      <c r="AI117" s="172"/>
      <c r="AJ117" s="172"/>
      <c r="AK117" s="172"/>
      <c r="AL117" s="172"/>
      <c r="AM117" s="172"/>
      <c r="AN117" s="172"/>
      <c r="AO117" s="172"/>
      <c r="AP117" s="172"/>
      <c r="AQ117" s="172"/>
      <c r="AR117" s="172"/>
      <c r="AS117" s="172"/>
    </row>
    <row r="118" spans="1:45">
      <c r="A118" s="195" t="s">
        <v>408</v>
      </c>
      <c r="B118" s="45">
        <v>12.915719999999999</v>
      </c>
      <c r="C118" s="365">
        <v>12.915719999999999</v>
      </c>
      <c r="D118" s="75" t="s">
        <v>573</v>
      </c>
      <c r="E118" s="195"/>
      <c r="F118" s="195"/>
      <c r="G118" s="195"/>
      <c r="H118" s="195"/>
      <c r="I118" s="195"/>
      <c r="J118" s="195"/>
      <c r="K118" s="211"/>
      <c r="L118" s="198" t="s">
        <v>250</v>
      </c>
      <c r="M118" s="195"/>
      <c r="N118" s="195"/>
      <c r="O118" s="195"/>
      <c r="P118" s="195"/>
      <c r="V118" s="171"/>
      <c r="W118" s="172"/>
      <c r="X118" s="172"/>
      <c r="Y118" s="172"/>
      <c r="Z118" s="172"/>
      <c r="AA118" s="172"/>
      <c r="AB118" s="172"/>
      <c r="AC118" s="172"/>
      <c r="AD118" s="172"/>
      <c r="AE118" s="172"/>
      <c r="AF118" s="172"/>
      <c r="AG118" s="172"/>
      <c r="AH118" s="172"/>
      <c r="AI118" s="172"/>
      <c r="AJ118" s="172"/>
      <c r="AK118" s="172"/>
      <c r="AL118" s="172"/>
      <c r="AM118" s="172"/>
      <c r="AN118" s="172"/>
      <c r="AO118" s="172"/>
      <c r="AP118" s="172"/>
      <c r="AQ118" s="172"/>
      <c r="AR118" s="172"/>
      <c r="AS118" s="172"/>
    </row>
    <row r="119" spans="1:45">
      <c r="A119" s="195" t="s">
        <v>578</v>
      </c>
      <c r="B119" s="45">
        <v>0</v>
      </c>
      <c r="C119" s="365">
        <v>0</v>
      </c>
      <c r="D119" s="75" t="s">
        <v>579</v>
      </c>
      <c r="E119" s="195"/>
      <c r="F119" s="195"/>
      <c r="G119" s="195"/>
      <c r="H119" s="195"/>
      <c r="I119" s="195"/>
      <c r="J119" s="195"/>
      <c r="K119" s="211"/>
      <c r="L119" s="198"/>
      <c r="M119" s="195"/>
      <c r="N119" s="195"/>
      <c r="O119" s="195"/>
      <c r="P119" s="195"/>
      <c r="V119" s="171"/>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row>
    <row r="120" spans="1:45">
      <c r="A120" s="195" t="s">
        <v>602</v>
      </c>
      <c r="B120" s="45">
        <v>0</v>
      </c>
      <c r="C120" s="365">
        <v>0</v>
      </c>
      <c r="D120" s="75" t="s">
        <v>580</v>
      </c>
      <c r="E120" s="195"/>
      <c r="F120" s="195"/>
      <c r="G120" s="195"/>
      <c r="H120" s="195"/>
      <c r="I120" s="195"/>
      <c r="J120" s="195"/>
      <c r="K120" s="211"/>
      <c r="L120" s="198"/>
      <c r="M120" s="195"/>
      <c r="N120" s="195"/>
      <c r="O120" s="195"/>
      <c r="P120" s="195"/>
      <c r="V120" s="171"/>
      <c r="W120" s="172"/>
      <c r="X120" s="172"/>
      <c r="Y120" s="172"/>
      <c r="Z120" s="172"/>
      <c r="AA120" s="172"/>
      <c r="AB120" s="172"/>
      <c r="AC120" s="172"/>
      <c r="AD120" s="172"/>
      <c r="AE120" s="172"/>
      <c r="AF120" s="172"/>
      <c r="AG120" s="172"/>
      <c r="AH120" s="172"/>
      <c r="AI120" s="172"/>
      <c r="AJ120" s="172"/>
      <c r="AK120" s="172"/>
      <c r="AL120" s="172"/>
      <c r="AM120" s="172"/>
      <c r="AN120" s="172"/>
      <c r="AO120" s="172"/>
      <c r="AP120" s="172"/>
      <c r="AQ120" s="172"/>
      <c r="AR120" s="172"/>
      <c r="AS120" s="172"/>
    </row>
    <row r="121" spans="1:45">
      <c r="A121" s="195" t="s">
        <v>406</v>
      </c>
      <c r="B121" s="47">
        <v>30.721163705977389</v>
      </c>
      <c r="C121" s="202">
        <v>30.721163705977389</v>
      </c>
      <c r="D121" s="356">
        <f>(B121-C121)/B121</f>
        <v>0</v>
      </c>
      <c r="E121" s="195"/>
      <c r="F121" s="195"/>
      <c r="G121" s="195"/>
      <c r="H121" s="195"/>
      <c r="I121" s="195"/>
      <c r="J121" s="195"/>
      <c r="K121" s="211"/>
      <c r="L121" s="198"/>
      <c r="M121" s="195"/>
      <c r="N121" s="195"/>
      <c r="O121" s="195"/>
      <c r="P121" s="195"/>
    </row>
    <row r="122" spans="1:45">
      <c r="A122" s="195"/>
      <c r="B122" s="47"/>
      <c r="C122" s="202"/>
      <c r="D122" s="356"/>
      <c r="E122" s="195"/>
      <c r="F122" s="195"/>
      <c r="G122" s="195"/>
      <c r="H122" s="195"/>
      <c r="I122" s="195"/>
      <c r="J122" s="195"/>
      <c r="K122" s="211"/>
      <c r="L122" s="198"/>
      <c r="M122" s="195"/>
      <c r="N122" s="195"/>
      <c r="O122" s="195"/>
      <c r="P122" s="195"/>
    </row>
    <row r="123" spans="1:45">
      <c r="A123" s="195"/>
      <c r="B123" s="195"/>
      <c r="C123" s="195"/>
      <c r="D123" s="195"/>
      <c r="E123" s="195"/>
      <c r="F123" s="195"/>
      <c r="G123" s="195"/>
      <c r="H123" s="195"/>
      <c r="I123" s="195"/>
      <c r="J123" s="195"/>
      <c r="K123" s="211"/>
      <c r="L123" s="198"/>
      <c r="M123" s="195"/>
      <c r="N123" s="195"/>
      <c r="O123" s="195"/>
      <c r="P123" s="195"/>
    </row>
    <row r="124" spans="1:45" ht="18">
      <c r="A124" s="131" t="s">
        <v>526</v>
      </c>
      <c r="B124" s="98"/>
      <c r="C124" s="98"/>
      <c r="D124" s="98"/>
      <c r="E124" s="98"/>
      <c r="F124" s="98"/>
      <c r="G124" s="98"/>
      <c r="H124" s="181" t="s">
        <v>522</v>
      </c>
      <c r="I124" s="182"/>
      <c r="J124" s="182"/>
      <c r="K124" s="211"/>
      <c r="L124" s="198"/>
      <c r="M124" s="195"/>
      <c r="N124" s="195"/>
      <c r="O124" s="195"/>
      <c r="P124" s="195"/>
      <c r="Q124" s="9"/>
      <c r="V124" s="171"/>
    </row>
    <row r="125" spans="1:45" s="35" customFormat="1" ht="22.5">
      <c r="A125" s="236"/>
      <c r="B125" s="235" t="s">
        <v>213</v>
      </c>
      <c r="C125" s="235" t="s">
        <v>105</v>
      </c>
      <c r="D125" s="235" t="s">
        <v>179</v>
      </c>
      <c r="E125" s="235" t="s">
        <v>104</v>
      </c>
      <c r="F125" s="235" t="s">
        <v>180</v>
      </c>
      <c r="G125" s="235" t="s">
        <v>181</v>
      </c>
      <c r="H125" s="237" t="s">
        <v>72</v>
      </c>
      <c r="I125" s="237" t="s">
        <v>216</v>
      </c>
      <c r="J125" s="235"/>
      <c r="K125" s="229"/>
      <c r="L125" s="198"/>
      <c r="M125" s="195"/>
      <c r="N125" s="195"/>
      <c r="O125" s="195"/>
      <c r="P125" s="195"/>
      <c r="V125" s="171"/>
      <c r="W125" s="172"/>
      <c r="X125" s="172"/>
      <c r="Y125" s="172"/>
      <c r="Z125" s="172"/>
      <c r="AA125" s="172"/>
      <c r="AB125" s="172"/>
      <c r="AC125" s="172"/>
      <c r="AD125" s="172"/>
      <c r="AE125" s="172"/>
      <c r="AF125" s="172"/>
      <c r="AG125" s="172"/>
      <c r="AH125" s="172"/>
      <c r="AI125" s="172"/>
      <c r="AJ125" s="172"/>
      <c r="AK125" s="172"/>
      <c r="AL125" s="172"/>
      <c r="AM125" s="172"/>
      <c r="AN125" s="172"/>
      <c r="AO125" s="172"/>
      <c r="AP125" s="172"/>
      <c r="AQ125" s="172"/>
      <c r="AR125" s="172"/>
      <c r="AS125" s="172"/>
    </row>
    <row r="126" spans="1:45">
      <c r="A126" s="195"/>
      <c r="B126" s="262" t="s">
        <v>214</v>
      </c>
      <c r="C126" s="262" t="s">
        <v>610</v>
      </c>
      <c r="D126" s="262" t="s">
        <v>235</v>
      </c>
      <c r="E126" s="262" t="s">
        <v>103</v>
      </c>
      <c r="F126" s="262" t="s">
        <v>71</v>
      </c>
      <c r="G126" s="262" t="s">
        <v>70</v>
      </c>
      <c r="H126" s="262" t="s">
        <v>482</v>
      </c>
      <c r="I126" s="262" t="s">
        <v>215</v>
      </c>
      <c r="J126" s="205" t="s">
        <v>248</v>
      </c>
      <c r="K126" s="195"/>
      <c r="L126" s="198"/>
      <c r="M126" s="195"/>
      <c r="N126" s="195"/>
      <c r="O126" s="195"/>
      <c r="P126" s="195"/>
      <c r="V126" s="171"/>
      <c r="W126" s="172"/>
      <c r="X126" s="172"/>
      <c r="Y126" s="172"/>
      <c r="Z126" s="172"/>
      <c r="AA126" s="172"/>
      <c r="AB126" s="172"/>
      <c r="AC126" s="172"/>
      <c r="AD126" s="172"/>
      <c r="AE126" s="172"/>
      <c r="AF126" s="172"/>
      <c r="AG126" s="172"/>
      <c r="AH126" s="172"/>
      <c r="AI126" s="172"/>
      <c r="AJ126" s="172"/>
      <c r="AK126" s="172"/>
      <c r="AL126" s="172"/>
      <c r="AM126" s="172"/>
      <c r="AN126" s="172"/>
      <c r="AO126" s="172"/>
      <c r="AP126" s="172"/>
      <c r="AQ126" s="172"/>
      <c r="AR126" s="172"/>
      <c r="AS126" s="172"/>
    </row>
    <row r="127" spans="1:45">
      <c r="A127" s="211" t="s">
        <v>244</v>
      </c>
      <c r="B127" s="77">
        <f t="shared" ref="B127:B137" ca="1" si="30">1-SUM(C127:I127)</f>
        <v>0.72</v>
      </c>
      <c r="C127" s="41">
        <f ca="1">SUMIF(OFFSET(CalibData2!$M$3,1,0,$Q$2),ROW()+COLUMN()/100,OFFSET(CalibData2!$O$3,1,0,$Q$2))</f>
        <v>0</v>
      </c>
      <c r="D127" s="41">
        <f ca="1">SUMIF(OFFSET(CalibData2!$M$3,1,0,$Q$2),ROW()+COLUMN()/100,OFFSET(CalibData2!$O$3,1,0,$Q$2))</f>
        <v>0.18</v>
      </c>
      <c r="E127" s="227">
        <v>0</v>
      </c>
      <c r="F127" s="41">
        <f ca="1">SUMIF(OFFSET(CalibData2!$M$3,1,0,$Q$2),ROW()+COLUMN()/100,OFFSET(CalibData2!$O$3,1,0,$Q$2))</f>
        <v>0.1</v>
      </c>
      <c r="G127" s="227"/>
      <c r="H127" s="227"/>
      <c r="I127" s="41">
        <f ca="1">SUMIF(OFFSET(CalibData2!$M$3,1,0,$Q$2),ROW()+COLUMN()/100,OFFSET(CalibData2!$O$3,1,0,$Q$2))</f>
        <v>0</v>
      </c>
      <c r="J127" s="212">
        <f t="shared" ref="J127:J137" ca="1" si="31">SUM(B127:I127)</f>
        <v>0.99999999999999989</v>
      </c>
      <c r="K127" s="220" t="str">
        <f t="shared" ref="K127:K137" ca="1" si="32">IF(G99&gt;0,IF(J127&lt;&gt;1,"ERROR",""),"")</f>
        <v/>
      </c>
      <c r="L127" s="198"/>
      <c r="M127" s="195"/>
      <c r="N127" s="195"/>
      <c r="O127" s="195"/>
      <c r="P127" s="195"/>
      <c r="V127" s="171"/>
      <c r="W127" s="172"/>
      <c r="X127" s="172"/>
      <c r="Y127" s="172"/>
      <c r="Z127" s="172"/>
      <c r="AA127" s="172"/>
      <c r="AB127" s="172"/>
      <c r="AC127" s="172"/>
      <c r="AD127" s="172"/>
      <c r="AE127" s="172"/>
      <c r="AF127" s="172"/>
      <c r="AG127" s="172"/>
      <c r="AH127" s="172"/>
      <c r="AI127" s="172"/>
      <c r="AJ127" s="172"/>
      <c r="AK127" s="172"/>
      <c r="AL127" s="172"/>
      <c r="AM127" s="172"/>
      <c r="AN127" s="172"/>
      <c r="AO127" s="172"/>
      <c r="AP127" s="172"/>
      <c r="AQ127" s="172"/>
      <c r="AR127" s="172"/>
      <c r="AS127" s="172"/>
    </row>
    <row r="128" spans="1:45">
      <c r="A128" s="211" t="s">
        <v>663</v>
      </c>
      <c r="B128" s="77">
        <f t="shared" ca="1" si="30"/>
        <v>0.8</v>
      </c>
      <c r="C128" s="41">
        <f ca="1">SUMIF(OFFSET(CalibData2!$M$3,1,0,$Q$2),ROW()+COLUMN()/100,OFFSET(CalibData2!$O$3,1,0,$Q$2))</f>
        <v>0</v>
      </c>
      <c r="D128" s="41">
        <f ca="1">SUMIF(OFFSET(CalibData2!$M$3,1,0,$Q$2),ROW()+COLUMN()/100,OFFSET(CalibData2!$O$3,1,0,$Q$2))</f>
        <v>0.2</v>
      </c>
      <c r="E128" s="227">
        <v>0</v>
      </c>
      <c r="F128" s="41">
        <f ca="1">SUMIF(OFFSET(CalibData2!$M$3,1,0,$Q$2),ROW()+COLUMN()/100,OFFSET(CalibData2!$O$3,1,0,$Q$2))</f>
        <v>0</v>
      </c>
      <c r="G128" s="227"/>
      <c r="H128" s="227"/>
      <c r="I128" s="41">
        <f ca="1">SUMIF(OFFSET(CalibData2!$M$3,1,0,$Q$2),ROW()+COLUMN()/100,OFFSET(CalibData2!$O$3,1,0,$Q$2))</f>
        <v>0</v>
      </c>
      <c r="J128" s="212">
        <f t="shared" ca="1" si="31"/>
        <v>1</v>
      </c>
      <c r="K128" s="220" t="str">
        <f t="shared" ca="1" si="32"/>
        <v/>
      </c>
      <c r="L128" s="198"/>
      <c r="M128" s="195"/>
      <c r="N128" s="195"/>
      <c r="O128" s="195"/>
      <c r="P128" s="195"/>
      <c r="V128" s="171"/>
      <c r="W128" s="172"/>
      <c r="X128" s="172"/>
      <c r="Y128" s="172"/>
      <c r="Z128" s="172"/>
      <c r="AA128" s="172"/>
      <c r="AB128" s="172"/>
      <c r="AC128" s="172"/>
      <c r="AD128" s="172"/>
      <c r="AE128" s="172"/>
      <c r="AF128" s="172"/>
      <c r="AG128" s="172"/>
      <c r="AH128" s="172"/>
      <c r="AI128" s="172"/>
      <c r="AJ128" s="172"/>
      <c r="AK128" s="172"/>
      <c r="AL128" s="172"/>
      <c r="AM128" s="172"/>
      <c r="AN128" s="172"/>
      <c r="AO128" s="172"/>
      <c r="AP128" s="172"/>
      <c r="AQ128" s="172"/>
      <c r="AR128" s="172"/>
      <c r="AS128" s="172"/>
    </row>
    <row r="129" spans="1:45">
      <c r="A129" s="211" t="s">
        <v>87</v>
      </c>
      <c r="B129" s="77">
        <f t="shared" ca="1" si="30"/>
        <v>0.8</v>
      </c>
      <c r="C129" s="227"/>
      <c r="D129" s="41">
        <f ca="1">SUMIF(OFFSET(CalibData2!$M$3,1,0,$Q$2),ROW()+COLUMN()/100,OFFSET(CalibData2!$O$3,1,0,$Q$2))</f>
        <v>0.2</v>
      </c>
      <c r="E129" s="227"/>
      <c r="F129" s="227"/>
      <c r="G129" s="227"/>
      <c r="H129" s="227"/>
      <c r="I129" s="227"/>
      <c r="J129" s="212">
        <f t="shared" ca="1" si="31"/>
        <v>1</v>
      </c>
      <c r="K129" s="220" t="str">
        <f t="shared" si="32"/>
        <v/>
      </c>
      <c r="L129" s="198"/>
      <c r="M129" s="195"/>
      <c r="N129" s="195"/>
      <c r="O129" s="195"/>
      <c r="P129" s="195"/>
      <c r="V129" s="171"/>
      <c r="W129" s="172"/>
      <c r="X129" s="172"/>
      <c r="Y129" s="172"/>
      <c r="Z129" s="172"/>
      <c r="AA129" s="172"/>
      <c r="AB129" s="172"/>
      <c r="AC129" s="172"/>
      <c r="AD129" s="172"/>
      <c r="AE129" s="172"/>
      <c r="AF129" s="172"/>
      <c r="AG129" s="172"/>
      <c r="AH129" s="172"/>
      <c r="AI129" s="172"/>
      <c r="AJ129" s="172"/>
      <c r="AK129" s="172"/>
      <c r="AL129" s="172"/>
      <c r="AM129" s="172"/>
      <c r="AN129" s="172"/>
      <c r="AO129" s="172"/>
      <c r="AP129" s="172"/>
      <c r="AQ129" s="172"/>
      <c r="AR129" s="172"/>
      <c r="AS129" s="172"/>
    </row>
    <row r="130" spans="1:45">
      <c r="A130" s="211" t="s">
        <v>576</v>
      </c>
      <c r="B130" s="77">
        <f t="shared" ca="1" si="30"/>
        <v>0.8</v>
      </c>
      <c r="C130" s="227"/>
      <c r="D130" s="41">
        <f ca="1">SUMIF(OFFSET(CalibData2!$M$3,1,0,$Q$2),ROW()+COLUMN()/100,OFFSET(CalibData2!$O$3,1,0,$Q$2))</f>
        <v>0.2</v>
      </c>
      <c r="E130" s="41">
        <f ca="1">SUMIF(OFFSET(CalibData2!$M$3,1,0,$Q$2),ROW()+COLUMN()/100,OFFSET(CalibData2!$O$3,1,0,$Q$2))</f>
        <v>0</v>
      </c>
      <c r="F130" s="41">
        <f ca="1">SUMIF(OFFSET(CalibData2!$M$3,1,0,$Q$2),ROW()+COLUMN()/100,OFFSET(CalibData2!$O$3,1,0,$Q$2))</f>
        <v>0</v>
      </c>
      <c r="G130" s="227"/>
      <c r="H130" s="227"/>
      <c r="I130" s="227"/>
      <c r="J130" s="212">
        <f t="shared" ca="1" si="31"/>
        <v>1</v>
      </c>
      <c r="K130" s="220" t="str">
        <f t="shared" si="32"/>
        <v/>
      </c>
      <c r="L130" s="198"/>
      <c r="M130" s="195"/>
      <c r="N130" s="195"/>
      <c r="O130" s="195"/>
      <c r="P130" s="195"/>
      <c r="V130" s="171"/>
      <c r="W130" s="172"/>
      <c r="X130" s="172"/>
      <c r="Y130" s="172"/>
      <c r="Z130" s="172"/>
      <c r="AA130" s="172"/>
      <c r="AB130" s="172"/>
      <c r="AC130" s="172"/>
      <c r="AD130" s="172"/>
      <c r="AE130" s="172"/>
      <c r="AF130" s="172"/>
      <c r="AG130" s="172"/>
      <c r="AH130" s="172"/>
      <c r="AI130" s="172"/>
      <c r="AJ130" s="172"/>
      <c r="AK130" s="172"/>
      <c r="AL130" s="172"/>
      <c r="AM130" s="172"/>
      <c r="AN130" s="172"/>
      <c r="AO130" s="172"/>
      <c r="AP130" s="172"/>
      <c r="AQ130" s="172"/>
      <c r="AR130" s="172"/>
      <c r="AS130" s="172"/>
    </row>
    <row r="131" spans="1:45">
      <c r="A131" s="211" t="s">
        <v>412</v>
      </c>
      <c r="B131" s="77">
        <f t="shared" ca="1" si="30"/>
        <v>0.8</v>
      </c>
      <c r="C131" s="227"/>
      <c r="D131" s="41">
        <f ca="1">SUMIF(OFFSET(CalibData2!$M$3,1,0,$Q$2),ROW()+COLUMN()/100,OFFSET(CalibData2!$O$3,1,0,$Q$2))</f>
        <v>0.2</v>
      </c>
      <c r="E131" s="227"/>
      <c r="F131" s="41">
        <f ca="1">SUMIF(OFFSET(CalibData2!$M$3,1,0,$Q$2),ROW()+COLUMN()/100,OFFSET(CalibData2!$O$3,1,0,$Q$2))</f>
        <v>0</v>
      </c>
      <c r="G131" s="227"/>
      <c r="H131" s="227"/>
      <c r="I131" s="227"/>
      <c r="J131" s="212">
        <f t="shared" ca="1" si="31"/>
        <v>1</v>
      </c>
      <c r="K131" s="220" t="str">
        <f t="shared" si="32"/>
        <v/>
      </c>
      <c r="L131" s="198"/>
      <c r="M131" s="195"/>
      <c r="N131" s="195"/>
      <c r="O131" s="195"/>
      <c r="P131" s="195"/>
      <c r="V131" s="171"/>
      <c r="W131" s="172"/>
      <c r="X131" s="172"/>
      <c r="Y131" s="172"/>
      <c r="Z131" s="172"/>
      <c r="AA131" s="172"/>
      <c r="AB131" s="172"/>
      <c r="AC131" s="172"/>
      <c r="AD131" s="172"/>
      <c r="AE131" s="172"/>
      <c r="AF131" s="172"/>
      <c r="AG131" s="172"/>
      <c r="AH131" s="172"/>
      <c r="AI131" s="172"/>
      <c r="AJ131" s="172"/>
      <c r="AK131" s="172"/>
      <c r="AL131" s="172"/>
      <c r="AM131" s="172"/>
      <c r="AN131" s="172"/>
      <c r="AO131" s="172"/>
      <c r="AP131" s="172"/>
      <c r="AQ131" s="172"/>
      <c r="AR131" s="172"/>
      <c r="AS131" s="172"/>
    </row>
    <row r="132" spans="1:45">
      <c r="A132" s="211" t="s">
        <v>212</v>
      </c>
      <c r="B132" s="77">
        <f t="shared" ca="1" si="30"/>
        <v>0.44999999999999996</v>
      </c>
      <c r="C132" s="227">
        <v>0</v>
      </c>
      <c r="D132" s="41">
        <f ca="1">SUMIF(OFFSET(CalibData2!$M$3,1,0,$Q$2),ROW()+COLUMN()/100,OFFSET(CalibData2!$O$3,1,0,$Q$2))</f>
        <v>0.3</v>
      </c>
      <c r="E132" s="227"/>
      <c r="F132" s="41">
        <f ca="1">SUMIF(OFFSET(CalibData2!$M$3,1,0,$Q$2),ROW()+COLUMN()/100,OFFSET(CalibData2!$O$3,1,0,$Q$2))</f>
        <v>0.25</v>
      </c>
      <c r="G132" s="227"/>
      <c r="H132" s="227"/>
      <c r="I132" s="227"/>
      <c r="J132" s="212">
        <f t="shared" ca="1" si="31"/>
        <v>1</v>
      </c>
      <c r="K132" s="220" t="str">
        <f t="shared" si="32"/>
        <v/>
      </c>
      <c r="L132" s="198"/>
      <c r="M132" s="195"/>
      <c r="N132" s="195"/>
      <c r="O132" s="195"/>
      <c r="P132" s="195"/>
      <c r="V132" s="171"/>
      <c r="W132" s="172"/>
      <c r="X132" s="172"/>
      <c r="Y132" s="172"/>
      <c r="Z132" s="172"/>
      <c r="AA132" s="172"/>
      <c r="AB132" s="172"/>
      <c r="AC132" s="172"/>
      <c r="AD132" s="172"/>
      <c r="AE132" s="172"/>
      <c r="AF132" s="172"/>
      <c r="AG132" s="172"/>
      <c r="AH132" s="172"/>
      <c r="AI132" s="172"/>
      <c r="AJ132" s="172"/>
      <c r="AK132" s="172"/>
      <c r="AL132" s="172"/>
      <c r="AM132" s="172"/>
      <c r="AN132" s="172"/>
      <c r="AO132" s="172"/>
      <c r="AP132" s="172"/>
      <c r="AQ132" s="172"/>
      <c r="AR132" s="172"/>
      <c r="AS132" s="172"/>
    </row>
    <row r="133" spans="1:45">
      <c r="A133" s="211" t="s">
        <v>588</v>
      </c>
      <c r="B133" s="77">
        <f t="shared" ca="1" si="30"/>
        <v>1</v>
      </c>
      <c r="C133" s="227"/>
      <c r="D133" s="41">
        <f ca="1">SUMIF(OFFSET(CalibData2!$M$3,1,0,$Q$2),ROW()+COLUMN()/100,OFFSET(CalibData2!$O$3,1,0,$Q$2))</f>
        <v>0</v>
      </c>
      <c r="E133" s="227"/>
      <c r="F133" s="41">
        <f ca="1">SUMIF(OFFSET(CalibData2!$M$3,1,0,$Q$2),ROW()+COLUMN()/100,OFFSET(CalibData2!$O$3,1,0,$Q$2))</f>
        <v>0</v>
      </c>
      <c r="G133" s="227"/>
      <c r="H133" s="227"/>
      <c r="I133" s="227"/>
      <c r="J133" s="212">
        <f t="shared" ca="1" si="31"/>
        <v>1</v>
      </c>
      <c r="K133" s="220" t="str">
        <f t="shared" ca="1" si="32"/>
        <v/>
      </c>
      <c r="L133" s="198"/>
      <c r="M133" s="195"/>
      <c r="N133" s="195"/>
      <c r="O133" s="195"/>
      <c r="P133" s="195"/>
      <c r="V133" s="171"/>
      <c r="W133" s="172"/>
      <c r="X133" s="172"/>
      <c r="Y133" s="172"/>
      <c r="Z133" s="172"/>
      <c r="AA133" s="172"/>
      <c r="AB133" s="172"/>
      <c r="AC133" s="172"/>
      <c r="AD133" s="172"/>
      <c r="AE133" s="172"/>
      <c r="AF133" s="172"/>
      <c r="AG133" s="172"/>
      <c r="AH133" s="172"/>
      <c r="AI133" s="172"/>
      <c r="AJ133" s="172"/>
      <c r="AK133" s="172"/>
      <c r="AL133" s="172"/>
      <c r="AM133" s="172"/>
      <c r="AN133" s="172"/>
      <c r="AO133" s="172"/>
      <c r="AP133" s="172"/>
      <c r="AQ133" s="172"/>
      <c r="AR133" s="172"/>
      <c r="AS133" s="172"/>
    </row>
    <row r="134" spans="1:45">
      <c r="A134" s="211" t="s">
        <v>247</v>
      </c>
      <c r="B134" s="77">
        <f t="shared" ca="1" si="30"/>
        <v>3.6014090695728362E-2</v>
      </c>
      <c r="C134" s="41">
        <f ca="1">SUMIF(OFFSET(CalibData2!$M$3,1,0,$Q$2),ROW()+COLUMN()/100,OFFSET(CalibData2!$O$3,1,0,$Q$2))</f>
        <v>4.3521211980094662E-2</v>
      </c>
      <c r="D134" s="41">
        <f ca="1">SUMIF(OFFSET(CalibData2!$M$3,1,0,$Q$2),ROW()+COLUMN()/100,OFFSET(CalibData2!$O$3,1,0,$Q$2))</f>
        <v>9.5733658811429923E-3</v>
      </c>
      <c r="E134" s="41">
        <f ca="1">SUMIF(OFFSET(CalibData2!$M$3,1,0,$Q$2),ROW()+COLUMN()/100,OFFSET(CalibData2!$O$3,1,0,$Q$2))</f>
        <v>0.30541201389540118</v>
      </c>
      <c r="F134" s="41">
        <f ca="1">SUMIF(OFFSET(CalibData2!$M$3,1,0,$Q$2),ROW()+COLUMN()/100,OFFSET(CalibData2!$O$3,1,0,$Q$2))</f>
        <v>0.04</v>
      </c>
      <c r="G134" s="41">
        <f ca="1">SUMIF(OFFSET(CalibData2!$M$3,1,0,$Q$2),ROW()+COLUMN()/100,OFFSET(CalibData2!$O$3,1,0,$Q$2))</f>
        <v>7.0000000000000007E-2</v>
      </c>
      <c r="H134" s="41">
        <f ca="1">SUMIF(OFFSET(CalibData2!$M$3,1,0,$Q$2),ROW()+COLUMN()/100,OFFSET(CalibData2!$O$3,1,0,$Q$2))</f>
        <v>7.5275883798887555E-2</v>
      </c>
      <c r="I134" s="41">
        <f ca="1">SUMIF(OFFSET(CalibData2!$M$3,1,0,$Q$2),ROW()+COLUMN()/100,OFFSET(CalibData2!$O$3,1,0,$Q$2))</f>
        <v>0.42020343374874525</v>
      </c>
      <c r="J134" s="212">
        <f t="shared" ca="1" si="31"/>
        <v>1</v>
      </c>
      <c r="K134" s="220" t="str">
        <f t="shared" ca="1" si="32"/>
        <v/>
      </c>
      <c r="L134" s="198"/>
      <c r="M134" s="195"/>
      <c r="N134" s="195"/>
      <c r="O134" s="195"/>
      <c r="P134" s="195"/>
    </row>
    <row r="135" spans="1:45">
      <c r="A135" s="211" t="s">
        <v>414</v>
      </c>
      <c r="B135" s="77">
        <f t="shared" ca="1" si="30"/>
        <v>0.79721269894361291</v>
      </c>
      <c r="C135" s="41">
        <f ca="1">SUMIF(OFFSET(CalibData2!$M$3,1,0,$Q$2),ROW()+COLUMN()/100,OFFSET(CalibData2!$O$3,1,0,$Q$2))</f>
        <v>2.7873010563871006E-3</v>
      </c>
      <c r="D135" s="41">
        <f ca="1">SUMIF(OFFSET(CalibData2!$M$3,1,0,$Q$2),ROW()+COLUMN()/100,OFFSET(CalibData2!$O$3,1,0,$Q$2))</f>
        <v>0.2</v>
      </c>
      <c r="E135" s="227"/>
      <c r="F135" s="227"/>
      <c r="G135" s="227"/>
      <c r="H135" s="227"/>
      <c r="I135" s="227"/>
      <c r="J135" s="212">
        <f t="shared" ca="1" si="31"/>
        <v>1</v>
      </c>
      <c r="K135" s="220" t="str">
        <f t="shared" ca="1" si="32"/>
        <v/>
      </c>
      <c r="L135" s="198"/>
      <c r="M135" s="195"/>
      <c r="N135" s="195"/>
      <c r="O135" s="195"/>
      <c r="P135" s="195"/>
      <c r="V135" s="171"/>
    </row>
    <row r="136" spans="1:45">
      <c r="A136" s="211" t="s">
        <v>245</v>
      </c>
      <c r="B136" s="77">
        <f t="shared" ca="1" si="30"/>
        <v>0.5</v>
      </c>
      <c r="C136" s="41">
        <f ca="1">SUMIF(OFFSET(CalibData2!$M$3,1,0,$Q$2),ROW()+COLUMN()/100,OFFSET(CalibData2!$O$3,1,0,$Q$2))</f>
        <v>0.5</v>
      </c>
      <c r="D136" s="41">
        <f ca="1">SUMIF(OFFSET(CalibData2!$M$3,1,0,$Q$2),ROW()+COLUMN()/100,OFFSET(CalibData2!$O$3,1,0,$Q$2))</f>
        <v>0</v>
      </c>
      <c r="E136" s="227"/>
      <c r="F136" s="227"/>
      <c r="G136" s="227"/>
      <c r="H136" s="227"/>
      <c r="I136" s="227"/>
      <c r="J136" s="212">
        <f t="shared" ca="1" si="31"/>
        <v>1</v>
      </c>
      <c r="K136" s="220" t="str">
        <f t="shared" si="32"/>
        <v/>
      </c>
      <c r="L136" s="198"/>
      <c r="M136" s="195"/>
      <c r="N136" s="195"/>
      <c r="O136" s="195"/>
      <c r="P136" s="195"/>
      <c r="V136" s="171"/>
      <c r="W136" s="172"/>
      <c r="X136" s="172"/>
      <c r="Y136" s="172"/>
      <c r="Z136" s="172"/>
      <c r="AA136" s="172"/>
      <c r="AB136" s="172"/>
      <c r="AC136" s="172"/>
      <c r="AD136" s="172"/>
      <c r="AE136" s="172"/>
      <c r="AF136" s="172"/>
      <c r="AG136" s="172"/>
      <c r="AH136" s="172"/>
      <c r="AI136" s="172"/>
      <c r="AJ136" s="172"/>
      <c r="AK136" s="172"/>
      <c r="AL136" s="172"/>
      <c r="AM136" s="172"/>
      <c r="AN136" s="172"/>
      <c r="AO136" s="172"/>
      <c r="AP136" s="172"/>
      <c r="AQ136" s="172"/>
      <c r="AR136" s="172"/>
      <c r="AS136" s="172"/>
    </row>
    <row r="137" spans="1:45">
      <c r="A137" s="211" t="s">
        <v>246</v>
      </c>
      <c r="B137" s="227">
        <f t="shared" ca="1" si="30"/>
        <v>1</v>
      </c>
      <c r="C137" s="227"/>
      <c r="D137" s="41">
        <f ca="1">SUMIF(OFFSET(CalibData2!$M$3,1,0,$Q$2),ROW()+COLUMN()/100,OFFSET(CalibData2!$O$3,1,0,$Q$2))</f>
        <v>0</v>
      </c>
      <c r="E137" s="227"/>
      <c r="F137" s="41">
        <f ca="1">SUMIF(OFFSET(CalibData2!$M$3,1,0,$Q$2),ROW()+COLUMN()/100,OFFSET(CalibData2!$O$3,1,0,$Q$2))</f>
        <v>0</v>
      </c>
      <c r="G137" s="227"/>
      <c r="H137" s="227"/>
      <c r="I137" s="227"/>
      <c r="J137" s="212">
        <f t="shared" ca="1" si="31"/>
        <v>1</v>
      </c>
      <c r="K137" s="220" t="str">
        <f t="shared" si="32"/>
        <v/>
      </c>
      <c r="L137" s="198"/>
      <c r="M137" s="195"/>
      <c r="N137" s="195"/>
      <c r="O137" s="195"/>
      <c r="P137" s="195"/>
      <c r="V137" s="171"/>
      <c r="W137" s="172"/>
      <c r="X137" s="172"/>
      <c r="Y137" s="172"/>
      <c r="Z137" s="172"/>
      <c r="AA137" s="172"/>
      <c r="AB137" s="172"/>
      <c r="AC137" s="172"/>
      <c r="AD137" s="172"/>
      <c r="AE137" s="172"/>
      <c r="AF137" s="172"/>
      <c r="AG137" s="172"/>
      <c r="AH137" s="172"/>
      <c r="AI137" s="172"/>
      <c r="AJ137" s="172"/>
      <c r="AK137" s="172"/>
      <c r="AL137" s="172"/>
      <c r="AM137" s="172"/>
      <c r="AN137" s="172"/>
      <c r="AO137" s="172"/>
      <c r="AP137" s="172"/>
      <c r="AQ137" s="172"/>
      <c r="AR137" s="172"/>
      <c r="AS137" s="172"/>
    </row>
    <row r="138" spans="1:45">
      <c r="A138" s="195"/>
      <c r="B138" s="195"/>
      <c r="C138" s="195"/>
      <c r="D138" s="195"/>
      <c r="E138" s="195"/>
      <c r="F138" s="195"/>
      <c r="G138" s="195"/>
      <c r="H138" s="195"/>
      <c r="I138" s="195"/>
      <c r="J138" s="195"/>
      <c r="K138" s="195"/>
      <c r="L138" s="198"/>
      <c r="M138" s="195"/>
      <c r="N138" s="195"/>
      <c r="O138" s="195"/>
      <c r="P138" s="195"/>
      <c r="V138" s="171"/>
      <c r="W138" s="172"/>
      <c r="X138" s="172"/>
      <c r="Y138" s="172"/>
      <c r="Z138" s="172"/>
      <c r="AA138" s="172"/>
      <c r="AB138" s="172"/>
      <c r="AC138" s="172"/>
      <c r="AD138" s="172"/>
      <c r="AE138" s="172"/>
      <c r="AF138" s="172"/>
      <c r="AG138" s="172"/>
      <c r="AH138" s="172"/>
      <c r="AI138" s="172"/>
      <c r="AJ138" s="172"/>
      <c r="AK138" s="172"/>
      <c r="AL138" s="172"/>
      <c r="AM138" s="172"/>
      <c r="AN138" s="172"/>
      <c r="AO138" s="172"/>
      <c r="AP138" s="172"/>
      <c r="AQ138" s="172"/>
      <c r="AR138" s="172"/>
      <c r="AS138" s="172"/>
    </row>
    <row r="139" spans="1:45">
      <c r="A139" s="211"/>
      <c r="B139" s="195"/>
      <c r="C139" s="195"/>
      <c r="D139" s="195"/>
      <c r="E139" s="195"/>
      <c r="F139" s="195"/>
      <c r="G139" s="195"/>
      <c r="H139" s="195"/>
      <c r="I139" s="195"/>
      <c r="J139" s="195"/>
      <c r="K139" s="195"/>
      <c r="L139" s="198"/>
      <c r="M139" s="195"/>
      <c r="N139" s="195"/>
      <c r="O139" s="195"/>
      <c r="P139" s="195"/>
      <c r="V139" s="171"/>
      <c r="W139" s="172"/>
      <c r="X139" s="172"/>
      <c r="Y139" s="172"/>
      <c r="Z139" s="172"/>
      <c r="AA139" s="172"/>
      <c r="AB139" s="172"/>
      <c r="AC139" s="172"/>
      <c r="AD139" s="172"/>
      <c r="AE139" s="172"/>
      <c r="AF139" s="172"/>
      <c r="AG139" s="172"/>
      <c r="AH139" s="172"/>
      <c r="AI139" s="172"/>
      <c r="AJ139" s="172"/>
      <c r="AK139" s="172"/>
      <c r="AL139" s="172"/>
      <c r="AM139" s="172"/>
      <c r="AN139" s="172"/>
      <c r="AO139" s="172"/>
      <c r="AP139" s="172"/>
      <c r="AQ139" s="172"/>
      <c r="AR139" s="172"/>
      <c r="AS139" s="172"/>
    </row>
    <row r="140" spans="1:45">
      <c r="A140" s="211"/>
      <c r="B140" s="195"/>
      <c r="C140" s="195"/>
      <c r="D140" s="195"/>
      <c r="E140" s="195"/>
      <c r="F140" s="195"/>
      <c r="G140" s="195"/>
      <c r="H140" s="211"/>
      <c r="I140" s="238"/>
      <c r="J140" s="238"/>
      <c r="K140" s="238"/>
      <c r="L140" s="198"/>
      <c r="M140" s="195"/>
      <c r="N140" s="195"/>
      <c r="O140" s="195"/>
      <c r="P140" s="195"/>
      <c r="V140" s="171"/>
      <c r="W140" s="172"/>
      <c r="X140" s="172"/>
      <c r="Y140" s="172"/>
      <c r="Z140" s="172"/>
      <c r="AA140" s="172"/>
      <c r="AB140" s="172"/>
      <c r="AC140" s="172"/>
      <c r="AD140" s="172"/>
      <c r="AE140" s="172"/>
      <c r="AF140" s="172"/>
      <c r="AG140" s="172"/>
      <c r="AH140" s="172"/>
      <c r="AI140" s="172"/>
      <c r="AJ140" s="172"/>
      <c r="AK140" s="172"/>
      <c r="AL140" s="172"/>
      <c r="AM140" s="172"/>
      <c r="AN140" s="172"/>
      <c r="AO140" s="172"/>
      <c r="AP140" s="172"/>
      <c r="AQ140" s="172"/>
      <c r="AR140" s="172"/>
      <c r="AS140" s="172"/>
    </row>
    <row r="141" spans="1:45" ht="18">
      <c r="A141" s="131" t="s">
        <v>393</v>
      </c>
      <c r="B141" s="98"/>
      <c r="C141" s="98"/>
      <c r="D141" s="98"/>
      <c r="E141" s="98"/>
      <c r="F141" s="98"/>
      <c r="G141" s="211"/>
      <c r="H141" s="211"/>
      <c r="I141" s="239"/>
      <c r="J141" s="239"/>
      <c r="K141" s="239"/>
      <c r="L141" s="198"/>
      <c r="M141" s="195"/>
      <c r="N141" s="195"/>
      <c r="O141" s="195"/>
      <c r="P141" s="195"/>
      <c r="V141" s="171"/>
      <c r="W141" s="172"/>
      <c r="X141" s="172"/>
      <c r="Y141" s="172"/>
      <c r="Z141" s="172"/>
      <c r="AA141" s="172"/>
      <c r="AB141" s="172"/>
      <c r="AC141" s="172"/>
      <c r="AD141" s="172"/>
      <c r="AE141" s="172"/>
      <c r="AF141" s="172"/>
      <c r="AG141" s="172"/>
      <c r="AH141" s="172"/>
      <c r="AI141" s="172"/>
      <c r="AJ141" s="172"/>
      <c r="AK141" s="172"/>
      <c r="AL141" s="172"/>
      <c r="AM141" s="172"/>
      <c r="AN141" s="172"/>
      <c r="AO141" s="172"/>
      <c r="AP141" s="172"/>
      <c r="AQ141" s="172"/>
      <c r="AR141" s="172"/>
      <c r="AS141" s="172"/>
    </row>
    <row r="142" spans="1:45">
      <c r="A142" s="211"/>
      <c r="B142" s="62" t="s">
        <v>458</v>
      </c>
      <c r="C142" s="62" t="s">
        <v>720</v>
      </c>
      <c r="D142" s="62" t="s">
        <v>721</v>
      </c>
      <c r="E142" s="62" t="s">
        <v>722</v>
      </c>
      <c r="F142" s="195"/>
      <c r="G142" s="195"/>
      <c r="H142" s="195"/>
      <c r="I142" s="195"/>
      <c r="J142" s="195"/>
      <c r="K142" s="195"/>
      <c r="L142" s="195"/>
      <c r="M142" s="195"/>
      <c r="N142" s="195"/>
      <c r="O142" s="195"/>
      <c r="P142" s="195"/>
      <c r="V142" s="171"/>
      <c r="W142" s="172"/>
      <c r="X142" s="172"/>
      <c r="Y142" s="172"/>
      <c r="Z142" s="172"/>
      <c r="AA142" s="172"/>
      <c r="AB142" s="172"/>
      <c r="AC142" s="172"/>
      <c r="AD142" s="172"/>
      <c r="AE142" s="172"/>
      <c r="AF142" s="172"/>
      <c r="AG142" s="172"/>
      <c r="AH142" s="172"/>
      <c r="AI142" s="172"/>
      <c r="AJ142" s="172"/>
      <c r="AK142" s="172"/>
      <c r="AL142" s="172"/>
      <c r="AM142" s="172"/>
      <c r="AN142" s="172"/>
      <c r="AO142" s="172"/>
      <c r="AP142" s="172"/>
      <c r="AQ142" s="172"/>
      <c r="AR142" s="172"/>
      <c r="AS142" s="172"/>
    </row>
    <row r="143" spans="1:45">
      <c r="A143" s="198" t="s">
        <v>282</v>
      </c>
      <c r="B143" s="195"/>
      <c r="C143" s="195"/>
      <c r="D143" s="195"/>
      <c r="E143" s="195"/>
      <c r="F143" s="195"/>
      <c r="G143" s="195"/>
      <c r="H143" s="195"/>
      <c r="I143" s="195"/>
      <c r="J143" s="195"/>
      <c r="K143" s="195"/>
      <c r="L143" s="195"/>
      <c r="M143" s="195"/>
      <c r="N143" s="195"/>
      <c r="O143" s="195"/>
      <c r="P143" s="195"/>
      <c r="V143" s="171"/>
      <c r="W143" s="172"/>
      <c r="X143" s="172"/>
      <c r="Y143" s="172"/>
      <c r="Z143" s="172"/>
      <c r="AA143" s="172"/>
      <c r="AB143" s="172"/>
      <c r="AC143" s="172"/>
      <c r="AD143" s="172"/>
      <c r="AE143" s="172"/>
      <c r="AF143" s="172"/>
      <c r="AG143" s="172"/>
      <c r="AH143" s="172"/>
      <c r="AI143" s="172"/>
      <c r="AJ143" s="172"/>
      <c r="AK143" s="172"/>
      <c r="AL143" s="172"/>
      <c r="AM143" s="172"/>
      <c r="AN143" s="172"/>
      <c r="AO143" s="172"/>
      <c r="AP143" s="172"/>
      <c r="AQ143" s="172"/>
      <c r="AR143" s="172"/>
      <c r="AS143" s="172"/>
    </row>
    <row r="144" spans="1:45">
      <c r="A144" s="198"/>
      <c r="B144" s="198" t="str">
        <f>B142</f>
        <v>Region1</v>
      </c>
      <c r="C144" s="198" t="str">
        <f>C142</f>
        <v>Region2</v>
      </c>
      <c r="D144" s="198" t="str">
        <f>D142</f>
        <v>Region3</v>
      </c>
      <c r="E144" s="198" t="str">
        <f>E142</f>
        <v>Region4</v>
      </c>
      <c r="F144" s="195" t="s">
        <v>248</v>
      </c>
      <c r="G144" s="195"/>
      <c r="H144" s="195"/>
      <c r="I144" s="195"/>
      <c r="J144" s="195"/>
      <c r="K144" s="195"/>
      <c r="L144" s="195"/>
      <c r="M144" s="195"/>
      <c r="N144" s="195"/>
      <c r="O144" s="195"/>
      <c r="P144" s="195"/>
      <c r="V144" s="171"/>
      <c r="W144" s="172"/>
      <c r="X144" s="172"/>
      <c r="Y144" s="172"/>
      <c r="Z144" s="172"/>
      <c r="AA144" s="172"/>
      <c r="AB144" s="172"/>
      <c r="AC144" s="172"/>
      <c r="AD144" s="172"/>
      <c r="AE144" s="172"/>
      <c r="AF144" s="172"/>
      <c r="AG144" s="172"/>
      <c r="AH144" s="172"/>
      <c r="AI144" s="172"/>
      <c r="AJ144" s="172"/>
      <c r="AK144" s="172"/>
      <c r="AL144" s="172"/>
      <c r="AM144" s="172"/>
      <c r="AN144" s="172"/>
      <c r="AO144" s="172"/>
      <c r="AP144" s="172"/>
      <c r="AQ144" s="172"/>
      <c r="AR144" s="172"/>
      <c r="AS144" s="172"/>
    </row>
    <row r="145" spans="1:45">
      <c r="A145" s="195" t="s">
        <v>244</v>
      </c>
      <c r="B145" s="41">
        <f t="shared" ref="B145:B154" ca="1" si="33">MAX(0,1-SUM(C145:E145))</f>
        <v>1</v>
      </c>
      <c r="C145" s="41">
        <f ca="1">SUMIF(OFFSET(CalibData2!$M$3,1,0,$Q$2),ROW()+COLUMN()/100,OFFSET(CalibData2!$O$3,1,0,$Q$2))</f>
        <v>0</v>
      </c>
      <c r="D145" s="41">
        <f ca="1">SUMIF(OFFSET(CalibData2!$M$3,1,0,$Q$2),ROW()+COLUMN()/100,OFFSET(CalibData2!$O$3,1,0,$Q$2))</f>
        <v>0</v>
      </c>
      <c r="E145" s="41">
        <f ca="1">SUMIF(OFFSET(CalibData2!$M$3,1,0,$Q$2),ROW()+COLUMN()/100,OFFSET(CalibData2!$O$3,1,0,$Q$2))</f>
        <v>0</v>
      </c>
      <c r="F145" s="228">
        <f t="shared" ref="F145:F154" ca="1" si="34">SUM(B145:E145)</f>
        <v>1</v>
      </c>
      <c r="G145" s="195"/>
      <c r="H145" s="195"/>
      <c r="I145" s="195"/>
      <c r="J145" s="195"/>
      <c r="K145" s="195"/>
      <c r="L145" s="195"/>
      <c r="M145" s="195"/>
      <c r="N145" s="195"/>
      <c r="O145" s="195"/>
      <c r="P145" s="195"/>
      <c r="V145" s="171"/>
      <c r="W145" s="172"/>
      <c r="X145" s="172"/>
      <c r="Y145" s="172"/>
      <c r="Z145" s="172"/>
      <c r="AA145" s="172"/>
      <c r="AB145" s="172"/>
      <c r="AC145" s="172"/>
      <c r="AD145" s="172"/>
      <c r="AE145" s="172"/>
      <c r="AF145" s="172"/>
      <c r="AG145" s="172"/>
      <c r="AH145" s="172"/>
      <c r="AI145" s="172"/>
      <c r="AJ145" s="172"/>
      <c r="AK145" s="172"/>
      <c r="AL145" s="172"/>
      <c r="AM145" s="172"/>
      <c r="AN145" s="172"/>
      <c r="AO145" s="172"/>
      <c r="AP145" s="172"/>
      <c r="AQ145" s="172"/>
      <c r="AR145" s="172"/>
      <c r="AS145" s="172"/>
    </row>
    <row r="146" spans="1:45">
      <c r="A146" s="195" t="s">
        <v>663</v>
      </c>
      <c r="B146" s="41">
        <f t="shared" ca="1" si="33"/>
        <v>1</v>
      </c>
      <c r="C146" s="41">
        <f ca="1">SUMIF(OFFSET(CalibData2!$M$3,1,0,$Q$2),ROW()+COLUMN()/100,OFFSET(CalibData2!$O$3,1,0,$Q$2))</f>
        <v>0</v>
      </c>
      <c r="D146" s="41">
        <f ca="1">SUMIF(OFFSET(CalibData2!$M$3,1,0,$Q$2),ROW()+COLUMN()/100,OFFSET(CalibData2!$O$3,1,0,$Q$2))</f>
        <v>0</v>
      </c>
      <c r="E146" s="41">
        <f ca="1">SUMIF(OFFSET(CalibData2!$M$3,1,0,$Q$2),ROW()+COLUMN()/100,OFFSET(CalibData2!$O$3,1,0,$Q$2))</f>
        <v>0</v>
      </c>
      <c r="F146" s="228">
        <f t="shared" ca="1" si="34"/>
        <v>1</v>
      </c>
      <c r="G146" s="195"/>
      <c r="H146" s="195"/>
      <c r="I146" s="195"/>
      <c r="J146" s="195"/>
      <c r="K146" s="195"/>
      <c r="L146" s="195"/>
      <c r="M146" s="195"/>
      <c r="N146" s="195"/>
      <c r="O146" s="195"/>
      <c r="P146" s="195"/>
      <c r="V146" s="171"/>
      <c r="W146" s="172"/>
      <c r="X146" s="172"/>
      <c r="Y146" s="172"/>
      <c r="Z146" s="172"/>
      <c r="AA146" s="172"/>
      <c r="AB146" s="172"/>
      <c r="AC146" s="172"/>
      <c r="AD146" s="172"/>
      <c r="AE146" s="172"/>
      <c r="AF146" s="172"/>
      <c r="AG146" s="172"/>
      <c r="AH146" s="172"/>
      <c r="AI146" s="172"/>
      <c r="AJ146" s="172"/>
      <c r="AK146" s="172"/>
      <c r="AL146" s="172"/>
      <c r="AM146" s="172"/>
      <c r="AN146" s="172"/>
      <c r="AO146" s="172"/>
      <c r="AP146" s="172"/>
      <c r="AQ146" s="172"/>
      <c r="AR146" s="172"/>
      <c r="AS146" s="172"/>
    </row>
    <row r="147" spans="1:45">
      <c r="A147" s="195" t="s">
        <v>87</v>
      </c>
      <c r="B147" s="41">
        <f t="shared" ca="1" si="33"/>
        <v>1</v>
      </c>
      <c r="C147" s="41">
        <f ca="1">SUMIF(OFFSET(CalibData2!$M$3,1,0,$Q$2),ROW()+COLUMN()/100,OFFSET(CalibData2!$O$3,1,0,$Q$2))</f>
        <v>0</v>
      </c>
      <c r="D147" s="41">
        <f ca="1">SUMIF(OFFSET(CalibData2!$M$3,1,0,$Q$2),ROW()+COLUMN()/100,OFFSET(CalibData2!$O$3,1,0,$Q$2))</f>
        <v>0</v>
      </c>
      <c r="E147" s="41">
        <f ca="1">SUMIF(OFFSET(CalibData2!$M$3,1,0,$Q$2),ROW()+COLUMN()/100,OFFSET(CalibData2!$O$3,1,0,$Q$2))</f>
        <v>0</v>
      </c>
      <c r="F147" s="228">
        <f t="shared" ca="1" si="34"/>
        <v>1</v>
      </c>
      <c r="G147" s="195"/>
      <c r="H147" s="195"/>
      <c r="I147" s="195"/>
      <c r="J147" s="195"/>
      <c r="K147" s="195"/>
      <c r="L147" s="195"/>
      <c r="M147" s="195"/>
      <c r="N147" s="195"/>
      <c r="O147" s="195"/>
      <c r="P147" s="195"/>
      <c r="V147" s="171"/>
      <c r="W147" s="172"/>
      <c r="X147" s="172"/>
      <c r="Y147" s="172"/>
      <c r="Z147" s="172"/>
      <c r="AA147" s="172"/>
      <c r="AB147" s="172"/>
      <c r="AC147" s="172"/>
      <c r="AD147" s="172"/>
      <c r="AE147" s="172"/>
      <c r="AF147" s="172"/>
      <c r="AG147" s="172"/>
      <c r="AH147" s="172"/>
      <c r="AI147" s="172"/>
      <c r="AJ147" s="172"/>
      <c r="AK147" s="172"/>
      <c r="AL147" s="172"/>
      <c r="AM147" s="172"/>
      <c r="AN147" s="172"/>
      <c r="AO147" s="172"/>
      <c r="AP147" s="172"/>
      <c r="AQ147" s="172"/>
      <c r="AR147" s="172"/>
      <c r="AS147" s="172"/>
    </row>
    <row r="148" spans="1:45">
      <c r="A148" s="195" t="s">
        <v>576</v>
      </c>
      <c r="B148" s="41">
        <f t="shared" ca="1" si="33"/>
        <v>1</v>
      </c>
      <c r="C148" s="41">
        <f ca="1">SUMIF(OFFSET(CalibData2!$M$3,1,0,$Q$2),ROW()+COLUMN()/100,OFFSET(CalibData2!$O$3,1,0,$Q$2))</f>
        <v>0</v>
      </c>
      <c r="D148" s="41">
        <f ca="1">SUMIF(OFFSET(CalibData2!$M$3,1,0,$Q$2),ROW()+COLUMN()/100,OFFSET(CalibData2!$O$3,1,0,$Q$2))</f>
        <v>0</v>
      </c>
      <c r="E148" s="41">
        <f ca="1">SUMIF(OFFSET(CalibData2!$M$3,1,0,$Q$2),ROW()+COLUMN()/100,OFFSET(CalibData2!$O$3,1,0,$Q$2))</f>
        <v>0</v>
      </c>
      <c r="F148" s="228">
        <f t="shared" ca="1" si="34"/>
        <v>1</v>
      </c>
      <c r="G148" s="195"/>
      <c r="H148" s="195"/>
      <c r="I148" s="195"/>
      <c r="J148" s="195"/>
      <c r="K148" s="195"/>
      <c r="L148" s="195"/>
      <c r="M148" s="195"/>
      <c r="N148" s="195"/>
      <c r="O148" s="195"/>
      <c r="P148" s="195"/>
      <c r="V148" s="171"/>
      <c r="W148" s="172"/>
      <c r="X148" s="172"/>
      <c r="Y148" s="172"/>
      <c r="Z148" s="172"/>
      <c r="AA148" s="172"/>
      <c r="AB148" s="172"/>
      <c r="AC148" s="172"/>
      <c r="AD148" s="172"/>
      <c r="AE148" s="172"/>
      <c r="AF148" s="172"/>
      <c r="AG148" s="172"/>
      <c r="AH148" s="172"/>
      <c r="AI148" s="172"/>
      <c r="AJ148" s="172"/>
      <c r="AK148" s="172"/>
      <c r="AL148" s="172"/>
      <c r="AM148" s="172"/>
      <c r="AN148" s="172"/>
      <c r="AO148" s="172"/>
      <c r="AP148" s="172"/>
      <c r="AQ148" s="172"/>
      <c r="AR148" s="172"/>
      <c r="AS148" s="172"/>
    </row>
    <row r="149" spans="1:45">
      <c r="A149" s="195" t="s">
        <v>664</v>
      </c>
      <c r="B149" s="41">
        <f t="shared" ca="1" si="33"/>
        <v>1</v>
      </c>
      <c r="C149" s="41">
        <f ca="1">SUMIF(OFFSET(CalibData2!$M$3,1,0,$Q$2),ROW()+COLUMN()/100,OFFSET(CalibData2!$O$3,1,0,$Q$2))</f>
        <v>0</v>
      </c>
      <c r="D149" s="41">
        <f ca="1">SUMIF(OFFSET(CalibData2!$M$3,1,0,$Q$2),ROW()+COLUMN()/100,OFFSET(CalibData2!$O$3,1,0,$Q$2))</f>
        <v>0</v>
      </c>
      <c r="E149" s="41">
        <f ca="1">SUMIF(OFFSET(CalibData2!$M$3,1,0,$Q$2),ROW()+COLUMN()/100,OFFSET(CalibData2!$O$3,1,0,$Q$2))</f>
        <v>0</v>
      </c>
      <c r="F149" s="228">
        <f t="shared" ca="1" si="34"/>
        <v>1</v>
      </c>
      <c r="G149" s="195"/>
      <c r="H149" s="195"/>
      <c r="I149" s="195"/>
      <c r="J149" s="195"/>
      <c r="K149" s="195"/>
      <c r="L149" s="195"/>
      <c r="M149" s="195"/>
      <c r="N149" s="195"/>
      <c r="O149" s="195"/>
      <c r="P149" s="195"/>
      <c r="V149" s="171"/>
      <c r="W149" s="172"/>
      <c r="X149" s="172"/>
      <c r="Y149" s="172"/>
      <c r="Z149" s="172"/>
      <c r="AA149" s="172"/>
      <c r="AB149" s="172"/>
      <c r="AC149" s="172"/>
      <c r="AD149" s="172"/>
      <c r="AE149" s="172"/>
      <c r="AF149" s="172"/>
      <c r="AG149" s="172"/>
      <c r="AH149" s="172"/>
      <c r="AI149" s="172"/>
      <c r="AJ149" s="172"/>
      <c r="AK149" s="172"/>
      <c r="AL149" s="172"/>
      <c r="AM149" s="172"/>
      <c r="AN149" s="172"/>
      <c r="AO149" s="172"/>
      <c r="AP149" s="172"/>
      <c r="AQ149" s="172"/>
      <c r="AR149" s="172"/>
      <c r="AS149" s="172"/>
    </row>
    <row r="150" spans="1:45">
      <c r="A150" s="195" t="s">
        <v>665</v>
      </c>
      <c r="B150" s="41">
        <f t="shared" ca="1" si="33"/>
        <v>1</v>
      </c>
      <c r="C150" s="41">
        <f ca="1">SUMIF(OFFSET(CalibData2!$M$3,1,0,$Q$2),ROW()+COLUMN()/100,OFFSET(CalibData2!$O$3,1,0,$Q$2))</f>
        <v>0</v>
      </c>
      <c r="D150" s="41">
        <f ca="1">SUMIF(OFFSET(CalibData2!$M$3,1,0,$Q$2),ROW()+COLUMN()/100,OFFSET(CalibData2!$O$3,1,0,$Q$2))</f>
        <v>0</v>
      </c>
      <c r="E150" s="41">
        <f ca="1">SUMIF(OFFSET(CalibData2!$M$3,1,0,$Q$2),ROW()+COLUMN()/100,OFFSET(CalibData2!$O$3,1,0,$Q$2))</f>
        <v>0</v>
      </c>
      <c r="F150" s="228">
        <f t="shared" ca="1" si="34"/>
        <v>1</v>
      </c>
      <c r="G150" s="195"/>
      <c r="H150" s="195"/>
      <c r="I150" s="195"/>
      <c r="J150" s="195"/>
      <c r="K150" s="195"/>
      <c r="L150" s="195"/>
      <c r="M150" s="195"/>
      <c r="N150" s="195"/>
      <c r="O150" s="195"/>
      <c r="P150" s="195"/>
      <c r="Q150" s="102"/>
      <c r="V150" s="171"/>
      <c r="W150" s="172"/>
      <c r="X150" s="172"/>
      <c r="Y150" s="172"/>
      <c r="Z150" s="172"/>
      <c r="AA150" s="172"/>
      <c r="AB150" s="172"/>
      <c r="AC150" s="172"/>
      <c r="AD150" s="172"/>
      <c r="AE150" s="172"/>
      <c r="AF150" s="172"/>
      <c r="AG150" s="172"/>
      <c r="AH150" s="172"/>
      <c r="AI150" s="172"/>
      <c r="AJ150" s="172"/>
      <c r="AK150" s="172"/>
      <c r="AL150" s="172"/>
      <c r="AM150" s="172"/>
      <c r="AN150" s="172"/>
      <c r="AO150" s="172"/>
      <c r="AP150" s="172"/>
      <c r="AQ150" s="172"/>
      <c r="AR150" s="172"/>
      <c r="AS150" s="172"/>
    </row>
    <row r="151" spans="1:45">
      <c r="A151" s="240" t="s">
        <v>588</v>
      </c>
      <c r="B151" s="41">
        <f t="shared" ca="1" si="33"/>
        <v>1</v>
      </c>
      <c r="C151" s="41">
        <f ca="1">SUMIF(OFFSET(CalibData2!$M$3,1,0,$Q$2),ROW()+COLUMN()/100,OFFSET(CalibData2!$O$3,1,0,$Q$2))</f>
        <v>0</v>
      </c>
      <c r="D151" s="41">
        <f ca="1">SUMIF(OFFSET(CalibData2!$M$3,1,0,$Q$2),ROW()+COLUMN()/100,OFFSET(CalibData2!$O$3,1,0,$Q$2))</f>
        <v>0</v>
      </c>
      <c r="E151" s="41">
        <f ca="1">SUMIF(OFFSET(CalibData2!$M$3,1,0,$Q$2),ROW()+COLUMN()/100,OFFSET(CalibData2!$O$3,1,0,$Q$2))</f>
        <v>0</v>
      </c>
      <c r="F151" s="228">
        <f t="shared" ca="1" si="34"/>
        <v>1</v>
      </c>
      <c r="G151" s="195"/>
      <c r="H151" s="195"/>
      <c r="I151" s="195"/>
      <c r="J151" s="195"/>
      <c r="K151" s="195"/>
      <c r="L151" s="195"/>
      <c r="M151" s="195"/>
      <c r="N151" s="195"/>
      <c r="O151" s="195"/>
      <c r="P151" s="195"/>
      <c r="Q151" s="102"/>
      <c r="V151" s="171"/>
      <c r="W151" s="172"/>
      <c r="X151" s="172"/>
      <c r="Y151" s="172"/>
      <c r="Z151" s="172"/>
      <c r="AA151" s="172"/>
      <c r="AB151" s="172"/>
      <c r="AC151" s="172"/>
      <c r="AD151" s="172"/>
      <c r="AE151" s="172"/>
      <c r="AF151" s="172"/>
      <c r="AG151" s="172"/>
      <c r="AH151" s="172"/>
      <c r="AI151" s="172"/>
      <c r="AJ151" s="172"/>
      <c r="AK151" s="172"/>
      <c r="AL151" s="172"/>
      <c r="AM151" s="172"/>
      <c r="AN151" s="172"/>
      <c r="AO151" s="172"/>
      <c r="AP151" s="172"/>
      <c r="AQ151" s="172"/>
      <c r="AR151" s="172"/>
      <c r="AS151" s="172"/>
    </row>
    <row r="152" spans="1:45">
      <c r="A152" s="195" t="s">
        <v>247</v>
      </c>
      <c r="B152" s="41">
        <f t="shared" ca="1" si="33"/>
        <v>1</v>
      </c>
      <c r="C152" s="41">
        <f ca="1">SUMIF(OFFSET(CalibData2!$M$3,1,0,$Q$2),ROW()+COLUMN()/100,OFFSET(CalibData2!$O$3,1,0,$Q$2))</f>
        <v>0</v>
      </c>
      <c r="D152" s="41">
        <f ca="1">SUMIF(OFFSET(CalibData2!$M$3,1,0,$Q$2),ROW()+COLUMN()/100,OFFSET(CalibData2!$O$3,1,0,$Q$2))</f>
        <v>0</v>
      </c>
      <c r="E152" s="41">
        <f ca="1">SUMIF(OFFSET(CalibData2!$M$3,1,0,$Q$2),ROW()+COLUMN()/100,OFFSET(CalibData2!$O$3,1,0,$Q$2))</f>
        <v>0</v>
      </c>
      <c r="F152" s="228">
        <f t="shared" ca="1" si="34"/>
        <v>1</v>
      </c>
      <c r="G152" s="195"/>
      <c r="H152" s="195"/>
      <c r="I152" s="195"/>
      <c r="J152" s="195"/>
      <c r="K152" s="195"/>
      <c r="L152" s="195"/>
      <c r="M152" s="195"/>
      <c r="N152" s="195"/>
      <c r="O152" s="195"/>
      <c r="P152" s="195"/>
      <c r="Q152" s="102"/>
    </row>
    <row r="153" spans="1:45">
      <c r="A153" s="195" t="s">
        <v>414</v>
      </c>
      <c r="B153" s="41">
        <f t="shared" ca="1" si="33"/>
        <v>1</v>
      </c>
      <c r="C153" s="41">
        <f ca="1">SUMIF(OFFSET(CalibData2!$M$3,1,0,$Q$2),ROW()+COLUMN()/100,OFFSET(CalibData2!$O$3,1,0,$Q$2))</f>
        <v>0</v>
      </c>
      <c r="D153" s="41">
        <f ca="1">SUMIF(OFFSET(CalibData2!$M$3,1,0,$Q$2),ROW()+COLUMN()/100,OFFSET(CalibData2!$O$3,1,0,$Q$2))</f>
        <v>0</v>
      </c>
      <c r="E153" s="41">
        <f ca="1">SUMIF(OFFSET(CalibData2!$M$3,1,0,$Q$2),ROW()+COLUMN()/100,OFFSET(CalibData2!$O$3,1,0,$Q$2))</f>
        <v>0</v>
      </c>
      <c r="F153" s="228">
        <f t="shared" ca="1" si="34"/>
        <v>1</v>
      </c>
      <c r="G153" s="195"/>
      <c r="H153" s="195"/>
      <c r="I153" s="195"/>
      <c r="J153" s="195"/>
      <c r="K153" s="195"/>
      <c r="L153" s="195"/>
      <c r="M153" s="195"/>
      <c r="N153" s="195"/>
      <c r="O153" s="195"/>
      <c r="P153" s="195"/>
      <c r="Q153" s="102"/>
      <c r="V153" s="171"/>
    </row>
    <row r="154" spans="1:45">
      <c r="A154" s="195" t="s">
        <v>245</v>
      </c>
      <c r="B154" s="41">
        <f t="shared" ca="1" si="33"/>
        <v>1</v>
      </c>
      <c r="C154" s="41">
        <f ca="1">SUMIF(OFFSET(CalibData2!$M$3,1,0,$Q$2),ROW()+COLUMN()/100,OFFSET(CalibData2!$O$3,1,0,$Q$2))</f>
        <v>0</v>
      </c>
      <c r="D154" s="41">
        <f ca="1">SUMIF(OFFSET(CalibData2!$M$3,1,0,$Q$2),ROW()+COLUMN()/100,OFFSET(CalibData2!$O$3,1,0,$Q$2))</f>
        <v>0</v>
      </c>
      <c r="E154" s="41">
        <f ca="1">SUMIF(OFFSET(CalibData2!$M$3,1,0,$Q$2),ROW()+COLUMN()/100,OFFSET(CalibData2!$O$3,1,0,$Q$2))</f>
        <v>0</v>
      </c>
      <c r="F154" s="228">
        <f t="shared" ca="1" si="34"/>
        <v>1</v>
      </c>
      <c r="G154" s="195"/>
      <c r="H154" s="195"/>
      <c r="I154" s="195"/>
      <c r="J154" s="195"/>
      <c r="K154" s="195"/>
      <c r="L154" s="195"/>
      <c r="M154" s="195"/>
      <c r="N154" s="195"/>
      <c r="O154" s="195"/>
      <c r="P154" s="195"/>
      <c r="Q154" s="102"/>
    </row>
    <row r="155" spans="1:45">
      <c r="A155" s="195"/>
      <c r="B155" s="213"/>
      <c r="C155" s="213"/>
      <c r="D155" s="213"/>
      <c r="E155" s="195"/>
      <c r="F155" s="195"/>
      <c r="G155" s="195"/>
      <c r="H155" s="195"/>
      <c r="I155" s="195"/>
      <c r="J155" s="195"/>
      <c r="K155" s="195"/>
      <c r="L155" s="195"/>
      <c r="M155" s="195"/>
      <c r="N155" s="195"/>
      <c r="O155" s="195"/>
      <c r="P155" s="195"/>
      <c r="Q155" s="102"/>
      <c r="V155" s="171"/>
      <c r="W155" s="172"/>
      <c r="X155" s="172"/>
      <c r="Y155" s="172"/>
      <c r="Z155" s="172"/>
      <c r="AA155" s="172"/>
      <c r="AB155" s="172"/>
      <c r="AC155" s="172"/>
      <c r="AD155" s="172"/>
      <c r="AE155" s="172"/>
      <c r="AF155" s="172"/>
      <c r="AG155" s="172"/>
      <c r="AH155" s="172"/>
      <c r="AI155" s="172"/>
      <c r="AJ155" s="172"/>
      <c r="AK155" s="172"/>
      <c r="AL155" s="172"/>
      <c r="AM155" s="172"/>
      <c r="AN155" s="172"/>
      <c r="AO155" s="172"/>
      <c r="AP155" s="172"/>
      <c r="AQ155" s="172"/>
      <c r="AR155" s="172"/>
      <c r="AS155" s="172"/>
    </row>
    <row r="156" spans="1:45">
      <c r="A156" s="198" t="s">
        <v>283</v>
      </c>
      <c r="B156" s="213"/>
      <c r="C156" s="213"/>
      <c r="D156" s="213"/>
      <c r="E156" s="195"/>
      <c r="F156" s="195"/>
      <c r="G156" s="195"/>
      <c r="H156" s="195"/>
      <c r="I156" s="195"/>
      <c r="J156" s="195"/>
      <c r="K156" s="195"/>
      <c r="L156" s="195"/>
      <c r="M156" s="195"/>
      <c r="N156" s="195"/>
      <c r="O156" s="195"/>
      <c r="P156" s="195"/>
      <c r="Q156" s="102"/>
      <c r="V156" s="171"/>
      <c r="W156" s="172"/>
      <c r="X156" s="172"/>
      <c r="Y156" s="172"/>
      <c r="Z156" s="172"/>
      <c r="AA156" s="172"/>
      <c r="AB156" s="172"/>
      <c r="AC156" s="172"/>
      <c r="AD156" s="172"/>
      <c r="AE156" s="172"/>
      <c r="AF156" s="172"/>
      <c r="AG156" s="172"/>
      <c r="AH156" s="172"/>
      <c r="AI156" s="172"/>
      <c r="AJ156" s="172"/>
      <c r="AK156" s="172"/>
      <c r="AL156" s="172"/>
      <c r="AM156" s="172"/>
      <c r="AN156" s="172"/>
      <c r="AO156" s="172"/>
      <c r="AP156" s="172"/>
      <c r="AQ156" s="172"/>
      <c r="AR156" s="172"/>
      <c r="AS156" s="172"/>
    </row>
    <row r="157" spans="1:45">
      <c r="A157" s="198"/>
      <c r="B157" s="242" t="str">
        <f>B142</f>
        <v>Region1</v>
      </c>
      <c r="C157" s="242" t="str">
        <f>C142</f>
        <v>Region2</v>
      </c>
      <c r="D157" s="242" t="str">
        <f>D142</f>
        <v>Region3</v>
      </c>
      <c r="E157" s="242" t="str">
        <f>E142</f>
        <v>Region4</v>
      </c>
      <c r="F157" s="195" t="s">
        <v>248</v>
      </c>
      <c r="G157" s="195"/>
      <c r="H157" s="195"/>
      <c r="I157" s="195"/>
      <c r="J157" s="195"/>
      <c r="K157" s="195"/>
      <c r="L157" s="195"/>
      <c r="M157" s="195"/>
      <c r="N157" s="195"/>
      <c r="O157" s="195"/>
      <c r="P157" s="195"/>
      <c r="Q157" s="102"/>
      <c r="V157" s="171"/>
      <c r="W157" s="172"/>
      <c r="X157" s="172"/>
      <c r="Y157" s="172"/>
      <c r="Z157" s="172"/>
      <c r="AA157" s="172"/>
      <c r="AB157" s="172"/>
      <c r="AC157" s="172"/>
      <c r="AD157" s="172"/>
      <c r="AE157" s="172"/>
      <c r="AF157" s="172"/>
      <c r="AG157" s="172"/>
      <c r="AH157" s="172"/>
      <c r="AI157" s="172"/>
      <c r="AJ157" s="172"/>
      <c r="AK157" s="172"/>
      <c r="AL157" s="172"/>
      <c r="AM157" s="172"/>
      <c r="AN157" s="172"/>
      <c r="AO157" s="172"/>
      <c r="AP157" s="172"/>
      <c r="AQ157" s="172"/>
      <c r="AR157" s="172"/>
      <c r="AS157" s="172"/>
    </row>
    <row r="158" spans="1:45">
      <c r="A158" s="195" t="s">
        <v>244</v>
      </c>
      <c r="B158" s="41">
        <f t="shared" ref="B158:B167" ca="1" si="35">MAX(0,1-SUM(C158:E158))</f>
        <v>1</v>
      </c>
      <c r="C158" s="41">
        <f ca="1">SUMIF(OFFSET(CalibData2!$M$3,1,0,$Q$2),ROW()+COLUMN()/100,OFFSET(CalibData2!$O$3,1,0,$Q$2))</f>
        <v>0</v>
      </c>
      <c r="D158" s="41">
        <f ca="1">SUMIF(OFFSET(CalibData2!$M$3,1,0,$Q$2),ROW()+COLUMN()/100,OFFSET(CalibData2!$O$3,1,0,$Q$2))</f>
        <v>0</v>
      </c>
      <c r="E158" s="41">
        <f ca="1">SUMIF(OFFSET(CalibData2!$M$3,1,0,$Q$2),ROW()+COLUMN()/100,OFFSET(CalibData2!$O$3,1,0,$Q$2))</f>
        <v>0</v>
      </c>
      <c r="F158" s="228">
        <f t="shared" ref="F158:F167" ca="1" si="36">SUM(B158:E158)</f>
        <v>1</v>
      </c>
      <c r="G158" s="195"/>
      <c r="H158" s="195"/>
      <c r="I158" s="195"/>
      <c r="J158" s="195"/>
      <c r="K158" s="195"/>
      <c r="L158" s="195"/>
      <c r="M158" s="195"/>
      <c r="N158" s="195"/>
      <c r="O158" s="195"/>
      <c r="P158" s="195"/>
      <c r="Q158" s="102"/>
      <c r="V158" s="171"/>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row>
    <row r="159" spans="1:45">
      <c r="A159" s="195" t="s">
        <v>663</v>
      </c>
      <c r="B159" s="41">
        <f t="shared" ca="1" si="35"/>
        <v>1</v>
      </c>
      <c r="C159" s="41">
        <f ca="1">SUMIF(OFFSET(CalibData2!$M$3,1,0,$Q$2),ROW()+COLUMN()/100,OFFSET(CalibData2!$O$3,1,0,$Q$2))</f>
        <v>0</v>
      </c>
      <c r="D159" s="41">
        <f ca="1">SUMIF(OFFSET(CalibData2!$M$3,1,0,$Q$2),ROW()+COLUMN()/100,OFFSET(CalibData2!$O$3,1,0,$Q$2))</f>
        <v>0</v>
      </c>
      <c r="E159" s="41">
        <f ca="1">SUMIF(OFFSET(CalibData2!$M$3,1,0,$Q$2),ROW()+COLUMN()/100,OFFSET(CalibData2!$O$3,1,0,$Q$2))</f>
        <v>0</v>
      </c>
      <c r="F159" s="228">
        <f t="shared" ca="1" si="36"/>
        <v>1</v>
      </c>
      <c r="G159" s="195"/>
      <c r="H159" s="195"/>
      <c r="I159" s="195"/>
      <c r="J159" s="195"/>
      <c r="K159" s="195"/>
      <c r="L159" s="195"/>
      <c r="M159" s="195"/>
      <c r="N159" s="195"/>
      <c r="O159" s="195"/>
      <c r="P159" s="195"/>
      <c r="Q159" s="102"/>
      <c r="V159" s="171"/>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row>
    <row r="160" spans="1:45">
      <c r="A160" s="195" t="s">
        <v>574</v>
      </c>
      <c r="B160" s="41">
        <f t="shared" ca="1" si="35"/>
        <v>1</v>
      </c>
      <c r="C160" s="41">
        <f ca="1">SUMIF(OFFSET(CalibData2!$M$3,1,0,$Q$2),ROW()+COLUMN()/100,OFFSET(CalibData2!$O$3,1,0,$Q$2))</f>
        <v>0</v>
      </c>
      <c r="D160" s="41">
        <f ca="1">SUMIF(OFFSET(CalibData2!$M$3,1,0,$Q$2),ROW()+COLUMN()/100,OFFSET(CalibData2!$O$3,1,0,$Q$2))</f>
        <v>0</v>
      </c>
      <c r="E160" s="41">
        <f ca="1">SUMIF(OFFSET(CalibData2!$M$3,1,0,$Q$2),ROW()+COLUMN()/100,OFFSET(CalibData2!$O$3,1,0,$Q$2))</f>
        <v>0</v>
      </c>
      <c r="F160" s="228">
        <f t="shared" ca="1" si="36"/>
        <v>1</v>
      </c>
      <c r="G160" s="195"/>
      <c r="H160" s="195"/>
      <c r="I160" s="195"/>
      <c r="J160" s="195"/>
      <c r="K160" s="195"/>
      <c r="L160" s="195"/>
      <c r="M160" s="195"/>
      <c r="N160" s="195"/>
      <c r="O160" s="195"/>
      <c r="P160" s="195"/>
      <c r="Q160" s="102"/>
    </row>
    <row r="161" spans="1:45">
      <c r="A161" s="195" t="s">
        <v>576</v>
      </c>
      <c r="B161" s="41">
        <f t="shared" ca="1" si="35"/>
        <v>1</v>
      </c>
      <c r="C161" s="41">
        <f ca="1">SUMIF(OFFSET(CalibData2!$M$3,1,0,$Q$2),ROW()+COLUMN()/100,OFFSET(CalibData2!$O$3,1,0,$Q$2))</f>
        <v>0</v>
      </c>
      <c r="D161" s="41">
        <f ca="1">SUMIF(OFFSET(CalibData2!$M$3,1,0,$Q$2),ROW()+COLUMN()/100,OFFSET(CalibData2!$O$3,1,0,$Q$2))</f>
        <v>0</v>
      </c>
      <c r="E161" s="41">
        <f ca="1">SUMIF(OFFSET(CalibData2!$M$3,1,0,$Q$2),ROW()+COLUMN()/100,OFFSET(CalibData2!$O$3,1,0,$Q$2))</f>
        <v>0</v>
      </c>
      <c r="F161" s="228">
        <f t="shared" ca="1" si="36"/>
        <v>1</v>
      </c>
      <c r="G161" s="195"/>
      <c r="H161" s="195"/>
      <c r="I161" s="195"/>
      <c r="J161" s="195"/>
      <c r="K161" s="195"/>
      <c r="L161" s="195"/>
      <c r="M161" s="195"/>
      <c r="N161" s="195"/>
      <c r="O161" s="195"/>
      <c r="P161" s="195"/>
      <c r="Q161" s="102"/>
    </row>
    <row r="162" spans="1:45">
      <c r="A162" s="195" t="s">
        <v>664</v>
      </c>
      <c r="B162" s="41">
        <f t="shared" ca="1" si="35"/>
        <v>1</v>
      </c>
      <c r="C162" s="41">
        <f ca="1">SUMIF(OFFSET(CalibData2!$M$3,1,0,$Q$2),ROW()+COLUMN()/100,OFFSET(CalibData2!$O$3,1,0,$Q$2))</f>
        <v>0</v>
      </c>
      <c r="D162" s="41">
        <f ca="1">SUMIF(OFFSET(CalibData2!$M$3,1,0,$Q$2),ROW()+COLUMN()/100,OFFSET(CalibData2!$O$3,1,0,$Q$2))</f>
        <v>0</v>
      </c>
      <c r="E162" s="41">
        <f ca="1">SUMIF(OFFSET(CalibData2!$M$3,1,0,$Q$2),ROW()+COLUMN()/100,OFFSET(CalibData2!$O$3,1,0,$Q$2))</f>
        <v>0</v>
      </c>
      <c r="F162" s="228">
        <f t="shared" ca="1" si="36"/>
        <v>1</v>
      </c>
      <c r="G162" s="195"/>
      <c r="H162" s="195"/>
      <c r="I162" s="195"/>
      <c r="J162" s="195"/>
      <c r="K162" s="195"/>
      <c r="L162" s="195"/>
      <c r="M162" s="195"/>
      <c r="N162" s="195"/>
      <c r="O162" s="195"/>
      <c r="P162" s="195"/>
      <c r="Q162" s="102"/>
    </row>
    <row r="163" spans="1:45">
      <c r="A163" s="195" t="s">
        <v>665</v>
      </c>
      <c r="B163" s="41">
        <f t="shared" ca="1" si="35"/>
        <v>1</v>
      </c>
      <c r="C163" s="41">
        <f ca="1">SUMIF(OFFSET(CalibData2!$M$3,1,0,$Q$2),ROW()+COLUMN()/100,OFFSET(CalibData2!$O$3,1,0,$Q$2))</f>
        <v>0</v>
      </c>
      <c r="D163" s="41">
        <f ca="1">SUMIF(OFFSET(CalibData2!$M$3,1,0,$Q$2),ROW()+COLUMN()/100,OFFSET(CalibData2!$O$3,1,0,$Q$2))</f>
        <v>0</v>
      </c>
      <c r="E163" s="41">
        <f ca="1">SUMIF(OFFSET(CalibData2!$M$3,1,0,$Q$2),ROW()+COLUMN()/100,OFFSET(CalibData2!$O$3,1,0,$Q$2))</f>
        <v>0</v>
      </c>
      <c r="F163" s="228">
        <f t="shared" ca="1" si="36"/>
        <v>1</v>
      </c>
      <c r="G163" s="195"/>
      <c r="H163" s="195"/>
      <c r="I163" s="195"/>
      <c r="J163" s="195"/>
      <c r="K163" s="195"/>
      <c r="L163" s="195"/>
      <c r="M163" s="195"/>
      <c r="N163" s="195"/>
      <c r="O163" s="195"/>
      <c r="P163" s="195"/>
      <c r="Q163" s="102"/>
    </row>
    <row r="164" spans="1:45">
      <c r="A164" s="241" t="s">
        <v>588</v>
      </c>
      <c r="B164" s="41">
        <f t="shared" ca="1" si="35"/>
        <v>1</v>
      </c>
      <c r="C164" s="41">
        <f ca="1">SUMIF(OFFSET(CalibData2!$M$3,1,0,$Q$2),ROW()+COLUMN()/100,OFFSET(CalibData2!$O$3,1,0,$Q$2))</f>
        <v>0</v>
      </c>
      <c r="D164" s="41">
        <f ca="1">SUMIF(OFFSET(CalibData2!$M$3,1,0,$Q$2),ROW()+COLUMN()/100,OFFSET(CalibData2!$O$3,1,0,$Q$2))</f>
        <v>0</v>
      </c>
      <c r="E164" s="41">
        <f ca="1">SUMIF(OFFSET(CalibData2!$M$3,1,0,$Q$2),ROW()+COLUMN()/100,OFFSET(CalibData2!$O$3,1,0,$Q$2))</f>
        <v>0</v>
      </c>
      <c r="F164" s="228">
        <f t="shared" ca="1" si="36"/>
        <v>1</v>
      </c>
      <c r="G164" s="195"/>
      <c r="H164" s="195"/>
      <c r="I164" s="195"/>
      <c r="J164" s="195"/>
      <c r="K164" s="195"/>
      <c r="L164" s="195"/>
      <c r="M164" s="195"/>
      <c r="N164" s="195"/>
      <c r="O164" s="195"/>
      <c r="P164" s="195"/>
      <c r="Q164" s="102"/>
      <c r="V164" s="171"/>
    </row>
    <row r="165" spans="1:45">
      <c r="A165" s="195" t="s">
        <v>247</v>
      </c>
      <c r="B165" s="41">
        <f t="shared" ca="1" si="35"/>
        <v>1</v>
      </c>
      <c r="C165" s="41">
        <f ca="1">SUMIF(OFFSET(CalibData2!$M$3,1,0,$Q$2),ROW()+COLUMN()/100,OFFSET(CalibData2!$O$3,1,0,$Q$2))</f>
        <v>0</v>
      </c>
      <c r="D165" s="41">
        <f ca="1">SUMIF(OFFSET(CalibData2!$M$3,1,0,$Q$2),ROW()+COLUMN()/100,OFFSET(CalibData2!$O$3,1,0,$Q$2))</f>
        <v>0</v>
      </c>
      <c r="E165" s="41">
        <f ca="1">SUMIF(OFFSET(CalibData2!$M$3,1,0,$Q$2),ROW()+COLUMN()/100,OFFSET(CalibData2!$O$3,1,0,$Q$2))</f>
        <v>0</v>
      </c>
      <c r="F165" s="228">
        <f t="shared" ca="1" si="36"/>
        <v>1</v>
      </c>
      <c r="G165" s="195"/>
      <c r="H165" s="195"/>
      <c r="I165" s="195"/>
      <c r="J165" s="195"/>
      <c r="K165" s="195"/>
      <c r="L165" s="195"/>
      <c r="M165" s="195"/>
      <c r="N165" s="195"/>
      <c r="O165" s="195"/>
      <c r="P165" s="195"/>
      <c r="Q165" s="102"/>
      <c r="V165" s="171"/>
    </row>
    <row r="166" spans="1:45">
      <c r="A166" s="195" t="s">
        <v>414</v>
      </c>
      <c r="B166" s="41">
        <f t="shared" ca="1" si="35"/>
        <v>1</v>
      </c>
      <c r="C166" s="41">
        <f ca="1">SUMIF(OFFSET(CalibData2!$M$3,1,0,$Q$2),ROW()+COLUMN()/100,OFFSET(CalibData2!$O$3,1,0,$Q$2))</f>
        <v>0</v>
      </c>
      <c r="D166" s="41">
        <f ca="1">SUMIF(OFFSET(CalibData2!$M$3,1,0,$Q$2),ROW()+COLUMN()/100,OFFSET(CalibData2!$O$3,1,0,$Q$2))</f>
        <v>0</v>
      </c>
      <c r="E166" s="41">
        <f ca="1">SUMIF(OFFSET(CalibData2!$M$3,1,0,$Q$2),ROW()+COLUMN()/100,OFFSET(CalibData2!$O$3,1,0,$Q$2))</f>
        <v>0</v>
      </c>
      <c r="F166" s="228">
        <f t="shared" ca="1" si="36"/>
        <v>1</v>
      </c>
      <c r="G166" s="195"/>
      <c r="H166" s="195"/>
      <c r="I166" s="195"/>
      <c r="J166" s="195"/>
      <c r="K166" s="195"/>
      <c r="L166" s="195"/>
      <c r="M166" s="195"/>
      <c r="N166" s="195"/>
      <c r="O166" s="195"/>
      <c r="P166" s="195"/>
      <c r="Q166" s="102"/>
    </row>
    <row r="167" spans="1:45">
      <c r="A167" s="195" t="s">
        <v>245</v>
      </c>
      <c r="B167" s="41">
        <f t="shared" ca="1" si="35"/>
        <v>1</v>
      </c>
      <c r="C167" s="41">
        <f ca="1">SUMIF(OFFSET(CalibData2!$M$3,1,0,$Q$2),ROW()+COLUMN()/100,OFFSET(CalibData2!$O$3,1,0,$Q$2))</f>
        <v>0</v>
      </c>
      <c r="D167" s="41">
        <f ca="1">SUMIF(OFFSET(CalibData2!$M$3,1,0,$Q$2),ROW()+COLUMN()/100,OFFSET(CalibData2!$O$3,1,0,$Q$2))</f>
        <v>0</v>
      </c>
      <c r="E167" s="41">
        <f ca="1">SUMIF(OFFSET(CalibData2!$M$3,1,0,$Q$2),ROW()+COLUMN()/100,OFFSET(CalibData2!$O$3,1,0,$Q$2))</f>
        <v>0</v>
      </c>
      <c r="F167" s="228">
        <f t="shared" ca="1" si="36"/>
        <v>1</v>
      </c>
      <c r="G167" s="195"/>
      <c r="H167" s="195"/>
      <c r="I167" s="195"/>
      <c r="J167" s="195"/>
      <c r="K167" s="195"/>
      <c r="L167" s="195"/>
      <c r="M167" s="195"/>
      <c r="N167" s="195"/>
      <c r="O167" s="195"/>
      <c r="P167" s="195"/>
      <c r="Q167" s="102"/>
    </row>
    <row r="168" spans="1:45">
      <c r="A168" s="195"/>
      <c r="B168" s="195"/>
      <c r="C168" s="195"/>
      <c r="D168" s="195"/>
      <c r="E168" s="195"/>
      <c r="F168" s="195"/>
      <c r="G168" s="195"/>
      <c r="H168" s="195"/>
      <c r="I168" s="195"/>
      <c r="J168" s="22"/>
      <c r="K168" s="195"/>
      <c r="L168" s="195"/>
      <c r="M168" s="195"/>
      <c r="N168" s="195"/>
      <c r="O168" s="195"/>
      <c r="P168" s="195"/>
      <c r="Q168" s="102"/>
    </row>
    <row r="169" spans="1:45" ht="18">
      <c r="A169" s="131" t="s">
        <v>394</v>
      </c>
      <c r="B169" s="98"/>
      <c r="C169" s="98"/>
      <c r="D169" s="98"/>
      <c r="E169" s="98"/>
      <c r="F169" s="98"/>
      <c r="G169" s="98"/>
      <c r="H169" s="98"/>
      <c r="I169" s="98"/>
      <c r="J169" s="195"/>
      <c r="K169" s="195"/>
      <c r="L169" s="195"/>
      <c r="M169" s="195"/>
      <c r="N169" s="195"/>
      <c r="O169" s="195"/>
      <c r="P169" s="195"/>
      <c r="Q169" s="102"/>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row>
    <row r="170" spans="1:45" ht="22.5">
      <c r="A170" s="236"/>
      <c r="B170" s="235" t="s">
        <v>213</v>
      </c>
      <c r="C170" s="235" t="s">
        <v>105</v>
      </c>
      <c r="D170" s="235" t="s">
        <v>179</v>
      </c>
      <c r="E170" s="235" t="s">
        <v>104</v>
      </c>
      <c r="F170" s="235" t="s">
        <v>180</v>
      </c>
      <c r="G170" s="235" t="s">
        <v>181</v>
      </c>
      <c r="H170" s="237" t="s">
        <v>72</v>
      </c>
      <c r="I170" s="237" t="s">
        <v>216</v>
      </c>
      <c r="J170" s="235"/>
      <c r="K170" s="195"/>
      <c r="L170" s="195"/>
      <c r="M170" s="195"/>
      <c r="N170" s="195"/>
      <c r="O170" s="195"/>
      <c r="P170" s="195"/>
      <c r="Q170" s="102"/>
      <c r="V170" s="171"/>
      <c r="W170" s="172"/>
      <c r="X170" s="172"/>
      <c r="Y170" s="172"/>
      <c r="Z170" s="172"/>
      <c r="AA170" s="172"/>
      <c r="AB170" s="172"/>
      <c r="AC170" s="172"/>
      <c r="AD170" s="172"/>
      <c r="AE170" s="172"/>
      <c r="AF170" s="172"/>
      <c r="AG170" s="172"/>
      <c r="AH170" s="172"/>
      <c r="AI170" s="172"/>
      <c r="AJ170" s="172"/>
      <c r="AK170" s="172"/>
      <c r="AL170" s="172"/>
      <c r="AM170" s="172"/>
      <c r="AN170" s="172"/>
      <c r="AO170" s="172"/>
      <c r="AP170" s="172"/>
      <c r="AQ170" s="172"/>
      <c r="AR170" s="172"/>
      <c r="AS170" s="172"/>
    </row>
    <row r="171" spans="1:45">
      <c r="A171" s="195"/>
      <c r="B171" s="262" t="s">
        <v>214</v>
      </c>
      <c r="C171" s="262" t="s">
        <v>610</v>
      </c>
      <c r="D171" s="262" t="s">
        <v>235</v>
      </c>
      <c r="E171" s="262" t="s">
        <v>103</v>
      </c>
      <c r="F171" s="262" t="s">
        <v>71</v>
      </c>
      <c r="G171" s="262" t="s">
        <v>70</v>
      </c>
      <c r="H171" s="262" t="s">
        <v>482</v>
      </c>
      <c r="I171" s="262" t="s">
        <v>215</v>
      </c>
      <c r="J171" s="195" t="s">
        <v>248</v>
      </c>
      <c r="K171" s="195"/>
      <c r="L171" s="195"/>
      <c r="M171" s="195"/>
      <c r="N171" s="195"/>
      <c r="O171" s="195"/>
      <c r="P171" s="195"/>
      <c r="Q171" s="102"/>
      <c r="V171" s="171"/>
      <c r="W171" s="172"/>
      <c r="X171" s="172"/>
      <c r="Y171" s="172"/>
      <c r="Z171" s="172"/>
      <c r="AA171" s="172"/>
      <c r="AB171" s="172"/>
      <c r="AC171" s="172"/>
      <c r="AD171" s="172"/>
      <c r="AE171" s="172"/>
      <c r="AF171" s="172"/>
      <c r="AG171" s="172"/>
      <c r="AH171" s="172"/>
      <c r="AI171" s="172"/>
      <c r="AJ171" s="172"/>
      <c r="AK171" s="172"/>
      <c r="AL171" s="172"/>
      <c r="AM171" s="172"/>
      <c r="AN171" s="172"/>
      <c r="AO171" s="172"/>
      <c r="AP171" s="172"/>
      <c r="AQ171" s="172"/>
      <c r="AR171" s="172"/>
      <c r="AS171" s="172"/>
    </row>
    <row r="172" spans="1:45">
      <c r="A172" s="211" t="s">
        <v>244</v>
      </c>
      <c r="B172" s="33">
        <f t="shared" ref="B172:I182" ca="1" si="37">B127*$G99</f>
        <v>0.23327999999999999</v>
      </c>
      <c r="C172" s="33">
        <f t="shared" ca="1" si="37"/>
        <v>0</v>
      </c>
      <c r="D172" s="33">
        <f t="shared" ca="1" si="37"/>
        <v>5.8319999999999997E-2</v>
      </c>
      <c r="E172" s="33">
        <f t="shared" si="37"/>
        <v>0</v>
      </c>
      <c r="F172" s="33">
        <f t="shared" ca="1" si="37"/>
        <v>3.2400000000000005E-2</v>
      </c>
      <c r="G172" s="33">
        <f t="shared" si="37"/>
        <v>0</v>
      </c>
      <c r="H172" s="33">
        <f t="shared" si="37"/>
        <v>0</v>
      </c>
      <c r="I172" s="33">
        <f t="shared" ca="1" si="37"/>
        <v>0</v>
      </c>
      <c r="J172" s="213">
        <f t="shared" ref="J172:J183" ca="1" si="38">SUM(B172:I172)</f>
        <v>0.32399999999999995</v>
      </c>
      <c r="K172" s="221">
        <f t="shared" ref="K172:K183" ca="1" si="39">J172/$J$183</f>
        <v>1.0471388711954684E-2</v>
      </c>
      <c r="L172" s="195"/>
      <c r="M172" s="195"/>
      <c r="N172" s="195"/>
      <c r="O172" s="195"/>
      <c r="P172" s="195"/>
      <c r="Q172" s="102"/>
      <c r="V172" s="171"/>
      <c r="W172" s="172"/>
      <c r="X172" s="172"/>
      <c r="Y172" s="172"/>
      <c r="Z172" s="172"/>
      <c r="AA172" s="172"/>
      <c r="AB172" s="172"/>
      <c r="AC172" s="172"/>
      <c r="AD172" s="172"/>
      <c r="AE172" s="172"/>
      <c r="AF172" s="172"/>
      <c r="AG172" s="172"/>
      <c r="AH172" s="172"/>
      <c r="AI172" s="172"/>
      <c r="AJ172" s="172"/>
      <c r="AK172" s="172"/>
      <c r="AL172" s="172"/>
      <c r="AM172" s="172"/>
      <c r="AN172" s="172"/>
      <c r="AO172" s="172"/>
      <c r="AP172" s="172"/>
      <c r="AQ172" s="172"/>
      <c r="AR172" s="172"/>
      <c r="AS172" s="172"/>
    </row>
    <row r="173" spans="1:45">
      <c r="A173" s="211" t="s">
        <v>663</v>
      </c>
      <c r="B173" s="33">
        <f t="shared" ca="1" si="37"/>
        <v>0.48400545217238311</v>
      </c>
      <c r="C173" s="33">
        <f t="shared" ca="1" si="37"/>
        <v>0</v>
      </c>
      <c r="D173" s="33">
        <f t="shared" ca="1" si="37"/>
        <v>0.12100136304309578</v>
      </c>
      <c r="E173" s="33">
        <f t="shared" si="37"/>
        <v>0</v>
      </c>
      <c r="F173" s="33">
        <f t="shared" ca="1" si="37"/>
        <v>0</v>
      </c>
      <c r="G173" s="33">
        <f t="shared" si="37"/>
        <v>0</v>
      </c>
      <c r="H173" s="33">
        <f t="shared" si="37"/>
        <v>0</v>
      </c>
      <c r="I173" s="33">
        <f t="shared" ca="1" si="37"/>
        <v>0</v>
      </c>
      <c r="J173" s="213">
        <f t="shared" ca="1" si="38"/>
        <v>0.60500681521547883</v>
      </c>
      <c r="K173" s="221">
        <f t="shared" ca="1" si="39"/>
        <v>1.955327634414512E-2</v>
      </c>
      <c r="L173" s="195"/>
      <c r="M173" s="195"/>
      <c r="N173" s="195"/>
      <c r="O173" s="195"/>
      <c r="P173" s="195"/>
      <c r="Q173" s="102"/>
      <c r="V173" s="171"/>
      <c r="W173" s="172"/>
      <c r="X173" s="172"/>
      <c r="Y173" s="172"/>
      <c r="Z173" s="172"/>
      <c r="AA173" s="172"/>
      <c r="AB173" s="172"/>
      <c r="AC173" s="172"/>
      <c r="AD173" s="172"/>
      <c r="AE173" s="172"/>
      <c r="AF173" s="172"/>
      <c r="AG173" s="172"/>
      <c r="AH173" s="172"/>
      <c r="AI173" s="172"/>
      <c r="AJ173" s="172"/>
      <c r="AK173" s="172"/>
      <c r="AL173" s="172"/>
      <c r="AM173" s="172"/>
      <c r="AN173" s="172"/>
      <c r="AO173" s="172"/>
      <c r="AP173" s="172"/>
      <c r="AQ173" s="172"/>
      <c r="AR173" s="172"/>
      <c r="AS173" s="172"/>
    </row>
    <row r="174" spans="1:45">
      <c r="A174" s="211" t="s">
        <v>87</v>
      </c>
      <c r="B174" s="33">
        <f t="shared" ca="1" si="37"/>
        <v>0</v>
      </c>
      <c r="C174" s="33">
        <f t="shared" si="37"/>
        <v>0</v>
      </c>
      <c r="D174" s="33">
        <f t="shared" ca="1" si="37"/>
        <v>0</v>
      </c>
      <c r="E174" s="33">
        <f t="shared" si="37"/>
        <v>0</v>
      </c>
      <c r="F174" s="33">
        <f t="shared" si="37"/>
        <v>0</v>
      </c>
      <c r="G174" s="33">
        <f t="shared" si="37"/>
        <v>0</v>
      </c>
      <c r="H174" s="33">
        <f t="shared" si="37"/>
        <v>0</v>
      </c>
      <c r="I174" s="33">
        <f t="shared" si="37"/>
        <v>0</v>
      </c>
      <c r="J174" s="213">
        <f t="shared" ca="1" si="38"/>
        <v>0</v>
      </c>
      <c r="K174" s="221">
        <f t="shared" ca="1" si="39"/>
        <v>0</v>
      </c>
      <c r="L174" s="195"/>
      <c r="M174" s="195"/>
      <c r="N174" s="195"/>
      <c r="O174" s="195"/>
      <c r="P174" s="195"/>
      <c r="Q174" s="102"/>
      <c r="V174" s="171"/>
      <c r="W174" s="172"/>
      <c r="X174" s="172"/>
      <c r="Y174" s="172"/>
      <c r="Z174" s="172"/>
      <c r="AA174" s="172"/>
      <c r="AB174" s="172"/>
      <c r="AC174" s="172"/>
      <c r="AD174" s="172"/>
      <c r="AE174" s="172"/>
      <c r="AF174" s="172"/>
      <c r="AG174" s="172"/>
      <c r="AH174" s="172"/>
      <c r="AI174" s="172"/>
      <c r="AJ174" s="172"/>
      <c r="AK174" s="172"/>
      <c r="AL174" s="172"/>
      <c r="AM174" s="172"/>
      <c r="AN174" s="172"/>
      <c r="AO174" s="172"/>
      <c r="AP174" s="172"/>
      <c r="AQ174" s="172"/>
      <c r="AR174" s="172"/>
      <c r="AS174" s="172"/>
    </row>
    <row r="175" spans="1:45">
      <c r="A175" s="211" t="s">
        <v>576</v>
      </c>
      <c r="B175" s="33">
        <f t="shared" ca="1" si="37"/>
        <v>0</v>
      </c>
      <c r="C175" s="33">
        <f t="shared" si="37"/>
        <v>0</v>
      </c>
      <c r="D175" s="33">
        <f t="shared" ca="1" si="37"/>
        <v>0</v>
      </c>
      <c r="E175" s="33">
        <f t="shared" ca="1" si="37"/>
        <v>0</v>
      </c>
      <c r="F175" s="33">
        <f t="shared" ca="1" si="37"/>
        <v>0</v>
      </c>
      <c r="G175" s="33">
        <f t="shared" si="37"/>
        <v>0</v>
      </c>
      <c r="H175" s="33">
        <f t="shared" si="37"/>
        <v>0</v>
      </c>
      <c r="I175" s="33">
        <f t="shared" si="37"/>
        <v>0</v>
      </c>
      <c r="J175" s="213">
        <f t="shared" ca="1" si="38"/>
        <v>0</v>
      </c>
      <c r="K175" s="221">
        <f t="shared" ca="1" si="39"/>
        <v>0</v>
      </c>
      <c r="L175" s="195"/>
      <c r="M175" s="195"/>
      <c r="N175" s="195"/>
      <c r="O175" s="195"/>
      <c r="P175" s="195"/>
      <c r="Q175" s="102"/>
      <c r="V175" s="171"/>
      <c r="W175" s="172"/>
      <c r="X175" s="172"/>
      <c r="Y175" s="172"/>
      <c r="Z175" s="172"/>
      <c r="AA175" s="172"/>
      <c r="AB175" s="172"/>
      <c r="AC175" s="172"/>
      <c r="AD175" s="172"/>
      <c r="AE175" s="172"/>
      <c r="AF175" s="172"/>
      <c r="AG175" s="172"/>
      <c r="AH175" s="172"/>
      <c r="AI175" s="172"/>
      <c r="AJ175" s="172"/>
      <c r="AK175" s="172"/>
      <c r="AL175" s="172"/>
      <c r="AM175" s="172"/>
      <c r="AN175" s="172"/>
      <c r="AO175" s="172"/>
      <c r="AP175" s="172"/>
      <c r="AQ175" s="172"/>
      <c r="AR175" s="172"/>
      <c r="AS175" s="172"/>
    </row>
    <row r="176" spans="1:45">
      <c r="A176" s="211" t="str">
        <f>A131</f>
        <v>Coal-Commercial</v>
      </c>
      <c r="B176" s="33">
        <f t="shared" ca="1" si="37"/>
        <v>0</v>
      </c>
      <c r="C176" s="33">
        <f t="shared" si="37"/>
        <v>0</v>
      </c>
      <c r="D176" s="33">
        <f t="shared" ca="1" si="37"/>
        <v>0</v>
      </c>
      <c r="E176" s="33">
        <f t="shared" si="37"/>
        <v>0</v>
      </c>
      <c r="F176" s="33">
        <f t="shared" ca="1" si="37"/>
        <v>0</v>
      </c>
      <c r="G176" s="33">
        <f t="shared" si="37"/>
        <v>0</v>
      </c>
      <c r="H176" s="33">
        <f t="shared" si="37"/>
        <v>0</v>
      </c>
      <c r="I176" s="33">
        <f t="shared" si="37"/>
        <v>0</v>
      </c>
      <c r="J176" s="213">
        <f t="shared" ca="1" si="38"/>
        <v>0</v>
      </c>
      <c r="K176" s="221">
        <f t="shared" ca="1" si="39"/>
        <v>0</v>
      </c>
      <c r="L176" s="195"/>
      <c r="M176" s="195"/>
      <c r="N176" s="195"/>
      <c r="O176" s="195"/>
      <c r="P176" s="195"/>
      <c r="Q176" s="102"/>
      <c r="V176" s="171"/>
      <c r="W176" s="172"/>
      <c r="X176" s="172"/>
      <c r="Y176" s="172"/>
      <c r="Z176" s="172"/>
      <c r="AA176" s="172"/>
      <c r="AB176" s="172"/>
      <c r="AC176" s="172"/>
      <c r="AD176" s="172"/>
      <c r="AE176" s="172"/>
      <c r="AF176" s="172"/>
      <c r="AG176" s="172"/>
      <c r="AH176" s="172"/>
      <c r="AI176" s="172"/>
      <c r="AJ176" s="172"/>
      <c r="AK176" s="172"/>
      <c r="AL176" s="172"/>
      <c r="AM176" s="172"/>
      <c r="AN176" s="172"/>
      <c r="AO176" s="172"/>
      <c r="AP176" s="172"/>
      <c r="AQ176" s="172"/>
      <c r="AR176" s="172"/>
      <c r="AS176" s="172"/>
    </row>
    <row r="177" spans="1:66">
      <c r="A177" s="211" t="s">
        <v>665</v>
      </c>
      <c r="B177" s="33">
        <f t="shared" ca="1" si="37"/>
        <v>0</v>
      </c>
      <c r="C177" s="33">
        <f t="shared" si="37"/>
        <v>0</v>
      </c>
      <c r="D177" s="33">
        <f t="shared" ca="1" si="37"/>
        <v>0</v>
      </c>
      <c r="E177" s="33">
        <f t="shared" si="37"/>
        <v>0</v>
      </c>
      <c r="F177" s="33">
        <f t="shared" ca="1" si="37"/>
        <v>0</v>
      </c>
      <c r="G177" s="33">
        <f t="shared" si="37"/>
        <v>0</v>
      </c>
      <c r="H177" s="33">
        <f t="shared" si="37"/>
        <v>0</v>
      </c>
      <c r="I177" s="33">
        <f t="shared" si="37"/>
        <v>0</v>
      </c>
      <c r="J177" s="213">
        <f t="shared" ca="1" si="38"/>
        <v>0</v>
      </c>
      <c r="K177" s="221">
        <f t="shared" ca="1" si="39"/>
        <v>0</v>
      </c>
      <c r="L177" s="195"/>
      <c r="M177" s="195"/>
      <c r="N177" s="195"/>
      <c r="O177" s="195"/>
      <c r="P177" s="195"/>
      <c r="Q177" s="102"/>
      <c r="V177" s="171"/>
      <c r="W177" s="172"/>
      <c r="X177" s="172"/>
      <c r="Y177" s="172"/>
      <c r="Z177" s="172"/>
      <c r="AA177" s="172"/>
      <c r="AB177" s="172"/>
      <c r="AC177" s="172"/>
      <c r="AD177" s="172"/>
      <c r="AE177" s="172"/>
      <c r="AF177" s="172"/>
      <c r="AG177" s="172"/>
      <c r="AH177" s="172"/>
      <c r="AI177" s="172"/>
      <c r="AJ177" s="172"/>
      <c r="AK177" s="172"/>
      <c r="AL177" s="172"/>
      <c r="AM177" s="172"/>
      <c r="AN177" s="172"/>
      <c r="AO177" s="172"/>
      <c r="AP177" s="172"/>
      <c r="AQ177" s="172"/>
      <c r="AR177" s="172"/>
      <c r="AS177" s="172"/>
    </row>
    <row r="178" spans="1:66">
      <c r="A178" s="211" t="s">
        <v>588</v>
      </c>
      <c r="B178" s="33">
        <f t="shared" ca="1" si="37"/>
        <v>5.3999999999999999E-2</v>
      </c>
      <c r="C178" s="33">
        <f t="shared" si="37"/>
        <v>0</v>
      </c>
      <c r="D178" s="33">
        <f t="shared" ca="1" si="37"/>
        <v>0</v>
      </c>
      <c r="E178" s="33">
        <f t="shared" si="37"/>
        <v>0</v>
      </c>
      <c r="F178" s="33">
        <f t="shared" ca="1" si="37"/>
        <v>0</v>
      </c>
      <c r="G178" s="33">
        <f t="shared" si="37"/>
        <v>0</v>
      </c>
      <c r="H178" s="33">
        <f t="shared" si="37"/>
        <v>0</v>
      </c>
      <c r="I178" s="33">
        <f t="shared" si="37"/>
        <v>0</v>
      </c>
      <c r="J178" s="213">
        <f t="shared" ca="1" si="38"/>
        <v>5.3999999999999999E-2</v>
      </c>
      <c r="K178" s="221">
        <f t="shared" ca="1" si="39"/>
        <v>1.7452314519924475E-3</v>
      </c>
      <c r="L178" s="195"/>
      <c r="M178" s="195"/>
      <c r="N178" s="195"/>
      <c r="O178" s="195"/>
      <c r="P178" s="195"/>
      <c r="Q178" s="102"/>
      <c r="V178" s="171"/>
      <c r="W178" s="172"/>
      <c r="X178" s="172"/>
      <c r="Y178" s="172"/>
      <c r="Z178" s="172"/>
      <c r="AA178" s="172"/>
      <c r="AB178" s="172"/>
      <c r="AC178" s="172"/>
      <c r="AD178" s="172"/>
      <c r="AE178" s="172"/>
      <c r="AF178" s="172"/>
      <c r="AG178" s="172"/>
      <c r="AH178" s="172"/>
      <c r="AI178" s="172"/>
      <c r="AJ178" s="172"/>
      <c r="AK178" s="172"/>
      <c r="AL178" s="172"/>
      <c r="AM178" s="172"/>
      <c r="AN178" s="172"/>
      <c r="AO178" s="172"/>
      <c r="AP178" s="172"/>
      <c r="AQ178" s="172"/>
      <c r="AR178" s="172"/>
      <c r="AS178" s="172"/>
    </row>
    <row r="179" spans="1:66">
      <c r="A179" s="211" t="s">
        <v>247</v>
      </c>
      <c r="B179" s="33">
        <f t="shared" ca="1" si="37"/>
        <v>0.60779626502294326</v>
      </c>
      <c r="C179" s="33">
        <f t="shared" ca="1" si="37"/>
        <v>0.73449112777157499</v>
      </c>
      <c r="D179" s="33">
        <f t="shared" ca="1" si="37"/>
        <v>0.16156609576559269</v>
      </c>
      <c r="E179" s="33">
        <f t="shared" ca="1" si="37"/>
        <v>5.1543237036601761</v>
      </c>
      <c r="F179" s="33">
        <f t="shared" ca="1" si="37"/>
        <v>0.67506495738906336</v>
      </c>
      <c r="G179" s="33">
        <f t="shared" ca="1" si="37"/>
        <v>1.181363675430861</v>
      </c>
      <c r="H179" s="33">
        <f t="shared" ca="1" si="37"/>
        <v>1.2704027822280028</v>
      </c>
      <c r="I179" s="33">
        <f t="shared" ca="1" si="37"/>
        <v>7.0916153274583706</v>
      </c>
      <c r="J179" s="213">
        <f t="shared" ca="1" si="38"/>
        <v>16.876623934726585</v>
      </c>
      <c r="K179" s="221">
        <f t="shared" ca="1" si="39"/>
        <v>0.54543731285802532</v>
      </c>
      <c r="L179" s="195"/>
      <c r="M179" s="195"/>
      <c r="N179" s="195"/>
      <c r="O179" s="195"/>
      <c r="P179" s="195"/>
      <c r="Q179" s="102"/>
      <c r="V179" s="171"/>
      <c r="W179" s="172"/>
      <c r="X179" s="172"/>
      <c r="Y179" s="172"/>
      <c r="Z179" s="172"/>
      <c r="AA179" s="172"/>
      <c r="AB179" s="172"/>
      <c r="AC179" s="172"/>
      <c r="AD179" s="172"/>
      <c r="AE179" s="172"/>
      <c r="AF179" s="172"/>
      <c r="AG179" s="172"/>
      <c r="AH179" s="172"/>
      <c r="AI179" s="172"/>
      <c r="AJ179" s="172"/>
      <c r="AK179" s="172"/>
      <c r="AL179" s="172"/>
      <c r="AM179" s="172"/>
      <c r="AN179" s="172"/>
      <c r="AO179" s="172"/>
      <c r="AP179" s="172"/>
      <c r="AQ179" s="172"/>
      <c r="AR179" s="172"/>
      <c r="AS179" s="172"/>
    </row>
    <row r="180" spans="1:66">
      <c r="A180" s="211" t="str">
        <f>A135</f>
        <v>Heat</v>
      </c>
      <c r="B180" s="33">
        <f t="shared" ca="1" si="37"/>
        <v>10.296575999999998</v>
      </c>
      <c r="C180" s="33">
        <f ca="1">MAX(C135*$G107,$P$104*3.6/1000)</f>
        <v>0.20210399999999995</v>
      </c>
      <c r="D180" s="33">
        <f t="shared" ca="1" si="37"/>
        <v>2.5831439999999999</v>
      </c>
      <c r="E180" s="33">
        <f t="shared" si="37"/>
        <v>0</v>
      </c>
      <c r="F180" s="33">
        <f t="shared" si="37"/>
        <v>0</v>
      </c>
      <c r="G180" s="33">
        <f t="shared" si="37"/>
        <v>0</v>
      </c>
      <c r="H180" s="33">
        <f t="shared" si="37"/>
        <v>0</v>
      </c>
      <c r="I180" s="33">
        <f t="shared" si="37"/>
        <v>0</v>
      </c>
      <c r="J180" s="213">
        <f t="shared" ca="1" si="38"/>
        <v>13.081823999999997</v>
      </c>
      <c r="K180" s="221">
        <f t="shared" ca="1" si="39"/>
        <v>0.42279279063388225</v>
      </c>
      <c r="L180" s="195"/>
      <c r="M180" s="195"/>
      <c r="N180" s="195"/>
      <c r="O180" s="195"/>
      <c r="P180" s="195"/>
      <c r="Q180" s="102"/>
      <c r="V180" s="171"/>
      <c r="W180" s="172"/>
      <c r="X180" s="172"/>
      <c r="Y180" s="172"/>
      <c r="Z180" s="172"/>
      <c r="AA180" s="172"/>
      <c r="AB180" s="172"/>
      <c r="AC180" s="172"/>
      <c r="AD180" s="172"/>
      <c r="AE180" s="172"/>
      <c r="AF180" s="172"/>
      <c r="AG180" s="172"/>
      <c r="AH180" s="172"/>
      <c r="AI180" s="172"/>
      <c r="AJ180" s="172"/>
      <c r="AK180" s="172"/>
      <c r="AL180" s="172"/>
      <c r="AM180" s="172"/>
      <c r="AN180" s="172"/>
      <c r="AO180" s="172"/>
      <c r="AP180" s="172"/>
      <c r="AQ180" s="172"/>
      <c r="AR180" s="172"/>
      <c r="AS180" s="172"/>
    </row>
    <row r="181" spans="1:66">
      <c r="A181" s="211" t="s">
        <v>245</v>
      </c>
      <c r="B181" s="33">
        <f t="shared" ca="1" si="37"/>
        <v>0</v>
      </c>
      <c r="C181" s="33">
        <f t="shared" ca="1" si="37"/>
        <v>0</v>
      </c>
      <c r="D181" s="33">
        <f t="shared" ca="1" si="37"/>
        <v>0</v>
      </c>
      <c r="E181" s="33">
        <f t="shared" si="37"/>
        <v>0</v>
      </c>
      <c r="F181" s="33">
        <f t="shared" si="37"/>
        <v>0</v>
      </c>
      <c r="G181" s="33">
        <f t="shared" si="37"/>
        <v>0</v>
      </c>
      <c r="H181" s="33">
        <f t="shared" si="37"/>
        <v>0</v>
      </c>
      <c r="I181" s="33">
        <f t="shared" si="37"/>
        <v>0</v>
      </c>
      <c r="J181" s="213">
        <f t="shared" ca="1" si="38"/>
        <v>0</v>
      </c>
      <c r="K181" s="221">
        <f t="shared" ca="1" si="39"/>
        <v>0</v>
      </c>
      <c r="L181" s="195"/>
      <c r="M181" s="195"/>
      <c r="N181" s="195"/>
      <c r="O181" s="195"/>
      <c r="P181" s="195"/>
      <c r="Q181" s="102"/>
      <c r="V181" s="171"/>
      <c r="W181" s="172"/>
      <c r="X181" s="172"/>
      <c r="Y181" s="172"/>
      <c r="Z181" s="172"/>
      <c r="AA181" s="172"/>
      <c r="AB181" s="172"/>
      <c r="AC181" s="172"/>
      <c r="AD181" s="172"/>
      <c r="AE181" s="172"/>
      <c r="AF181" s="172"/>
      <c r="AG181" s="172"/>
      <c r="AH181" s="172"/>
      <c r="AI181" s="172"/>
      <c r="AJ181" s="172"/>
      <c r="AK181" s="172"/>
      <c r="AL181" s="172"/>
      <c r="AM181" s="172"/>
      <c r="AN181" s="172"/>
      <c r="AO181" s="172"/>
      <c r="AP181" s="172"/>
      <c r="AQ181" s="172"/>
      <c r="AR181" s="172"/>
      <c r="AS181" s="172"/>
    </row>
    <row r="182" spans="1:66">
      <c r="A182" s="211" t="s">
        <v>246</v>
      </c>
      <c r="B182" s="33">
        <f t="shared" ca="1" si="37"/>
        <v>0</v>
      </c>
      <c r="C182" s="33">
        <f t="shared" si="37"/>
        <v>0</v>
      </c>
      <c r="D182" s="33">
        <f t="shared" ca="1" si="37"/>
        <v>0</v>
      </c>
      <c r="E182" s="33">
        <f t="shared" si="37"/>
        <v>0</v>
      </c>
      <c r="F182" s="33">
        <f t="shared" ca="1" si="37"/>
        <v>0</v>
      </c>
      <c r="G182" s="33">
        <f t="shared" si="37"/>
        <v>0</v>
      </c>
      <c r="H182" s="33">
        <f t="shared" si="37"/>
        <v>0</v>
      </c>
      <c r="I182" s="33">
        <f t="shared" si="37"/>
        <v>0</v>
      </c>
      <c r="J182" s="213">
        <f t="shared" ca="1" si="38"/>
        <v>0</v>
      </c>
      <c r="K182" s="221">
        <f t="shared" ca="1" si="39"/>
        <v>0</v>
      </c>
      <c r="L182" s="195"/>
      <c r="M182" s="195"/>
      <c r="N182" s="195"/>
      <c r="O182" s="195"/>
      <c r="P182" s="195"/>
      <c r="Q182" s="102"/>
      <c r="V182" s="171"/>
      <c r="W182" s="172"/>
      <c r="X182" s="172"/>
      <c r="Y182" s="172"/>
      <c r="Z182" s="172"/>
      <c r="AA182" s="172"/>
      <c r="AB182" s="172"/>
      <c r="AC182" s="172"/>
      <c r="AD182" s="172"/>
      <c r="AE182" s="172"/>
      <c r="AF182" s="172"/>
      <c r="AG182" s="172"/>
      <c r="AH182" s="172"/>
      <c r="AI182" s="172"/>
      <c r="AJ182" s="172"/>
      <c r="AK182" s="172"/>
      <c r="AL182" s="172"/>
      <c r="AM182" s="172"/>
      <c r="AN182" s="172"/>
      <c r="AO182" s="172"/>
      <c r="AP182" s="172"/>
      <c r="AQ182" s="172"/>
      <c r="AR182" s="172"/>
      <c r="AS182" s="172"/>
    </row>
    <row r="183" spans="1:66">
      <c r="A183" s="195" t="s">
        <v>248</v>
      </c>
      <c r="B183" s="213">
        <f t="shared" ref="B183:I183" ca="1" si="40">SUM(B172:B182)</f>
        <v>11.675657717195325</v>
      </c>
      <c r="C183" s="213">
        <f t="shared" ca="1" si="40"/>
        <v>0.93659512777157494</v>
      </c>
      <c r="D183" s="213">
        <f t="shared" ca="1" si="40"/>
        <v>2.9240314588086882</v>
      </c>
      <c r="E183" s="213">
        <f t="shared" ca="1" si="40"/>
        <v>5.1543237036601761</v>
      </c>
      <c r="F183" s="213">
        <f t="shared" ca="1" si="40"/>
        <v>0.70746495738906334</v>
      </c>
      <c r="G183" s="213">
        <f t="shared" ca="1" si="40"/>
        <v>1.181363675430861</v>
      </c>
      <c r="H183" s="213">
        <f t="shared" ca="1" si="40"/>
        <v>1.2704027822280028</v>
      </c>
      <c r="I183" s="213">
        <f t="shared" ca="1" si="40"/>
        <v>7.0916153274583706</v>
      </c>
      <c r="J183" s="213">
        <f t="shared" ca="1" si="38"/>
        <v>30.941454749942064</v>
      </c>
      <c r="K183" s="221">
        <f t="shared" ca="1" si="39"/>
        <v>1</v>
      </c>
      <c r="L183" s="195"/>
      <c r="M183" s="195"/>
      <c r="N183" s="195"/>
      <c r="O183" s="195"/>
      <c r="P183" s="195"/>
      <c r="Q183" s="102"/>
      <c r="V183" s="171"/>
      <c r="W183" s="172"/>
      <c r="X183" s="172"/>
      <c r="Y183" s="172"/>
      <c r="Z183" s="172"/>
      <c r="AA183" s="172"/>
      <c r="AB183" s="172"/>
      <c r="AC183" s="172"/>
      <c r="AD183" s="172"/>
      <c r="AE183" s="172"/>
      <c r="AF183" s="172"/>
      <c r="AG183" s="172"/>
      <c r="AH183" s="172"/>
      <c r="AI183" s="172"/>
      <c r="AJ183" s="172"/>
      <c r="AK183" s="172"/>
      <c r="AL183" s="172"/>
      <c r="AM183" s="172"/>
      <c r="AN183" s="172"/>
      <c r="AO183" s="172"/>
      <c r="AP183" s="172"/>
      <c r="AQ183" s="172"/>
      <c r="AR183" s="172"/>
      <c r="AS183" s="172"/>
    </row>
    <row r="184" spans="1:66">
      <c r="A184" s="195" t="s">
        <v>337</v>
      </c>
      <c r="B184" s="215">
        <f t="shared" ref="B184:J184" ca="1" si="41">B183/$J$183</f>
        <v>0.37734676056940042</v>
      </c>
      <c r="C184" s="215">
        <f t="shared" ca="1" si="41"/>
        <v>3.0269912495737735E-2</v>
      </c>
      <c r="D184" s="215">
        <f t="shared" ca="1" si="41"/>
        <v>9.4502067935708908E-2</v>
      </c>
      <c r="E184" s="215">
        <f t="shared" ca="1" si="41"/>
        <v>0.16658310817366553</v>
      </c>
      <c r="F184" s="215">
        <f t="shared" ca="1" si="41"/>
        <v>2.2864631385516483E-2</v>
      </c>
      <c r="G184" s="215">
        <f t="shared" ca="1" si="41"/>
        <v>3.8180611900061778E-2</v>
      </c>
      <c r="H184" s="215">
        <f t="shared" ca="1" si="41"/>
        <v>4.1058275782278192E-2</v>
      </c>
      <c r="I184" s="215">
        <f t="shared" ca="1" si="41"/>
        <v>0.22919463175763088</v>
      </c>
      <c r="J184" s="215">
        <f t="shared" ca="1" si="41"/>
        <v>1</v>
      </c>
      <c r="K184" s="195"/>
      <c r="L184" s="195"/>
      <c r="M184" s="195"/>
      <c r="N184" s="195"/>
      <c r="O184" s="195"/>
      <c r="P184" s="195"/>
      <c r="Q184" s="102"/>
      <c r="V184" s="171"/>
      <c r="W184" s="172"/>
      <c r="X184" s="172"/>
      <c r="Y184" s="172"/>
      <c r="Z184" s="172"/>
      <c r="AA184" s="172"/>
      <c r="AB184" s="172"/>
      <c r="AC184" s="172"/>
      <c r="AD184" s="172"/>
      <c r="AE184" s="172"/>
      <c r="AF184" s="172"/>
      <c r="AG184" s="172"/>
      <c r="AH184" s="172"/>
      <c r="AI184" s="172"/>
      <c r="AJ184" s="172"/>
      <c r="AK184" s="172"/>
      <c r="AL184" s="172"/>
      <c r="AM184" s="172"/>
      <c r="AN184" s="172"/>
      <c r="AO184" s="172"/>
      <c r="AP184" s="172"/>
      <c r="AQ184" s="172"/>
      <c r="AR184" s="172"/>
      <c r="AS184" s="172"/>
    </row>
    <row r="185" spans="1:66">
      <c r="A185" s="195"/>
      <c r="B185" s="195"/>
      <c r="C185" s="195"/>
      <c r="D185" s="195"/>
      <c r="E185" s="195"/>
      <c r="F185" s="195"/>
      <c r="G185" s="195"/>
      <c r="H185" s="195"/>
      <c r="I185" s="195"/>
      <c r="J185" s="195"/>
      <c r="K185" s="195"/>
      <c r="L185" s="195"/>
      <c r="M185" s="195"/>
      <c r="N185" s="195"/>
      <c r="O185" s="195"/>
      <c r="P185" s="195"/>
      <c r="Q185" s="102"/>
      <c r="V185" s="171"/>
      <c r="W185" s="172"/>
      <c r="X185" s="172"/>
      <c r="Y185" s="172"/>
      <c r="Z185" s="172"/>
      <c r="AA185" s="172"/>
      <c r="AB185" s="172"/>
      <c r="AC185" s="172"/>
      <c r="AD185" s="172"/>
      <c r="AE185" s="172"/>
      <c r="AF185" s="172"/>
      <c r="AG185" s="172"/>
      <c r="AH185" s="172"/>
      <c r="AI185" s="172"/>
      <c r="AJ185" s="172"/>
      <c r="AK185" s="172"/>
      <c r="AL185" s="172"/>
      <c r="AM185" s="172"/>
      <c r="AN185" s="172"/>
      <c r="AO185" s="172"/>
      <c r="AP185" s="172"/>
      <c r="AQ185" s="172"/>
      <c r="AR185" s="172"/>
      <c r="AS185" s="172"/>
    </row>
    <row r="186" spans="1:66">
      <c r="A186" s="195"/>
      <c r="B186" s="195"/>
      <c r="C186" s="195"/>
      <c r="D186" s="195"/>
      <c r="E186" s="195"/>
      <c r="F186" s="195"/>
      <c r="G186" s="195"/>
      <c r="H186" s="195"/>
      <c r="I186" s="195"/>
      <c r="J186" s="195"/>
      <c r="K186" s="195"/>
      <c r="L186" s="195"/>
      <c r="M186" s="195"/>
      <c r="N186" s="195"/>
      <c r="O186" s="195"/>
      <c r="P186" s="195"/>
      <c r="Q186" s="102"/>
      <c r="V186" s="171"/>
      <c r="W186" s="172"/>
      <c r="X186" s="172"/>
      <c r="Y186" s="172"/>
      <c r="Z186" s="172"/>
      <c r="AA186" s="172"/>
      <c r="AB186" s="172"/>
      <c r="AC186" s="172"/>
      <c r="AD186" s="172"/>
      <c r="AE186" s="172"/>
      <c r="AF186" s="172"/>
      <c r="AG186" s="172"/>
      <c r="AH186" s="172"/>
      <c r="AI186" s="172"/>
      <c r="AJ186" s="172"/>
      <c r="AK186" s="172"/>
      <c r="AL186" s="172"/>
      <c r="AM186" s="172"/>
      <c r="AN186" s="172"/>
      <c r="AO186" s="172"/>
      <c r="AP186" s="172"/>
      <c r="AQ186" s="172"/>
      <c r="AR186" s="172"/>
      <c r="AS186" s="172"/>
    </row>
    <row r="187" spans="1:66" ht="18">
      <c r="A187" s="243" t="s">
        <v>236</v>
      </c>
      <c r="B187" s="195"/>
      <c r="C187" s="195"/>
      <c r="D187" s="195"/>
      <c r="E187" s="195"/>
      <c r="F187" s="195"/>
      <c r="G187" s="195"/>
      <c r="H187" s="230"/>
      <c r="I187" s="195"/>
      <c r="J187" s="195"/>
      <c r="K187" s="195"/>
      <c r="L187" s="195"/>
      <c r="M187" s="195"/>
      <c r="N187" s="195"/>
      <c r="O187" s="195"/>
      <c r="P187" s="195"/>
      <c r="Q187" s="102"/>
      <c r="V187" s="171"/>
      <c r="W187" s="172"/>
      <c r="X187" s="172"/>
      <c r="Y187" s="172"/>
      <c r="Z187" s="172"/>
      <c r="AA187" s="172"/>
      <c r="AB187" s="172"/>
      <c r="AC187" s="172"/>
      <c r="AD187" s="172"/>
      <c r="AE187" s="172"/>
      <c r="AF187" s="172"/>
      <c r="AG187" s="172"/>
      <c r="AH187" s="172"/>
      <c r="AI187" s="172"/>
      <c r="AJ187" s="172"/>
      <c r="AK187" s="172"/>
      <c r="AL187" s="172"/>
      <c r="AM187" s="172"/>
      <c r="AN187" s="172"/>
      <c r="AO187" s="172"/>
      <c r="AP187" s="172"/>
      <c r="AQ187" s="172"/>
      <c r="AR187" s="172"/>
      <c r="AS187" s="172"/>
    </row>
    <row r="188" spans="1:66" s="22" customFormat="1" ht="18">
      <c r="A188" s="204"/>
      <c r="B188" s="131" t="s">
        <v>527</v>
      </c>
      <c r="C188" s="98"/>
      <c r="D188" s="98"/>
      <c r="E188" s="195"/>
      <c r="F188" s="131" t="s">
        <v>528</v>
      </c>
      <c r="G188" s="98"/>
      <c r="H188" s="134"/>
      <c r="I188" s="98"/>
      <c r="J188" s="195"/>
      <c r="K188" s="131" t="s">
        <v>723</v>
      </c>
      <c r="L188" s="98"/>
      <c r="M188" s="134"/>
      <c r="N188" s="134"/>
      <c r="O188" s="195"/>
      <c r="P188" s="195"/>
      <c r="Q188" s="102"/>
      <c r="R188"/>
      <c r="S188"/>
      <c r="T188"/>
      <c r="U188"/>
      <c r="V188" s="171"/>
      <c r="W188" s="172"/>
      <c r="X188" s="172"/>
      <c r="Y188" s="172"/>
      <c r="Z188" s="172"/>
      <c r="AA188" s="172"/>
      <c r="AB188" s="172"/>
      <c r="AC188" s="172"/>
      <c r="AD188" s="172"/>
      <c r="AE188" s="172"/>
      <c r="AF188" s="172"/>
      <c r="AG188" s="172"/>
      <c r="AH188" s="172"/>
      <c r="AI188" s="172"/>
      <c r="AJ188" s="172"/>
      <c r="AK188" s="172"/>
      <c r="AL188" s="172"/>
      <c r="AM188" s="172"/>
      <c r="AN188" s="172"/>
      <c r="AO188" s="172"/>
      <c r="AP188" s="172"/>
      <c r="AQ188" s="172"/>
      <c r="AR188" s="172"/>
      <c r="AS188" s="172"/>
      <c r="AT188"/>
      <c r="AU188"/>
      <c r="AV188"/>
      <c r="AW188"/>
      <c r="AX188"/>
      <c r="AY188"/>
      <c r="AZ188"/>
      <c r="BA188"/>
      <c r="BB188"/>
      <c r="BC188"/>
      <c r="BD188"/>
      <c r="BE188"/>
      <c r="BF188"/>
      <c r="BG188"/>
      <c r="BH188"/>
      <c r="BI188"/>
      <c r="BJ188"/>
      <c r="BK188"/>
      <c r="BL188"/>
      <c r="BM188"/>
    </row>
    <row r="189" spans="1:66" s="22" customFormat="1">
      <c r="A189" s="196" t="s">
        <v>374</v>
      </c>
      <c r="B189" s="200" t="s">
        <v>369</v>
      </c>
      <c r="C189" s="195"/>
      <c r="D189" s="195"/>
      <c r="E189" s="195"/>
      <c r="L189" s="306" t="s">
        <v>724</v>
      </c>
      <c r="M189" s="306" t="s">
        <v>725</v>
      </c>
      <c r="N189" s="306" t="s">
        <v>414</v>
      </c>
      <c r="O189" s="306" t="s">
        <v>724</v>
      </c>
      <c r="P189" s="306" t="s">
        <v>725</v>
      </c>
      <c r="Q189" s="306" t="s">
        <v>414</v>
      </c>
      <c r="R189"/>
      <c r="S189"/>
      <c r="T189"/>
      <c r="U189"/>
      <c r="V189" s="171"/>
      <c r="W189" s="172"/>
      <c r="X189" s="172"/>
      <c r="Y189" s="172"/>
      <c r="Z189" s="172"/>
      <c r="AA189" s="172"/>
      <c r="AB189" s="172"/>
      <c r="AC189" s="172"/>
      <c r="AD189" s="172"/>
      <c r="AE189" s="172"/>
      <c r="AF189" s="172"/>
      <c r="AG189" s="172"/>
      <c r="AH189" s="172"/>
      <c r="AI189" s="172"/>
      <c r="AJ189" s="172"/>
      <c r="AK189" s="172"/>
      <c r="AL189" s="172"/>
      <c r="AM189" s="172"/>
      <c r="AN189" s="172"/>
      <c r="AO189" s="172"/>
      <c r="AP189" s="172"/>
      <c r="AQ189" s="172"/>
      <c r="AR189" s="172"/>
      <c r="AS189" s="172"/>
      <c r="AT189"/>
      <c r="AU189"/>
      <c r="AV189"/>
      <c r="AW189"/>
      <c r="AX189"/>
      <c r="AY189"/>
      <c r="AZ189"/>
      <c r="BA189"/>
      <c r="BB189"/>
      <c r="BC189"/>
      <c r="BD189"/>
      <c r="BE189"/>
      <c r="BF189"/>
      <c r="BG189"/>
      <c r="BH189"/>
      <c r="BI189"/>
      <c r="BJ189"/>
      <c r="BK189"/>
      <c r="BL189"/>
      <c r="BM189"/>
    </row>
    <row r="190" spans="1:66" s="22" customFormat="1">
      <c r="A190" s="195" t="s">
        <v>403</v>
      </c>
      <c r="B190" s="47">
        <v>5.3999999999999999E-2</v>
      </c>
      <c r="C190" s="365">
        <v>5.3999999999999999E-2</v>
      </c>
      <c r="D190" s="75" t="s">
        <v>436</v>
      </c>
      <c r="E190" s="195"/>
      <c r="F190" s="43" t="s">
        <v>244</v>
      </c>
      <c r="G190" s="44">
        <f>$C190+$C191+$C192+$C205</f>
        <v>5.3999999999999999E-2</v>
      </c>
      <c r="H190" s="91" t="s">
        <v>427</v>
      </c>
      <c r="I190" s="195"/>
      <c r="J190" s="195"/>
      <c r="K190" s="43" t="s">
        <v>427</v>
      </c>
      <c r="L190" s="268"/>
      <c r="M190" s="268">
        <v>0.1</v>
      </c>
      <c r="N190" s="268">
        <f t="shared" ref="N190:N201" si="42">1-SUM(L190:M190)</f>
        <v>0.9</v>
      </c>
      <c r="O190" s="308">
        <f t="array" ref="O190:Q201">L190:N201*G190:G201</f>
        <v>0</v>
      </c>
      <c r="P190" s="308">
        <v>5.4000000000000003E-3</v>
      </c>
      <c r="Q190" s="308">
        <v>4.8599999999999997E-2</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row>
    <row r="191" spans="1:66" s="22" customFormat="1">
      <c r="A191" s="205" t="s">
        <v>182</v>
      </c>
      <c r="B191" s="47">
        <v>0</v>
      </c>
      <c r="C191" s="365">
        <v>0</v>
      </c>
      <c r="D191" s="75" t="s">
        <v>440</v>
      </c>
      <c r="E191" s="195"/>
      <c r="F191" s="43" t="s">
        <v>413</v>
      </c>
      <c r="G191" s="44">
        <f>$C193+$C197+$C204</f>
        <v>5.3999999999999999E-2</v>
      </c>
      <c r="H191" s="91" t="s">
        <v>428</v>
      </c>
      <c r="I191" s="195"/>
      <c r="J191" s="195"/>
      <c r="K191" s="43" t="s">
        <v>428</v>
      </c>
      <c r="L191" s="268">
        <v>0.8</v>
      </c>
      <c r="M191" s="268">
        <v>0</v>
      </c>
      <c r="N191" s="268">
        <f t="shared" si="42"/>
        <v>0.19999999999999996</v>
      </c>
      <c r="O191" s="308">
        <v>4.3200000000000002E-2</v>
      </c>
      <c r="P191" s="308">
        <v>0</v>
      </c>
      <c r="Q191" s="308">
        <v>1.0799999999999997E-2</v>
      </c>
      <c r="R191"/>
      <c r="S191"/>
      <c r="T191"/>
      <c r="U191"/>
      <c r="V191" s="171"/>
      <c r="W191" s="172"/>
      <c r="X191" s="172"/>
      <c r="Y191" s="172"/>
      <c r="Z191" s="172"/>
      <c r="AA191" s="172"/>
      <c r="AB191" s="172"/>
      <c r="AC191" s="172"/>
      <c r="AD191" s="172"/>
      <c r="AE191" s="172"/>
      <c r="AF191" s="172"/>
      <c r="AG191" s="172"/>
      <c r="AH191" s="172"/>
      <c r="AI191" s="172"/>
      <c r="AJ191" s="172"/>
      <c r="AK191" s="172"/>
      <c r="AL191" s="172"/>
      <c r="AM191" s="172"/>
      <c r="AN191" s="172"/>
      <c r="AO191" s="172"/>
      <c r="AP191" s="172"/>
      <c r="AQ191" s="172"/>
      <c r="AR191" s="172"/>
      <c r="AS191" s="172"/>
      <c r="AT191"/>
      <c r="AU191"/>
      <c r="AV191"/>
      <c r="AW191"/>
      <c r="AX191"/>
      <c r="AY191"/>
      <c r="AZ191"/>
      <c r="BA191"/>
      <c r="BB191"/>
      <c r="BC191"/>
      <c r="BD191"/>
      <c r="BE191"/>
      <c r="BF191"/>
      <c r="BG191"/>
      <c r="BH191"/>
      <c r="BI191"/>
      <c r="BJ191"/>
      <c r="BK191"/>
      <c r="BL191"/>
      <c r="BM191"/>
      <c r="BN191"/>
    </row>
    <row r="192" spans="1:66" s="22" customFormat="1">
      <c r="A192" s="205" t="s">
        <v>183</v>
      </c>
      <c r="B192" s="47">
        <v>0</v>
      </c>
      <c r="C192" s="365">
        <v>0</v>
      </c>
      <c r="D192" s="75" t="s">
        <v>441</v>
      </c>
      <c r="E192" s="195"/>
      <c r="F192" s="43" t="s">
        <v>251</v>
      </c>
      <c r="G192" s="44">
        <f>$C196</f>
        <v>0</v>
      </c>
      <c r="H192" s="91" t="s">
        <v>137</v>
      </c>
      <c r="I192" s="195"/>
      <c r="J192" s="195"/>
      <c r="K192" s="43" t="s">
        <v>137</v>
      </c>
      <c r="L192" s="268">
        <v>1</v>
      </c>
      <c r="M192" s="268"/>
      <c r="N192" s="268">
        <f t="shared" si="42"/>
        <v>0</v>
      </c>
      <c r="O192" s="308">
        <v>0</v>
      </c>
      <c r="P192" s="308">
        <v>0</v>
      </c>
      <c r="Q192" s="308">
        <v>0</v>
      </c>
      <c r="R192"/>
      <c r="S192"/>
      <c r="T192"/>
      <c r="U192"/>
      <c r="V192" s="171"/>
      <c r="W192" s="172"/>
      <c r="X192" s="172"/>
      <c r="Y192" s="172"/>
      <c r="Z192" s="172"/>
      <c r="AA192" s="172"/>
      <c r="AB192" s="172"/>
      <c r="AC192" s="172"/>
      <c r="AD192" s="172"/>
      <c r="AE192" s="172"/>
      <c r="AF192" s="172"/>
      <c r="AG192" s="172"/>
      <c r="AH192" s="172"/>
      <c r="AI192" s="172"/>
      <c r="AJ192" s="172"/>
      <c r="AK192" s="172"/>
      <c r="AL192" s="172"/>
      <c r="AM192" s="172"/>
      <c r="AN192" s="172"/>
      <c r="AO192" s="172"/>
      <c r="AP192" s="172"/>
      <c r="AQ192" s="172"/>
      <c r="AR192" s="172"/>
      <c r="AS192" s="172"/>
      <c r="AT192"/>
      <c r="AU192"/>
      <c r="AV192"/>
      <c r="AW192"/>
      <c r="AX192"/>
      <c r="AY192"/>
      <c r="AZ192"/>
      <c r="BA192"/>
      <c r="BB192"/>
      <c r="BC192"/>
      <c r="BD192"/>
      <c r="BE192"/>
      <c r="BF192"/>
      <c r="BG192"/>
      <c r="BH192"/>
      <c r="BI192"/>
      <c r="BJ192"/>
      <c r="BK192"/>
      <c r="BL192"/>
      <c r="BM192"/>
      <c r="BN192"/>
    </row>
    <row r="193" spans="1:66" s="22" customFormat="1">
      <c r="A193" s="195" t="s">
        <v>411</v>
      </c>
      <c r="B193" s="47">
        <v>5.3999999999999999E-2</v>
      </c>
      <c r="C193" s="365">
        <v>5.3999999999999999E-2</v>
      </c>
      <c r="D193" s="75" t="s">
        <v>221</v>
      </c>
      <c r="E193" s="195"/>
      <c r="F193" s="43" t="s">
        <v>574</v>
      </c>
      <c r="G193" s="44">
        <f>$C194</f>
        <v>0</v>
      </c>
      <c r="H193" s="91" t="s">
        <v>583</v>
      </c>
      <c r="I193" s="195"/>
      <c r="J193" s="195"/>
      <c r="K193" s="43" t="s">
        <v>583</v>
      </c>
      <c r="L193" s="268"/>
      <c r="M193" s="268"/>
      <c r="N193" s="268">
        <f t="shared" si="42"/>
        <v>1</v>
      </c>
      <c r="O193" s="308">
        <v>0</v>
      </c>
      <c r="P193" s="308">
        <v>0</v>
      </c>
      <c r="Q193" s="308">
        <v>0</v>
      </c>
      <c r="R193"/>
      <c r="S193"/>
      <c r="T193"/>
      <c r="U193"/>
      <c r="V193" s="171"/>
      <c r="W193" s="172"/>
      <c r="X193" s="172"/>
      <c r="Y193" s="172"/>
      <c r="Z193" s="172"/>
      <c r="AA193" s="172"/>
      <c r="AB193" s="172"/>
      <c r="AC193" s="172"/>
      <c r="AD193" s="172"/>
      <c r="AE193" s="172"/>
      <c r="AF193" s="172"/>
      <c r="AG193" s="172"/>
      <c r="AH193" s="172"/>
      <c r="AI193" s="172"/>
      <c r="AJ193" s="172"/>
      <c r="AK193" s="172"/>
      <c r="AL193" s="172"/>
      <c r="AM193" s="172"/>
      <c r="AN193" s="172"/>
      <c r="AO193" s="172"/>
      <c r="AP193" s="172"/>
      <c r="AQ193" s="172"/>
      <c r="AR193" s="172"/>
      <c r="AS193" s="172"/>
      <c r="AT193"/>
      <c r="AU193"/>
      <c r="AV193"/>
      <c r="AW193"/>
      <c r="AX193"/>
      <c r="AY193"/>
      <c r="AZ193"/>
      <c r="BA193"/>
      <c r="BB193"/>
      <c r="BC193"/>
      <c r="BD193"/>
      <c r="BE193"/>
      <c r="BF193"/>
      <c r="BG193"/>
      <c r="BH193"/>
      <c r="BI193"/>
      <c r="BJ193"/>
      <c r="BK193"/>
      <c r="BL193"/>
      <c r="BM193"/>
      <c r="BN193"/>
    </row>
    <row r="194" spans="1:66" s="22" customFormat="1">
      <c r="A194" s="195" t="s">
        <v>410</v>
      </c>
      <c r="B194" s="47">
        <v>0</v>
      </c>
      <c r="C194" s="365">
        <v>0</v>
      </c>
      <c r="D194" s="75" t="s">
        <v>217</v>
      </c>
      <c r="E194" s="195"/>
      <c r="F194" s="43" t="s">
        <v>576</v>
      </c>
      <c r="G194" s="44">
        <f>$C195</f>
        <v>0</v>
      </c>
      <c r="H194" s="91" t="s">
        <v>584</v>
      </c>
      <c r="I194" s="195"/>
      <c r="J194" s="195"/>
      <c r="K194" s="43" t="s">
        <v>584</v>
      </c>
      <c r="L194" s="268"/>
      <c r="M194" s="268">
        <v>0.2</v>
      </c>
      <c r="N194" s="268">
        <f t="shared" si="42"/>
        <v>0.8</v>
      </c>
      <c r="O194" s="308">
        <v>0</v>
      </c>
      <c r="P194" s="308">
        <v>0</v>
      </c>
      <c r="Q194" s="308">
        <v>0</v>
      </c>
      <c r="R194"/>
      <c r="S194"/>
      <c r="T194"/>
      <c r="U194"/>
      <c r="V194" s="171"/>
      <c r="W194" s="172"/>
      <c r="X194" s="172"/>
      <c r="Y194" s="172"/>
      <c r="Z194" s="172"/>
      <c r="AA194" s="172"/>
      <c r="AB194" s="172"/>
      <c r="AC194" s="172"/>
      <c r="AD194" s="172"/>
      <c r="AE194" s="172"/>
      <c r="AF194" s="172"/>
      <c r="AG194" s="172"/>
      <c r="AH194" s="172"/>
      <c r="AI194" s="172"/>
      <c r="AJ194" s="172"/>
      <c r="AK194" s="172"/>
      <c r="AL194" s="172"/>
      <c r="AM194" s="172"/>
      <c r="AN194" s="172"/>
      <c r="AO194" s="172"/>
      <c r="AP194" s="172"/>
      <c r="AQ194" s="172"/>
      <c r="AR194" s="172"/>
      <c r="AS194" s="172"/>
      <c r="AT194"/>
      <c r="AU194"/>
      <c r="AV194"/>
      <c r="AW194"/>
      <c r="AX194"/>
      <c r="AY194"/>
      <c r="AZ194"/>
      <c r="BA194"/>
      <c r="BB194"/>
      <c r="BC194"/>
      <c r="BD194"/>
      <c r="BE194"/>
      <c r="BF194"/>
      <c r="BG194"/>
      <c r="BH194"/>
      <c r="BI194"/>
      <c r="BJ194"/>
      <c r="BK194"/>
      <c r="BL194"/>
      <c r="BM194"/>
      <c r="BN194"/>
    </row>
    <row r="195" spans="1:66" s="22" customFormat="1">
      <c r="A195" s="195" t="s">
        <v>409</v>
      </c>
      <c r="B195" s="47">
        <v>0</v>
      </c>
      <c r="C195" s="365">
        <v>0</v>
      </c>
      <c r="D195" s="75" t="s">
        <v>219</v>
      </c>
      <c r="E195" s="195"/>
      <c r="F195" s="43" t="s">
        <v>664</v>
      </c>
      <c r="G195" s="44">
        <f>($C198+$C199+$C200)</f>
        <v>0</v>
      </c>
      <c r="H195" s="91" t="s">
        <v>429</v>
      </c>
      <c r="I195" s="195"/>
      <c r="J195" s="195"/>
      <c r="K195" s="43" t="s">
        <v>1018</v>
      </c>
      <c r="L195" s="268"/>
      <c r="M195" s="268"/>
      <c r="N195" s="268">
        <f t="shared" si="42"/>
        <v>1</v>
      </c>
      <c r="O195" s="308">
        <v>0</v>
      </c>
      <c r="P195" s="308">
        <v>0</v>
      </c>
      <c r="Q195" s="308">
        <v>0</v>
      </c>
      <c r="R195"/>
      <c r="S195"/>
      <c r="T195"/>
      <c r="U195"/>
      <c r="V195" s="171"/>
      <c r="W195" s="172"/>
      <c r="X195" s="172"/>
      <c r="Y195" s="172"/>
      <c r="Z195" s="172"/>
      <c r="AA195" s="172"/>
      <c r="AB195" s="172"/>
      <c r="AC195" s="172"/>
      <c r="AD195" s="172"/>
      <c r="AE195" s="172"/>
      <c r="AF195" s="172"/>
      <c r="AG195" s="172"/>
      <c r="AH195" s="172"/>
      <c r="AI195" s="172"/>
      <c r="AJ195" s="172"/>
      <c r="AK195" s="172"/>
      <c r="AL195" s="172"/>
      <c r="AM195" s="172"/>
      <c r="AN195" s="172"/>
      <c r="AO195" s="172"/>
      <c r="AP195" s="172"/>
      <c r="AQ195" s="172"/>
      <c r="AR195" s="172"/>
      <c r="AS195" s="172"/>
      <c r="AT195"/>
      <c r="AU195"/>
      <c r="AV195"/>
      <c r="AW195"/>
      <c r="AX195"/>
      <c r="AY195"/>
      <c r="AZ195"/>
      <c r="BA195"/>
      <c r="BB195"/>
      <c r="BC195"/>
      <c r="BD195"/>
      <c r="BE195"/>
      <c r="BF195"/>
      <c r="BG195"/>
      <c r="BH195"/>
      <c r="BI195"/>
      <c r="BJ195"/>
      <c r="BK195"/>
      <c r="BL195"/>
      <c r="BM195"/>
      <c r="BN195"/>
    </row>
    <row r="196" spans="1:66" s="22" customFormat="1">
      <c r="A196" s="195" t="s">
        <v>426</v>
      </c>
      <c r="B196" s="45">
        <v>0</v>
      </c>
      <c r="C196" s="365">
        <v>0</v>
      </c>
      <c r="D196" s="76" t="s">
        <v>220</v>
      </c>
      <c r="E196" s="195"/>
      <c r="F196" s="43" t="s">
        <v>405</v>
      </c>
      <c r="G196" s="44">
        <f>$C201</f>
        <v>0</v>
      </c>
      <c r="H196" s="91" t="s">
        <v>430</v>
      </c>
      <c r="I196" s="195"/>
      <c r="J196" s="195"/>
      <c r="K196" s="43" t="s">
        <v>430</v>
      </c>
      <c r="L196" s="268"/>
      <c r="M196" s="268">
        <v>0.2</v>
      </c>
      <c r="N196" s="268">
        <f t="shared" si="42"/>
        <v>0.8</v>
      </c>
      <c r="O196" s="308">
        <v>0</v>
      </c>
      <c r="P196" s="308">
        <v>0</v>
      </c>
      <c r="Q196" s="308">
        <v>0</v>
      </c>
      <c r="R196"/>
      <c r="S196"/>
      <c r="T196"/>
      <c r="U196"/>
      <c r="V196" s="171"/>
      <c r="W196" s="172"/>
      <c r="X196" s="172"/>
      <c r="Y196" s="172"/>
      <c r="Z196" s="172"/>
      <c r="AA196" s="172"/>
      <c r="AB196" s="172"/>
      <c r="AC196" s="172"/>
      <c r="AD196" s="172"/>
      <c r="AE196" s="172"/>
      <c r="AF196" s="172"/>
      <c r="AG196" s="172"/>
      <c r="AH196" s="172"/>
      <c r="AI196" s="172"/>
      <c r="AJ196" s="172"/>
      <c r="AK196" s="172"/>
      <c r="AL196" s="172"/>
      <c r="AM196" s="172"/>
      <c r="AN196" s="172"/>
      <c r="AO196" s="172"/>
      <c r="AP196" s="172"/>
      <c r="AQ196" s="172"/>
      <c r="AR196" s="172"/>
      <c r="AS196" s="172"/>
      <c r="AT196"/>
      <c r="AU196"/>
      <c r="AV196"/>
      <c r="AW196"/>
      <c r="AX196"/>
      <c r="AY196"/>
      <c r="AZ196"/>
      <c r="BA196"/>
      <c r="BB196"/>
      <c r="BC196"/>
      <c r="BD196"/>
      <c r="BE196"/>
      <c r="BF196"/>
      <c r="BG196"/>
      <c r="BH196"/>
      <c r="BI196"/>
      <c r="BJ196"/>
      <c r="BK196"/>
      <c r="BL196"/>
      <c r="BM196"/>
      <c r="BN196"/>
    </row>
    <row r="197" spans="1:66" s="22" customFormat="1">
      <c r="A197" s="205" t="s">
        <v>184</v>
      </c>
      <c r="B197" s="565">
        <v>0</v>
      </c>
      <c r="C197" s="380">
        <v>0</v>
      </c>
      <c r="D197" s="75" t="s">
        <v>647</v>
      </c>
      <c r="E197" s="195"/>
      <c r="F197" s="43" t="s">
        <v>588</v>
      </c>
      <c r="G197" s="44">
        <f>$C202+$C203+$C206+$C207</f>
        <v>3.2399999999999998E-2</v>
      </c>
      <c r="H197" s="91" t="s">
        <v>431</v>
      </c>
      <c r="I197" s="195"/>
      <c r="J197" s="195"/>
      <c r="K197" s="43" t="s">
        <v>431</v>
      </c>
      <c r="L197" s="268"/>
      <c r="M197" s="268"/>
      <c r="N197" s="268">
        <f t="shared" si="42"/>
        <v>1</v>
      </c>
      <c r="O197" s="308">
        <v>0</v>
      </c>
      <c r="P197" s="308">
        <v>0</v>
      </c>
      <c r="Q197" s="308">
        <v>3.2399999999999998E-2</v>
      </c>
      <c r="R197"/>
      <c r="S197"/>
      <c r="T197"/>
      <c r="U197"/>
      <c r="V197" s="171"/>
      <c r="W197" s="172"/>
      <c r="X197" s="172"/>
      <c r="Y197" s="172"/>
      <c r="Z197" s="172"/>
      <c r="AA197" s="172"/>
      <c r="AB197" s="172"/>
      <c r="AC197" s="172"/>
      <c r="AD197" s="172"/>
      <c r="AE197" s="172"/>
      <c r="AF197" s="172"/>
      <c r="AG197" s="172"/>
      <c r="AH197" s="172"/>
      <c r="AI197" s="172"/>
      <c r="AJ197" s="172"/>
      <c r="AK197" s="172"/>
      <c r="AL197" s="172"/>
      <c r="AM197" s="172"/>
      <c r="AN197" s="172"/>
      <c r="AO197" s="172"/>
      <c r="AP197" s="172"/>
      <c r="AQ197" s="172"/>
      <c r="AR197" s="172"/>
      <c r="AS197" s="172"/>
      <c r="AT197"/>
      <c r="AU197"/>
      <c r="AV197"/>
      <c r="AW197"/>
      <c r="AX197"/>
      <c r="AY197"/>
      <c r="AZ197"/>
      <c r="BA197"/>
      <c r="BB197"/>
      <c r="BC197"/>
      <c r="BD197"/>
      <c r="BE197"/>
      <c r="BF197"/>
      <c r="BG197"/>
      <c r="BH197"/>
      <c r="BI197"/>
      <c r="BJ197"/>
      <c r="BK197"/>
      <c r="BL197"/>
      <c r="BM197"/>
      <c r="BN197"/>
    </row>
    <row r="198" spans="1:66" s="22" customFormat="1">
      <c r="A198" s="205" t="s">
        <v>375</v>
      </c>
      <c r="B198" s="47">
        <v>0</v>
      </c>
      <c r="C198" s="365">
        <v>0</v>
      </c>
      <c r="D198" s="75" t="s">
        <v>437</v>
      </c>
      <c r="E198" s="195"/>
      <c r="F198" s="43" t="s">
        <v>247</v>
      </c>
      <c r="G198" s="44">
        <f>$C208</f>
        <v>6.5789280000000006E-2</v>
      </c>
      <c r="H198" s="91" t="s">
        <v>432</v>
      </c>
      <c r="I198" s="195"/>
      <c r="J198" s="195"/>
      <c r="K198" s="43" t="s">
        <v>1257</v>
      </c>
      <c r="L198" s="268"/>
      <c r="M198" s="268">
        <v>0.4</v>
      </c>
      <c r="N198" s="268">
        <f t="shared" si="42"/>
        <v>0.6</v>
      </c>
      <c r="O198" s="308">
        <v>0</v>
      </c>
      <c r="P198" s="308">
        <v>2.6315712000000005E-2</v>
      </c>
      <c r="Q198" s="308">
        <v>3.9473568000000001E-2</v>
      </c>
      <c r="R198"/>
      <c r="S198"/>
      <c r="T198"/>
      <c r="U198"/>
      <c r="V198" s="171"/>
      <c r="W198" s="172"/>
      <c r="X198" s="172"/>
      <c r="Y198" s="172"/>
      <c r="Z198" s="172"/>
      <c r="AA198" s="172"/>
      <c r="AB198" s="172"/>
      <c r="AC198" s="172"/>
      <c r="AD198" s="172"/>
      <c r="AE198" s="172"/>
      <c r="AF198" s="172"/>
      <c r="AG198" s="172"/>
      <c r="AH198" s="172"/>
      <c r="AI198" s="172"/>
      <c r="AJ198" s="172"/>
      <c r="AK198" s="172"/>
      <c r="AL198" s="172"/>
      <c r="AM198" s="172"/>
      <c r="AN198" s="172"/>
      <c r="AO198" s="172"/>
      <c r="AP198" s="172"/>
      <c r="AQ198" s="172"/>
      <c r="AR198" s="172"/>
      <c r="AS198" s="172"/>
      <c r="AT198"/>
      <c r="AU198"/>
      <c r="AV198"/>
      <c r="AW198"/>
      <c r="AX198"/>
      <c r="AY198"/>
      <c r="AZ198"/>
      <c r="BA198"/>
      <c r="BB198"/>
      <c r="BC198"/>
      <c r="BD198"/>
      <c r="BE198"/>
      <c r="BF198"/>
      <c r="BG198"/>
      <c r="BH198"/>
      <c r="BI198"/>
      <c r="BJ198"/>
      <c r="BK198"/>
      <c r="BL198"/>
      <c r="BM198"/>
      <c r="BN198"/>
    </row>
    <row r="199" spans="1:66" s="22" customFormat="1">
      <c r="A199" s="287" t="s">
        <v>376</v>
      </c>
      <c r="B199" s="47">
        <v>0</v>
      </c>
      <c r="C199" s="365">
        <v>0</v>
      </c>
      <c r="D199" s="75" t="s">
        <v>438</v>
      </c>
      <c r="E199" s="195"/>
      <c r="F199" s="43" t="s">
        <v>414</v>
      </c>
      <c r="G199" s="44">
        <f>$C209</f>
        <v>5.3999999999999999E-2</v>
      </c>
      <c r="H199" s="91" t="s">
        <v>433</v>
      </c>
      <c r="I199" s="195"/>
      <c r="J199" s="195"/>
      <c r="K199" s="43" t="s">
        <v>433</v>
      </c>
      <c r="L199" s="268"/>
      <c r="M199" s="268"/>
      <c r="N199" s="268">
        <f t="shared" si="42"/>
        <v>1</v>
      </c>
      <c r="O199" s="308">
        <v>0</v>
      </c>
      <c r="P199" s="308">
        <v>0</v>
      </c>
      <c r="Q199" s="308">
        <v>5.3999999999999999E-2</v>
      </c>
      <c r="R199"/>
      <c r="S199"/>
      <c r="T199"/>
      <c r="U199"/>
      <c r="V199" s="171"/>
      <c r="W199" s="172"/>
      <c r="X199" s="172"/>
      <c r="Y199" s="172"/>
      <c r="Z199" s="172"/>
      <c r="AA199" s="172"/>
      <c r="AB199" s="172"/>
      <c r="AC199" s="172"/>
      <c r="AD199" s="172"/>
      <c r="AE199" s="172"/>
      <c r="AF199" s="172"/>
      <c r="AG199" s="172"/>
      <c r="AH199" s="172"/>
      <c r="AI199" s="172"/>
      <c r="AJ199" s="172"/>
      <c r="AK199" s="172"/>
      <c r="AL199" s="172"/>
      <c r="AM199" s="172"/>
      <c r="AN199" s="172"/>
      <c r="AO199" s="172"/>
      <c r="AP199" s="172"/>
      <c r="AQ199" s="172"/>
      <c r="AR199" s="172"/>
      <c r="AS199" s="172"/>
      <c r="AT199"/>
      <c r="AU199"/>
      <c r="AV199"/>
      <c r="AW199"/>
      <c r="AX199"/>
      <c r="AY199"/>
      <c r="AZ199"/>
      <c r="BA199"/>
      <c r="BB199"/>
      <c r="BC199"/>
      <c r="BD199"/>
      <c r="BE199"/>
      <c r="BF199"/>
      <c r="BG199"/>
      <c r="BH199"/>
      <c r="BI199"/>
      <c r="BJ199"/>
      <c r="BK199"/>
      <c r="BL199"/>
      <c r="BM199"/>
      <c r="BN199"/>
    </row>
    <row r="200" spans="1:66" s="22" customFormat="1">
      <c r="A200" s="205" t="s">
        <v>185</v>
      </c>
      <c r="B200" s="47">
        <v>0</v>
      </c>
      <c r="C200" s="365">
        <v>0</v>
      </c>
      <c r="D200" s="75" t="s">
        <v>439</v>
      </c>
      <c r="E200" s="195"/>
      <c r="F200" s="43" t="s">
        <v>245</v>
      </c>
      <c r="G200" s="44">
        <f>$C210</f>
        <v>0</v>
      </c>
      <c r="H200" s="91" t="s">
        <v>150</v>
      </c>
      <c r="I200" s="195"/>
      <c r="J200" s="195"/>
      <c r="K200" s="43" t="s">
        <v>150</v>
      </c>
      <c r="L200" s="268"/>
      <c r="M200" s="268"/>
      <c r="N200" s="268">
        <f t="shared" si="42"/>
        <v>1</v>
      </c>
      <c r="O200" s="308">
        <v>0</v>
      </c>
      <c r="P200" s="308">
        <v>0</v>
      </c>
      <c r="Q200" s="308">
        <v>0</v>
      </c>
      <c r="R200"/>
      <c r="S200"/>
      <c r="T200"/>
      <c r="U200"/>
      <c r="V200" s="171"/>
      <c r="W200" s="172"/>
      <c r="X200" s="172"/>
      <c r="Y200" s="172"/>
      <c r="Z200" s="172"/>
      <c r="AA200" s="172"/>
      <c r="AB200" s="172"/>
      <c r="AC200" s="172"/>
      <c r="AD200" s="172"/>
      <c r="AE200" s="172"/>
      <c r="AF200" s="172"/>
      <c r="AG200" s="172"/>
      <c r="AH200" s="172"/>
      <c r="AI200" s="172"/>
      <c r="AJ200" s="172"/>
      <c r="AK200" s="172"/>
      <c r="AL200" s="172"/>
      <c r="AM200" s="172"/>
      <c r="AN200" s="172"/>
      <c r="AO200" s="172"/>
      <c r="AP200" s="172"/>
      <c r="AQ200" s="172"/>
      <c r="AR200" s="172"/>
      <c r="AS200" s="172"/>
      <c r="AT200"/>
      <c r="AU200"/>
      <c r="AV200"/>
      <c r="AW200"/>
      <c r="AX200"/>
      <c r="AY200"/>
      <c r="AZ200"/>
      <c r="BA200"/>
      <c r="BB200"/>
      <c r="BC200"/>
      <c r="BD200"/>
      <c r="BE200"/>
      <c r="BF200"/>
      <c r="BG200"/>
      <c r="BH200"/>
      <c r="BI200"/>
      <c r="BJ200"/>
      <c r="BK200"/>
      <c r="BL200"/>
      <c r="BM200"/>
      <c r="BN200"/>
    </row>
    <row r="201" spans="1:66" s="22" customFormat="1">
      <c r="A201" s="195" t="s">
        <v>405</v>
      </c>
      <c r="B201" s="47">
        <v>0</v>
      </c>
      <c r="C201" s="365">
        <v>0</v>
      </c>
      <c r="D201" s="75" t="s">
        <v>110</v>
      </c>
      <c r="E201" s="195"/>
      <c r="F201" s="43" t="s">
        <v>246</v>
      </c>
      <c r="G201" s="44">
        <f>$C211</f>
        <v>0</v>
      </c>
      <c r="H201" s="91" t="s">
        <v>151</v>
      </c>
      <c r="I201" s="195"/>
      <c r="J201" s="195"/>
      <c r="K201" s="43" t="s">
        <v>151</v>
      </c>
      <c r="L201" s="268"/>
      <c r="M201" s="268"/>
      <c r="N201" s="268">
        <f t="shared" si="42"/>
        <v>1</v>
      </c>
      <c r="O201" s="308">
        <v>0</v>
      </c>
      <c r="P201" s="308">
        <v>0</v>
      </c>
      <c r="Q201" s="308">
        <v>0</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row>
    <row r="202" spans="1:66" s="22" customFormat="1">
      <c r="A202" s="195" t="s">
        <v>585</v>
      </c>
      <c r="B202" s="47">
        <v>3.2399999999999998E-2</v>
      </c>
      <c r="C202" s="365">
        <v>3.2399999999999998E-2</v>
      </c>
      <c r="D202" s="75" t="s">
        <v>53</v>
      </c>
      <c r="E202" s="195"/>
      <c r="F202" s="195"/>
      <c r="G202" s="305">
        <f>SUM(G190:G201)</f>
        <v>0.26018928000000002</v>
      </c>
      <c r="H202" s="206"/>
      <c r="I202" s="195"/>
      <c r="J202" s="195"/>
      <c r="K202" s="216"/>
      <c r="L202" s="217">
        <f>SUMPRODUCT(L190:L201,$G190:$G201)</f>
        <v>4.3200000000000002E-2</v>
      </c>
      <c r="M202" s="376">
        <f>SUMPRODUCT(M190:M201,$G190:$G201)</f>
        <v>3.1715712000000007E-2</v>
      </c>
      <c r="N202" s="376">
        <f>SUMPRODUCT(N190:N201,$G190:$G201)</f>
        <v>0.185273568</v>
      </c>
      <c r="O202" s="305"/>
      <c r="P202" s="261"/>
      <c r="Q202" s="102"/>
      <c r="R202"/>
      <c r="S202"/>
      <c r="T202"/>
      <c r="U202"/>
      <c r="V202" s="171"/>
      <c r="W202" s="172"/>
      <c r="X202" s="172"/>
      <c r="Y202" s="172"/>
      <c r="Z202" s="172"/>
      <c r="AA202" s="172"/>
      <c r="AB202" s="172"/>
      <c r="AC202" s="172"/>
      <c r="AD202" s="172"/>
      <c r="AE202" s="172"/>
      <c r="AF202" s="172"/>
      <c r="AG202" s="172"/>
      <c r="AH202" s="172"/>
      <c r="AI202" s="172"/>
      <c r="AJ202" s="172"/>
      <c r="AK202" s="172"/>
      <c r="AL202" s="172"/>
      <c r="AM202" s="172"/>
      <c r="AN202" s="172"/>
      <c r="AO202" s="172"/>
      <c r="AP202" s="172"/>
      <c r="AQ202" s="172"/>
      <c r="AR202" s="172"/>
      <c r="AS202" s="172"/>
      <c r="AT202"/>
      <c r="AU202"/>
      <c r="AV202"/>
      <c r="AW202"/>
      <c r="AX202"/>
      <c r="AY202"/>
      <c r="AZ202"/>
      <c r="BA202"/>
      <c r="BB202"/>
      <c r="BC202"/>
      <c r="BD202"/>
      <c r="BE202"/>
      <c r="BF202"/>
      <c r="BG202"/>
      <c r="BH202"/>
      <c r="BI202"/>
      <c r="BJ202"/>
      <c r="BK202"/>
      <c r="BL202"/>
      <c r="BM202"/>
    </row>
    <row r="203" spans="1:66" s="22" customFormat="1">
      <c r="A203" s="195" t="s">
        <v>586</v>
      </c>
      <c r="B203" s="47">
        <v>0</v>
      </c>
      <c r="C203" s="365">
        <v>0</v>
      </c>
      <c r="D203" s="75" t="s">
        <v>589</v>
      </c>
      <c r="E203" s="195"/>
      <c r="F203" s="195"/>
      <c r="G203" s="202"/>
      <c r="H203" s="206"/>
      <c r="I203" s="195"/>
      <c r="J203" s="195"/>
      <c r="O203" s="261"/>
      <c r="P203" s="261"/>
      <c r="Q203" s="102"/>
      <c r="R203"/>
      <c r="S203"/>
      <c r="T203"/>
      <c r="U203"/>
      <c r="V203" s="171"/>
      <c r="W203" s="172"/>
      <c r="X203" s="172"/>
      <c r="Y203" s="172"/>
      <c r="Z203" s="172"/>
      <c r="AA203" s="172"/>
      <c r="AB203" s="172"/>
      <c r="AC203" s="172"/>
      <c r="AD203" s="172"/>
      <c r="AE203" s="172"/>
      <c r="AF203" s="172"/>
      <c r="AG203" s="172"/>
      <c r="AH203" s="172"/>
      <c r="AI203" s="172"/>
      <c r="AJ203" s="172"/>
      <c r="AK203" s="172"/>
      <c r="AL203" s="172"/>
      <c r="AM203" s="172"/>
      <c r="AN203" s="172"/>
      <c r="AO203" s="172"/>
      <c r="AP203" s="172"/>
      <c r="AQ203" s="172"/>
      <c r="AR203" s="172"/>
      <c r="AS203" s="172"/>
      <c r="AT203"/>
      <c r="AU203"/>
      <c r="AV203"/>
      <c r="AW203"/>
      <c r="AX203"/>
      <c r="AY203"/>
      <c r="AZ203"/>
      <c r="BA203"/>
      <c r="BB203"/>
      <c r="BC203"/>
      <c r="BD203"/>
      <c r="BE203"/>
      <c r="BF203"/>
      <c r="BG203"/>
      <c r="BH203"/>
      <c r="BI203"/>
      <c r="BJ203"/>
      <c r="BK203"/>
      <c r="BL203"/>
      <c r="BM203"/>
    </row>
    <row r="204" spans="1:66" s="22" customFormat="1">
      <c r="A204" s="195" t="s">
        <v>966</v>
      </c>
      <c r="B204" s="564">
        <v>0</v>
      </c>
      <c r="C204" s="380">
        <v>0</v>
      </c>
      <c r="D204" s="75" t="s">
        <v>742</v>
      </c>
      <c r="E204" s="195"/>
      <c r="F204" s="195"/>
      <c r="G204" s="202"/>
      <c r="H204" s="206"/>
      <c r="I204" s="195"/>
      <c r="J204" s="195"/>
      <c r="K204" s="216"/>
      <c r="L204" s="216"/>
      <c r="M204" s="216"/>
      <c r="N204" s="216"/>
      <c r="O204" s="261"/>
      <c r="P204" s="261"/>
      <c r="Q204" s="102"/>
      <c r="R204"/>
      <c r="S204"/>
      <c r="T204"/>
      <c r="U204"/>
      <c r="V204" s="171"/>
      <c r="W204" s="172"/>
      <c r="X204" s="172"/>
      <c r="Y204" s="172"/>
      <c r="Z204" s="172"/>
      <c r="AA204" s="172"/>
      <c r="AB204" s="172"/>
      <c r="AC204" s="172"/>
      <c r="AD204" s="172"/>
      <c r="AE204" s="172"/>
      <c r="AF204" s="172"/>
      <c r="AG204" s="172"/>
      <c r="AH204" s="172"/>
      <c r="AI204" s="172"/>
      <c r="AJ204" s="172"/>
      <c r="AK204" s="172"/>
      <c r="AL204" s="172"/>
      <c r="AM204" s="172"/>
      <c r="AN204" s="172"/>
      <c r="AO204" s="172"/>
      <c r="AP204" s="172"/>
      <c r="AQ204" s="172"/>
      <c r="AR204" s="172"/>
      <c r="AS204" s="172"/>
      <c r="AT204"/>
      <c r="AU204"/>
      <c r="AV204"/>
      <c r="AW204"/>
      <c r="AX204"/>
      <c r="AY204"/>
      <c r="AZ204"/>
      <c r="BA204"/>
      <c r="BB204"/>
      <c r="BC204"/>
      <c r="BD204"/>
      <c r="BE204"/>
      <c r="BF204"/>
      <c r="BG204"/>
      <c r="BH204"/>
      <c r="BI204"/>
      <c r="BJ204"/>
      <c r="BK204"/>
      <c r="BL204"/>
      <c r="BM204"/>
    </row>
    <row r="205" spans="1:66" s="22" customFormat="1">
      <c r="A205" s="195" t="s">
        <v>967</v>
      </c>
      <c r="B205" s="564">
        <v>0</v>
      </c>
      <c r="C205" s="380">
        <v>0</v>
      </c>
      <c r="D205" s="75" t="s">
        <v>43</v>
      </c>
      <c r="F205" s="195"/>
      <c r="G205" s="195"/>
      <c r="H205" s="195"/>
      <c r="I205" s="195"/>
      <c r="J205" s="195"/>
      <c r="K205" s="216"/>
      <c r="L205" s="216"/>
      <c r="M205" s="216"/>
      <c r="N205" s="216"/>
      <c r="O205" s="216"/>
      <c r="P205" s="216"/>
      <c r="Q205" s="102"/>
      <c r="R205"/>
      <c r="S205"/>
      <c r="T205"/>
      <c r="U205"/>
      <c r="V205" s="171"/>
      <c r="W205" s="172"/>
      <c r="X205" s="172"/>
      <c r="Y205" s="172"/>
      <c r="Z205" s="172"/>
      <c r="AA205" s="172"/>
      <c r="AB205" s="172"/>
      <c r="AC205" s="172"/>
      <c r="AD205" s="172"/>
      <c r="AE205" s="172"/>
      <c r="AF205" s="172"/>
      <c r="AG205" s="172"/>
      <c r="AH205" s="172"/>
      <c r="AI205" s="172"/>
      <c r="AJ205" s="172"/>
      <c r="AK205" s="172"/>
      <c r="AL205" s="172"/>
      <c r="AM205" s="172"/>
      <c r="AN205" s="172"/>
      <c r="AO205" s="172"/>
      <c r="AP205" s="172"/>
      <c r="AQ205" s="172"/>
      <c r="AR205" s="172"/>
      <c r="AS205" s="172"/>
      <c r="AT205"/>
      <c r="AU205"/>
      <c r="AV205"/>
      <c r="AW205"/>
      <c r="AX205"/>
      <c r="AY205"/>
      <c r="AZ205"/>
      <c r="BA205"/>
      <c r="BB205"/>
      <c r="BC205"/>
      <c r="BD205"/>
      <c r="BE205"/>
      <c r="BF205"/>
      <c r="BG205"/>
      <c r="BH205"/>
      <c r="BI205"/>
      <c r="BJ205"/>
      <c r="BK205"/>
      <c r="BL205"/>
      <c r="BM205"/>
    </row>
    <row r="206" spans="1:66" s="22" customFormat="1">
      <c r="A206" s="205" t="s">
        <v>367</v>
      </c>
      <c r="B206" s="47">
        <v>0</v>
      </c>
      <c r="C206" s="365">
        <v>0</v>
      </c>
      <c r="D206" s="75" t="s">
        <v>54</v>
      </c>
      <c r="E206" s="195"/>
      <c r="F206" s="195"/>
      <c r="G206" s="195"/>
      <c r="H206" s="195"/>
      <c r="I206" s="195"/>
      <c r="J206" s="195"/>
      <c r="K206" s="216"/>
      <c r="L206" s="216"/>
      <c r="M206" s="216"/>
      <c r="N206" s="216"/>
      <c r="O206" s="216"/>
      <c r="P206" s="216"/>
      <c r="Q206" s="102"/>
      <c r="R206"/>
      <c r="S206"/>
      <c r="T206"/>
      <c r="U206"/>
      <c r="V206" s="171"/>
      <c r="W206" s="172"/>
      <c r="X206" s="172"/>
      <c r="Y206" s="172"/>
      <c r="Z206" s="172"/>
      <c r="AA206" s="172"/>
      <c r="AB206" s="172"/>
      <c r="AC206" s="172"/>
      <c r="AD206" s="172"/>
      <c r="AE206" s="172"/>
      <c r="AF206" s="172"/>
      <c r="AG206" s="172"/>
      <c r="AH206" s="172"/>
      <c r="AI206" s="172"/>
      <c r="AJ206" s="172"/>
      <c r="AK206" s="172"/>
      <c r="AL206" s="172"/>
      <c r="AM206" s="172"/>
      <c r="AN206" s="172"/>
      <c r="AO206" s="172"/>
      <c r="AP206" s="172"/>
      <c r="AQ206" s="172"/>
      <c r="AR206" s="172"/>
      <c r="AS206" s="172"/>
      <c r="AT206"/>
      <c r="AU206"/>
      <c r="AV206"/>
      <c r="AW206"/>
      <c r="AX206"/>
      <c r="AY206"/>
      <c r="AZ206"/>
      <c r="BA206"/>
      <c r="BB206"/>
      <c r="BC206"/>
      <c r="BD206"/>
      <c r="BE206"/>
      <c r="BF206"/>
      <c r="BG206"/>
      <c r="BH206"/>
      <c r="BI206"/>
      <c r="BJ206"/>
      <c r="BK206"/>
      <c r="BL206"/>
      <c r="BM206"/>
    </row>
    <row r="207" spans="1:66" s="22" customFormat="1">
      <c r="A207" s="195" t="s">
        <v>587</v>
      </c>
      <c r="B207" s="47">
        <v>0</v>
      </c>
      <c r="C207" s="365">
        <v>0</v>
      </c>
      <c r="D207" s="75" t="s">
        <v>55</v>
      </c>
      <c r="E207" s="195"/>
      <c r="F207" s="195"/>
      <c r="G207" s="195"/>
      <c r="H207" s="195"/>
      <c r="I207" s="195"/>
      <c r="J207" s="195"/>
      <c r="K207" s="216"/>
      <c r="L207" s="216"/>
      <c r="M207" s="216"/>
      <c r="N207" s="216"/>
      <c r="O207" s="216"/>
      <c r="P207" s="216"/>
      <c r="Q207" s="102"/>
      <c r="R207"/>
      <c r="S207"/>
      <c r="T207"/>
      <c r="U207"/>
      <c r="V207" s="171"/>
      <c r="W207" s="172"/>
      <c r="X207" s="172"/>
      <c r="Y207" s="172"/>
      <c r="Z207" s="172"/>
      <c r="AA207" s="172"/>
      <c r="AB207" s="172"/>
      <c r="AC207" s="172"/>
      <c r="AD207" s="172"/>
      <c r="AE207" s="172"/>
      <c r="AF207" s="172"/>
      <c r="AG207" s="172"/>
      <c r="AH207" s="172"/>
      <c r="AI207" s="172"/>
      <c r="AJ207" s="172"/>
      <c r="AK207" s="172"/>
      <c r="AL207" s="172"/>
      <c r="AM207" s="172"/>
      <c r="AN207" s="172"/>
      <c r="AO207" s="172"/>
      <c r="AP207" s="172"/>
      <c r="AQ207" s="172"/>
      <c r="AR207" s="172"/>
      <c r="AS207" s="172"/>
      <c r="AT207"/>
      <c r="AU207"/>
      <c r="AV207"/>
      <c r="AW207"/>
      <c r="AX207"/>
      <c r="AY207"/>
      <c r="AZ207"/>
      <c r="BA207"/>
      <c r="BB207"/>
      <c r="BC207"/>
      <c r="BD207"/>
      <c r="BE207"/>
      <c r="BF207"/>
      <c r="BG207"/>
      <c r="BH207"/>
      <c r="BI207"/>
      <c r="BJ207"/>
      <c r="BK207"/>
      <c r="BL207"/>
      <c r="BM207"/>
    </row>
    <row r="208" spans="1:66" s="22" customFormat="1">
      <c r="A208" s="195" t="s">
        <v>404</v>
      </c>
      <c r="B208" s="47">
        <v>6.5789280000000006E-2</v>
      </c>
      <c r="C208" s="365">
        <v>6.5789280000000006E-2</v>
      </c>
      <c r="D208" s="75" t="s">
        <v>106</v>
      </c>
      <c r="E208" s="195"/>
      <c r="F208" s="195"/>
      <c r="G208" s="202"/>
      <c r="H208" s="206"/>
      <c r="I208" s="195"/>
      <c r="J208" s="195"/>
      <c r="K208" s="216"/>
      <c r="L208" s="216"/>
      <c r="M208" s="216"/>
      <c r="N208" s="216"/>
      <c r="O208" s="216"/>
      <c r="P208" s="216"/>
      <c r="Q208" s="102"/>
      <c r="R208"/>
      <c r="S208"/>
      <c r="T208"/>
      <c r="U208"/>
      <c r="V208" s="171"/>
      <c r="W208" s="172"/>
      <c r="X208" s="172"/>
      <c r="Y208" s="172"/>
      <c r="Z208" s="172"/>
      <c r="AA208" s="172"/>
      <c r="AB208" s="172"/>
      <c r="AC208" s="172"/>
      <c r="AD208" s="172"/>
      <c r="AE208" s="172"/>
      <c r="AF208" s="172"/>
      <c r="AG208" s="172"/>
      <c r="AH208" s="172"/>
      <c r="AI208" s="172"/>
      <c r="AJ208" s="172"/>
      <c r="AK208" s="172"/>
      <c r="AL208" s="172"/>
      <c r="AM208" s="172"/>
      <c r="AN208" s="172"/>
      <c r="AO208" s="172"/>
      <c r="AP208" s="172"/>
      <c r="AQ208" s="172"/>
      <c r="AR208" s="172"/>
      <c r="AS208" s="172"/>
      <c r="AT208"/>
      <c r="AU208"/>
      <c r="AV208"/>
      <c r="AW208"/>
      <c r="AX208"/>
      <c r="AY208"/>
      <c r="AZ208"/>
      <c r="BA208"/>
      <c r="BB208"/>
      <c r="BC208"/>
      <c r="BD208"/>
      <c r="BE208"/>
      <c r="BF208"/>
      <c r="BG208"/>
      <c r="BH208"/>
      <c r="BI208"/>
      <c r="BJ208"/>
      <c r="BK208"/>
      <c r="BL208"/>
      <c r="BM208"/>
    </row>
    <row r="209" spans="1:65" s="22" customFormat="1">
      <c r="A209" s="195" t="s">
        <v>408</v>
      </c>
      <c r="B209" s="45">
        <v>5.3999999999999999E-2</v>
      </c>
      <c r="C209" s="365">
        <v>5.3999999999999999E-2</v>
      </c>
      <c r="D209" s="75" t="s">
        <v>573</v>
      </c>
      <c r="E209" s="195"/>
      <c r="F209" s="195"/>
      <c r="G209" s="195"/>
      <c r="H209" s="195"/>
      <c r="I209" s="195"/>
      <c r="J209" s="195"/>
      <c r="K209" s="216"/>
      <c r="L209" s="216"/>
      <c r="M209" s="216"/>
      <c r="N209" s="216"/>
      <c r="O209" s="216"/>
      <c r="P209" s="216"/>
      <c r="Q209" s="102"/>
      <c r="R209"/>
      <c r="S209"/>
      <c r="T209"/>
      <c r="U209"/>
      <c r="V209" s="171"/>
      <c r="W209" s="172"/>
      <c r="X209" s="172"/>
      <c r="Y209" s="172"/>
      <c r="Z209" s="172"/>
      <c r="AA209" s="172"/>
      <c r="AB209" s="172"/>
      <c r="AC209" s="172"/>
      <c r="AD209" s="172"/>
      <c r="AE209" s="172"/>
      <c r="AF209" s="172"/>
      <c r="AG209" s="172"/>
      <c r="AH209" s="172"/>
      <c r="AI209" s="172"/>
      <c r="AJ209" s="172"/>
      <c r="AK209" s="172"/>
      <c r="AL209" s="172"/>
      <c r="AM209" s="172"/>
      <c r="AN209" s="172"/>
      <c r="AO209" s="172"/>
      <c r="AP209" s="172"/>
      <c r="AQ209" s="172"/>
      <c r="AR209" s="172"/>
      <c r="AS209" s="172"/>
      <c r="AT209"/>
      <c r="AU209"/>
      <c r="AV209"/>
      <c r="AW209"/>
      <c r="AX209"/>
      <c r="AY209"/>
      <c r="AZ209"/>
      <c r="BA209"/>
      <c r="BB209"/>
      <c r="BC209"/>
      <c r="BD209"/>
      <c r="BE209"/>
      <c r="BF209"/>
      <c r="BG209"/>
      <c r="BH209"/>
      <c r="BI209"/>
      <c r="BJ209"/>
      <c r="BK209"/>
      <c r="BL209"/>
      <c r="BM209"/>
    </row>
    <row r="210" spans="1:65" s="22" customFormat="1">
      <c r="A210" s="195" t="s">
        <v>578</v>
      </c>
      <c r="B210" s="45">
        <v>0</v>
      </c>
      <c r="C210" s="365">
        <v>0</v>
      </c>
      <c r="D210" s="75" t="s">
        <v>579</v>
      </c>
      <c r="E210" s="195"/>
      <c r="F210" s="195"/>
      <c r="G210" s="195"/>
      <c r="H210" s="195"/>
      <c r="I210" s="195"/>
      <c r="J210" s="195"/>
      <c r="K210" s="195"/>
      <c r="L210" s="195"/>
      <c r="M210" s="195"/>
      <c r="N210" s="195"/>
      <c r="O210" s="195"/>
      <c r="P210" s="195"/>
      <c r="Q210" s="102"/>
      <c r="R210"/>
      <c r="S210"/>
      <c r="T210"/>
      <c r="U210"/>
      <c r="V210" s="171"/>
      <c r="W210" s="172"/>
      <c r="X210" s="172"/>
      <c r="Y210" s="172"/>
      <c r="Z210" s="172"/>
      <c r="AA210" s="172"/>
      <c r="AB210" s="172"/>
      <c r="AC210" s="172"/>
      <c r="AD210" s="172"/>
      <c r="AE210" s="172"/>
      <c r="AF210" s="172"/>
      <c r="AG210" s="172"/>
      <c r="AH210" s="172"/>
      <c r="AI210" s="172"/>
      <c r="AJ210" s="172"/>
      <c r="AK210" s="172"/>
      <c r="AL210" s="172"/>
      <c r="AM210" s="172"/>
      <c r="AN210" s="172"/>
      <c r="AO210" s="172"/>
      <c r="AP210" s="172"/>
      <c r="AQ210" s="172"/>
      <c r="AR210" s="172"/>
      <c r="AS210" s="172"/>
      <c r="AT210"/>
      <c r="AU210"/>
      <c r="AV210"/>
      <c r="AW210"/>
      <c r="AX210"/>
      <c r="AY210"/>
      <c r="AZ210"/>
      <c r="BA210"/>
      <c r="BB210"/>
      <c r="BC210"/>
      <c r="BD210"/>
      <c r="BE210"/>
      <c r="BF210"/>
      <c r="BG210"/>
      <c r="BH210"/>
      <c r="BI210"/>
      <c r="BJ210"/>
      <c r="BK210"/>
      <c r="BL210"/>
      <c r="BM210"/>
    </row>
    <row r="211" spans="1:65" s="22" customFormat="1">
      <c r="A211" s="195" t="s">
        <v>602</v>
      </c>
      <c r="B211" s="45">
        <v>0</v>
      </c>
      <c r="C211" s="365">
        <v>0</v>
      </c>
      <c r="D211" s="75" t="s">
        <v>580</v>
      </c>
      <c r="E211" s="195"/>
      <c r="F211" s="195"/>
      <c r="G211" s="195"/>
      <c r="H211" s="195"/>
      <c r="I211" s="195"/>
      <c r="J211" s="195"/>
      <c r="K211" s="195"/>
      <c r="L211" s="195"/>
      <c r="M211" s="195"/>
      <c r="N211" s="195"/>
      <c r="O211" s="195"/>
      <c r="P211" s="195"/>
      <c r="Q211" s="102"/>
      <c r="R211"/>
      <c r="S211"/>
      <c r="T211"/>
      <c r="U211"/>
      <c r="V211" s="171"/>
      <c r="W211" s="172"/>
      <c r="X211" s="172"/>
      <c r="Y211" s="172"/>
      <c r="Z211" s="172"/>
      <c r="AA211" s="172"/>
      <c r="AB211" s="172"/>
      <c r="AC211" s="172"/>
      <c r="AD211" s="172"/>
      <c r="AE211" s="172"/>
      <c r="AF211" s="172"/>
      <c r="AG211" s="172"/>
      <c r="AH211" s="172"/>
      <c r="AI211" s="172"/>
      <c r="AJ211" s="172"/>
      <c r="AK211" s="172"/>
      <c r="AL211" s="172"/>
      <c r="AM211" s="172"/>
      <c r="AN211" s="172"/>
      <c r="AO211" s="172"/>
      <c r="AP211" s="172"/>
      <c r="AQ211" s="172"/>
      <c r="AR211" s="172"/>
      <c r="AS211" s="172"/>
      <c r="AT211"/>
      <c r="AU211"/>
      <c r="AV211"/>
      <c r="AW211"/>
      <c r="AX211"/>
      <c r="AY211"/>
      <c r="AZ211"/>
      <c r="BA211"/>
      <c r="BB211"/>
      <c r="BC211"/>
      <c r="BD211"/>
      <c r="BE211"/>
      <c r="BF211"/>
      <c r="BG211"/>
      <c r="BH211"/>
      <c r="BI211"/>
      <c r="BJ211"/>
      <c r="BK211"/>
      <c r="BL211"/>
      <c r="BM211"/>
    </row>
    <row r="212" spans="1:65" s="22" customFormat="1">
      <c r="A212" s="195" t="s">
        <v>406</v>
      </c>
      <c r="B212" s="564">
        <v>0.26018928000000002</v>
      </c>
      <c r="C212" s="305">
        <v>0.26018928000000002</v>
      </c>
      <c r="D212" s="356">
        <f>(B212-C212)/B212</f>
        <v>0</v>
      </c>
      <c r="E212" s="195"/>
      <c r="F212" s="195"/>
      <c r="G212" s="195"/>
      <c r="H212" s="195"/>
      <c r="I212" s="195"/>
      <c r="J212" s="195"/>
      <c r="K212" s="195"/>
      <c r="L212" s="195"/>
      <c r="M212" s="195"/>
      <c r="N212" s="195"/>
      <c r="O212" s="195"/>
      <c r="P212" s="195"/>
      <c r="Q212" s="102"/>
      <c r="R212"/>
      <c r="S212"/>
      <c r="T212"/>
      <c r="U212"/>
      <c r="V212" s="171"/>
      <c r="W212" s="172"/>
      <c r="X212" s="172"/>
      <c r="Y212" s="172"/>
      <c r="Z212" s="172"/>
      <c r="AA212" s="172"/>
      <c r="AB212" s="172"/>
      <c r="AC212" s="172"/>
      <c r="AD212" s="172"/>
      <c r="AE212" s="172"/>
      <c r="AF212" s="172"/>
      <c r="AG212" s="172"/>
      <c r="AH212" s="172"/>
      <c r="AI212" s="172"/>
      <c r="AJ212" s="172"/>
      <c r="AK212" s="172"/>
      <c r="AL212" s="172"/>
      <c r="AM212" s="172"/>
      <c r="AN212" s="172"/>
      <c r="AO212" s="172"/>
      <c r="AP212" s="172"/>
      <c r="AQ212" s="172"/>
      <c r="AR212" s="172"/>
      <c r="AS212" s="172"/>
      <c r="AT212"/>
      <c r="AU212"/>
      <c r="AV212"/>
      <c r="AW212"/>
      <c r="AX212"/>
      <c r="AY212"/>
      <c r="AZ212"/>
      <c r="BA212"/>
      <c r="BB212"/>
      <c r="BC212"/>
      <c r="BD212"/>
      <c r="BE212"/>
      <c r="BF212"/>
      <c r="BG212"/>
      <c r="BH212"/>
      <c r="BI212"/>
      <c r="BJ212"/>
      <c r="BK212"/>
      <c r="BL212"/>
      <c r="BM212"/>
    </row>
    <row r="213" spans="1:65" s="22" customFormat="1">
      <c r="A213" s="195"/>
      <c r="B213" s="195"/>
      <c r="C213" s="195"/>
      <c r="D213" s="195"/>
      <c r="E213" s="195"/>
      <c r="F213" s="195"/>
      <c r="G213" s="195"/>
      <c r="H213" s="195"/>
      <c r="I213" s="195"/>
      <c r="J213" s="195"/>
      <c r="K213" s="195"/>
      <c r="L213" s="195"/>
      <c r="M213" s="195"/>
      <c r="N213" s="195"/>
      <c r="O213" s="195"/>
      <c r="P213" s="195"/>
      <c r="Q213" s="102"/>
      <c r="V213"/>
      <c r="W213"/>
      <c r="X213"/>
      <c r="Y213"/>
      <c r="Z213"/>
      <c r="AA213"/>
      <c r="AB213"/>
      <c r="AC213"/>
      <c r="AD213"/>
      <c r="AE213"/>
      <c r="AF213"/>
      <c r="AG213"/>
      <c r="AH213"/>
      <c r="AI213"/>
      <c r="AJ213"/>
      <c r="AK213"/>
      <c r="AL213"/>
      <c r="AM213"/>
      <c r="AN213"/>
      <c r="AO213"/>
      <c r="AP213"/>
      <c r="AQ213"/>
      <c r="AR213"/>
      <c r="AS213"/>
    </row>
    <row r="214" spans="1:65" s="22" customFormat="1">
      <c r="E214" s="195"/>
      <c r="F214" s="195"/>
      <c r="G214" s="195"/>
      <c r="H214" s="195"/>
      <c r="I214" s="195"/>
      <c r="J214" s="195"/>
      <c r="K214" s="195"/>
      <c r="L214" s="195"/>
      <c r="M214" s="195"/>
      <c r="N214" s="195"/>
      <c r="O214" s="195"/>
      <c r="P214" s="195"/>
      <c r="Q214" s="102"/>
      <c r="V214" s="171"/>
      <c r="W214" s="172"/>
      <c r="X214" s="172"/>
      <c r="Y214" s="172"/>
      <c r="Z214" s="172"/>
      <c r="AA214" s="172"/>
      <c r="AB214" s="172"/>
      <c r="AC214" s="172"/>
      <c r="AD214" s="172"/>
      <c r="AE214" s="172"/>
      <c r="AF214" s="172"/>
      <c r="AG214" s="172"/>
      <c r="AH214" s="172"/>
      <c r="AI214" s="172"/>
      <c r="AJ214" s="172"/>
      <c r="AK214" s="172"/>
      <c r="AL214" s="172"/>
      <c r="AM214" s="172"/>
      <c r="AN214" s="172"/>
      <c r="AO214" s="172"/>
      <c r="AP214" s="172"/>
      <c r="AQ214" s="172"/>
      <c r="AR214" s="172"/>
      <c r="AS214" s="172"/>
    </row>
    <row r="215" spans="1:65" s="22" customFormat="1">
      <c r="J215" s="195"/>
      <c r="K215" s="195"/>
      <c r="L215" s="195"/>
      <c r="M215" s="195"/>
      <c r="N215" s="195"/>
      <c r="O215" s="195"/>
      <c r="P215" s="195"/>
      <c r="Q215" s="102"/>
      <c r="V215" s="171"/>
      <c r="W215" s="172"/>
      <c r="X215" s="172"/>
      <c r="Y215" s="172"/>
      <c r="Z215" s="172"/>
      <c r="AA215" s="172"/>
      <c r="AB215" s="172"/>
      <c r="AC215" s="172"/>
      <c r="AD215" s="172"/>
      <c r="AE215" s="172"/>
      <c r="AF215" s="172"/>
      <c r="AG215" s="172"/>
      <c r="AH215" s="172"/>
      <c r="AI215" s="172"/>
      <c r="AJ215" s="172"/>
      <c r="AK215" s="172"/>
      <c r="AL215" s="172"/>
      <c r="AM215" s="172"/>
      <c r="AN215" s="172"/>
      <c r="AO215" s="172"/>
      <c r="AP215" s="172"/>
      <c r="AQ215" s="172"/>
      <c r="AR215" s="172"/>
      <c r="AS215" s="172"/>
    </row>
    <row r="216" spans="1:65">
      <c r="F216" s="22"/>
      <c r="G216" s="22"/>
      <c r="H216" s="22"/>
      <c r="Q216" s="102"/>
      <c r="V216" s="171"/>
      <c r="W216" s="172"/>
      <c r="X216" s="172"/>
      <c r="Y216" s="172"/>
      <c r="Z216" s="172"/>
      <c r="AA216" s="172"/>
      <c r="AB216" s="172"/>
      <c r="AC216" s="172"/>
      <c r="AD216" s="172"/>
      <c r="AE216" s="172"/>
      <c r="AF216" s="172"/>
      <c r="AG216" s="172"/>
      <c r="AH216" s="172"/>
      <c r="AI216" s="172"/>
      <c r="AJ216" s="172"/>
      <c r="AK216" s="172"/>
      <c r="AL216" s="172"/>
      <c r="AM216" s="172"/>
      <c r="AN216" s="172"/>
      <c r="AO216" s="172"/>
      <c r="AP216" s="172"/>
      <c r="AQ216" s="172"/>
      <c r="AR216" s="172"/>
      <c r="AS216" s="172"/>
    </row>
    <row r="217" spans="1:65">
      <c r="Q217" s="102"/>
    </row>
    <row r="218" spans="1:65">
      <c r="Q218" s="102"/>
      <c r="V218" s="171"/>
    </row>
  </sheetData>
  <phoneticPr fontId="0" type="noConversion"/>
  <conditionalFormatting sqref="G44:G45 G38 E36:E42 H36:I42 F37:F42 E44:F46 H44:I46 J43 L36:L38 L40:L42 K36:K42 K44:L46">
    <cfRule type="cellIs" dxfId="0" priority="1" stopIfTrue="1" operator="equal">
      <formula>#N/A</formula>
    </cfRule>
  </conditionalFormatting>
  <pageMargins left="0.75" right="0.75" top="1" bottom="1" header="0.5" footer="0.5"/>
  <pageSetup scale="93" orientation="portrait" horizontalDpi="300" verticalDpi="300" r:id="rId1"/>
  <headerFooter alignWithMargins="0"/>
  <legacyDrawing r:id="rId2"/>
</worksheet>
</file>

<file path=xl/worksheets/sheet29.xml><?xml version="1.0" encoding="utf-8"?>
<worksheet xmlns="http://schemas.openxmlformats.org/spreadsheetml/2006/main" xmlns:r="http://schemas.openxmlformats.org/officeDocument/2006/relationships">
  <dimension ref="A1:T139"/>
  <sheetViews>
    <sheetView showGridLines="0" showRowColHeaders="0" showZeros="0" showOutlineSymbols="0" zoomScale="80" workbookViewId="0">
      <pane xSplit="3" ySplit="3" topLeftCell="D4" activePane="bottomRight" state="frozen"/>
      <selection pane="topRight" activeCell="D1" sqref="D1"/>
      <selection pane="bottomLeft" activeCell="A4" sqref="A4"/>
      <selection pane="bottomRight"/>
    </sheetView>
  </sheetViews>
  <sheetFormatPr defaultColWidth="0" defaultRowHeight="12.75" zeroHeight="1"/>
  <cols>
    <col min="1" max="1" width="12.140625" style="591" hidden="1" customWidth="1"/>
    <col min="2" max="2" width="11.5703125" style="591" hidden="1" customWidth="1"/>
    <col min="3" max="3" width="9.7109375" style="591" hidden="1" customWidth="1"/>
    <col min="4" max="5" width="7.140625" style="591" hidden="1" customWidth="1"/>
    <col min="6" max="8" width="0" style="591" hidden="1" customWidth="1"/>
    <col min="9" max="9" width="4.42578125" style="591" hidden="1" customWidth="1"/>
    <col min="10" max="16384" width="0" style="591" hidden="1"/>
  </cols>
  <sheetData>
    <row r="1" spans="1:20" hidden="1">
      <c r="B1" s="592" t="s">
        <v>712</v>
      </c>
      <c r="C1" s="593">
        <f>MATCH(Region,$F$3:$H$3,0)</f>
        <v>3</v>
      </c>
      <c r="D1" s="592"/>
      <c r="E1" s="594"/>
      <c r="F1" s="595"/>
      <c r="O1" s="596">
        <f>CODE("A")-1</f>
        <v>64</v>
      </c>
    </row>
    <row r="2" spans="1:20" ht="15" hidden="1">
      <c r="F2" s="597" t="s">
        <v>713</v>
      </c>
      <c r="J2" s="597" t="s">
        <v>939</v>
      </c>
      <c r="K2" s="597"/>
    </row>
    <row r="3" spans="1:20" hidden="1">
      <c r="A3" s="598" t="s">
        <v>592</v>
      </c>
      <c r="B3" s="598" t="s">
        <v>300</v>
      </c>
      <c r="C3" s="598" t="s">
        <v>717</v>
      </c>
      <c r="D3" s="599" t="s">
        <v>698</v>
      </c>
      <c r="E3" s="599" t="s">
        <v>699</v>
      </c>
      <c r="F3" s="599" t="s">
        <v>655</v>
      </c>
      <c r="G3" s="600" t="s">
        <v>795</v>
      </c>
      <c r="H3" s="599" t="s">
        <v>950</v>
      </c>
      <c r="I3" s="599"/>
      <c r="J3" s="599" t="s">
        <v>655</v>
      </c>
      <c r="K3" s="599" t="s">
        <v>795</v>
      </c>
      <c r="L3" s="599" t="s">
        <v>950</v>
      </c>
      <c r="M3" s="601" t="s">
        <v>716</v>
      </c>
      <c r="N3" s="602" t="str">
        <f>Region</f>
        <v>FIM</v>
      </c>
      <c r="O3" s="602" t="str">
        <f>Region</f>
        <v>FIM</v>
      </c>
      <c r="Q3" s="603" t="s">
        <v>1238</v>
      </c>
    </row>
    <row r="4" spans="1:20" hidden="1">
      <c r="A4" s="604" t="s">
        <v>128</v>
      </c>
      <c r="B4" s="604" t="s">
        <v>244</v>
      </c>
      <c r="C4" s="604" t="s">
        <v>697</v>
      </c>
      <c r="D4" s="605" t="s">
        <v>700</v>
      </c>
      <c r="E4" s="605">
        <v>36</v>
      </c>
      <c r="F4" s="604">
        <v>0</v>
      </c>
      <c r="G4" s="606">
        <v>0</v>
      </c>
      <c r="H4" s="604">
        <v>0</v>
      </c>
      <c r="I4" s="604"/>
      <c r="J4" s="604">
        <v>0</v>
      </c>
      <c r="K4" s="606">
        <v>0</v>
      </c>
      <c r="L4" s="604">
        <v>0</v>
      </c>
      <c r="M4" s="607">
        <f t="shared" ref="M4:M35" si="0">E4+(CODE(D4)-O$1)/100</f>
        <v>36.03</v>
      </c>
      <c r="N4" s="608">
        <f t="shared" ref="N4:N32" ca="1" si="1">OFFSET($E4,0,RegIndex)</f>
        <v>0</v>
      </c>
      <c r="O4" s="608">
        <f t="shared" ref="O4:O32" ca="1" si="2">OFFSET($I4,0,RegIndex)</f>
        <v>0</v>
      </c>
      <c r="Q4" s="604" t="s">
        <v>965</v>
      </c>
      <c r="R4" s="604"/>
      <c r="S4" s="604"/>
      <c r="T4" s="604"/>
    </row>
    <row r="5" spans="1:20" hidden="1">
      <c r="A5" s="604" t="s">
        <v>128</v>
      </c>
      <c r="B5" s="604" t="s">
        <v>247</v>
      </c>
      <c r="C5" s="604" t="s">
        <v>697</v>
      </c>
      <c r="D5" s="605" t="s">
        <v>700</v>
      </c>
      <c r="E5" s="605">
        <v>43</v>
      </c>
      <c r="F5" s="604">
        <v>0.05</v>
      </c>
      <c r="G5" s="606">
        <v>2.8987267241292192E-3</v>
      </c>
      <c r="H5" s="604">
        <v>4.5524369600685732E-3</v>
      </c>
      <c r="I5" s="604"/>
      <c r="J5" s="604">
        <v>0.05</v>
      </c>
      <c r="K5" s="606">
        <v>9.2227236315699061E-3</v>
      </c>
      <c r="L5" s="604">
        <v>1.746357747851136E-2</v>
      </c>
      <c r="M5" s="607">
        <f t="shared" si="0"/>
        <v>43.03</v>
      </c>
      <c r="N5" s="608">
        <f t="shared" ca="1" si="1"/>
        <v>4.5524369600685732E-3</v>
      </c>
      <c r="O5" s="608">
        <f t="shared" ca="1" si="2"/>
        <v>1.746357747851136E-2</v>
      </c>
      <c r="Q5" s="604" t="s">
        <v>969</v>
      </c>
      <c r="R5" s="604"/>
      <c r="S5" s="604"/>
      <c r="T5" s="604"/>
    </row>
    <row r="6" spans="1:20" hidden="1">
      <c r="A6" s="604" t="s">
        <v>128</v>
      </c>
      <c r="B6" s="604" t="s">
        <v>245</v>
      </c>
      <c r="C6" s="604" t="s">
        <v>697</v>
      </c>
      <c r="D6" s="605" t="s">
        <v>700</v>
      </c>
      <c r="E6" s="605">
        <v>45</v>
      </c>
      <c r="F6" s="604">
        <v>0.14099999999999999</v>
      </c>
      <c r="G6" s="606">
        <v>0</v>
      </c>
      <c r="H6" s="604">
        <v>0</v>
      </c>
      <c r="I6" s="604"/>
      <c r="J6" s="604">
        <v>0.14099999999999999</v>
      </c>
      <c r="K6" s="606">
        <v>0</v>
      </c>
      <c r="L6" s="604">
        <v>0</v>
      </c>
      <c r="M6" s="607">
        <f t="shared" si="0"/>
        <v>45.03</v>
      </c>
      <c r="N6" s="608">
        <f t="shared" ca="1" si="1"/>
        <v>0</v>
      </c>
      <c r="O6" s="608">
        <f t="shared" ca="1" si="2"/>
        <v>0</v>
      </c>
      <c r="Q6" s="604" t="s">
        <v>968</v>
      </c>
      <c r="R6" s="604"/>
      <c r="S6" s="604"/>
      <c r="T6" s="604"/>
    </row>
    <row r="7" spans="1:20" hidden="1">
      <c r="A7" s="609" t="s">
        <v>44</v>
      </c>
      <c r="B7" s="609" t="s">
        <v>244</v>
      </c>
      <c r="C7" s="609" t="s">
        <v>697</v>
      </c>
      <c r="D7" s="610" t="s">
        <v>701</v>
      </c>
      <c r="E7" s="610">
        <v>36</v>
      </c>
      <c r="F7" s="609">
        <v>0.2</v>
      </c>
      <c r="G7" s="611">
        <v>0.22281990136035987</v>
      </c>
      <c r="H7" s="609">
        <v>0.22281990136035987</v>
      </c>
      <c r="I7" s="609"/>
      <c r="J7" s="609">
        <v>0.2</v>
      </c>
      <c r="K7" s="611">
        <v>0.21468002453485993</v>
      </c>
      <c r="L7" s="609">
        <v>0.20547945205479451</v>
      </c>
      <c r="M7" s="607">
        <f t="shared" si="0"/>
        <v>36.04</v>
      </c>
      <c r="N7" s="608">
        <f t="shared" ca="1" si="1"/>
        <v>0.22281990136035987</v>
      </c>
      <c r="O7" s="608">
        <f t="shared" ca="1" si="2"/>
        <v>0.20547945205479451</v>
      </c>
      <c r="Q7" s="604" t="s">
        <v>973</v>
      </c>
      <c r="R7" s="604"/>
      <c r="S7" s="604"/>
      <c r="T7" s="604"/>
    </row>
    <row r="8" spans="1:20" hidden="1">
      <c r="A8" s="591" t="s">
        <v>44</v>
      </c>
      <c r="B8" s="591" t="s">
        <v>663</v>
      </c>
      <c r="C8" s="591" t="s">
        <v>697</v>
      </c>
      <c r="D8" s="612" t="s">
        <v>701</v>
      </c>
      <c r="E8" s="612">
        <v>37</v>
      </c>
      <c r="F8" s="591">
        <v>0.2</v>
      </c>
      <c r="G8" s="613">
        <v>0.22</v>
      </c>
      <c r="H8" s="591">
        <v>0.22</v>
      </c>
      <c r="J8" s="591">
        <v>0.2</v>
      </c>
      <c r="K8" s="613">
        <v>0.23</v>
      </c>
      <c r="L8" s="591">
        <v>0.23</v>
      </c>
      <c r="M8" s="607">
        <f t="shared" si="0"/>
        <v>37.04</v>
      </c>
      <c r="N8" s="608">
        <f t="shared" ca="1" si="1"/>
        <v>0.22</v>
      </c>
      <c r="O8" s="608">
        <f t="shared" ca="1" si="2"/>
        <v>0.23</v>
      </c>
      <c r="Q8" s="604" t="s">
        <v>970</v>
      </c>
      <c r="R8" s="604"/>
      <c r="S8" s="604"/>
      <c r="T8" s="604"/>
    </row>
    <row r="9" spans="1:20" hidden="1">
      <c r="A9" s="591" t="s">
        <v>44</v>
      </c>
      <c r="B9" s="591" t="s">
        <v>574</v>
      </c>
      <c r="C9" s="591" t="s">
        <v>697</v>
      </c>
      <c r="D9" s="612" t="s">
        <v>701</v>
      </c>
      <c r="E9" s="612">
        <v>38</v>
      </c>
      <c r="F9" s="591">
        <v>0</v>
      </c>
      <c r="G9" s="613">
        <v>0.23</v>
      </c>
      <c r="H9" s="591">
        <v>0.23</v>
      </c>
      <c r="J9" s="591">
        <v>0</v>
      </c>
      <c r="K9" s="613">
        <v>0.24</v>
      </c>
      <c r="L9" s="591">
        <v>0.24</v>
      </c>
      <c r="M9" s="607">
        <f t="shared" si="0"/>
        <v>38.04</v>
      </c>
      <c r="N9" s="608">
        <f t="shared" ca="1" si="1"/>
        <v>0.23</v>
      </c>
      <c r="O9" s="608">
        <f t="shared" ca="1" si="2"/>
        <v>0.24</v>
      </c>
      <c r="Q9" s="604" t="s">
        <v>971</v>
      </c>
      <c r="R9" s="604"/>
      <c r="S9" s="604"/>
      <c r="T9" s="604"/>
    </row>
    <row r="10" spans="1:20" hidden="1">
      <c r="A10" s="591" t="s">
        <v>44</v>
      </c>
      <c r="B10" s="591" t="s">
        <v>576</v>
      </c>
      <c r="C10" s="591" t="s">
        <v>697</v>
      </c>
      <c r="D10" s="612" t="s">
        <v>701</v>
      </c>
      <c r="E10" s="612">
        <v>39</v>
      </c>
      <c r="F10" s="591">
        <v>0.25</v>
      </c>
      <c r="G10" s="613">
        <v>0.11</v>
      </c>
      <c r="H10" s="591">
        <v>0.11</v>
      </c>
      <c r="J10" s="591">
        <v>0.25</v>
      </c>
      <c r="K10" s="613">
        <v>0.115</v>
      </c>
      <c r="L10" s="591">
        <v>0.115</v>
      </c>
      <c r="M10" s="607">
        <f t="shared" si="0"/>
        <v>39.04</v>
      </c>
      <c r="N10" s="608">
        <f t="shared" ca="1" si="1"/>
        <v>0.11</v>
      </c>
      <c r="O10" s="608">
        <f t="shared" ca="1" si="2"/>
        <v>0.115</v>
      </c>
      <c r="Q10" s="604" t="s">
        <v>972</v>
      </c>
      <c r="R10" s="604"/>
      <c r="S10" s="604"/>
      <c r="T10" s="604"/>
    </row>
    <row r="11" spans="1:20" hidden="1">
      <c r="A11" s="591" t="s">
        <v>44</v>
      </c>
      <c r="B11" s="591" t="s">
        <v>664</v>
      </c>
      <c r="C11" s="591" t="s">
        <v>697</v>
      </c>
      <c r="D11" s="612" t="s">
        <v>701</v>
      </c>
      <c r="E11" s="612">
        <v>40</v>
      </c>
      <c r="F11" s="591">
        <v>8.7999999999999995E-2</v>
      </c>
      <c r="G11" s="613">
        <v>0.22</v>
      </c>
      <c r="H11" s="591">
        <v>0.22</v>
      </c>
      <c r="J11" s="591">
        <v>8.7999999999999995E-2</v>
      </c>
      <c r="K11" s="613">
        <v>0.23</v>
      </c>
      <c r="L11" s="591">
        <v>0.23</v>
      </c>
      <c r="M11" s="607">
        <f t="shared" si="0"/>
        <v>40.04</v>
      </c>
      <c r="N11" s="608">
        <f t="shared" ca="1" si="1"/>
        <v>0.22</v>
      </c>
      <c r="O11" s="608">
        <f t="shared" ca="1" si="2"/>
        <v>0.23</v>
      </c>
    </row>
    <row r="12" spans="1:20" hidden="1">
      <c r="A12" s="591" t="s">
        <v>44</v>
      </c>
      <c r="B12" s="591" t="s">
        <v>665</v>
      </c>
      <c r="C12" s="591" t="s">
        <v>697</v>
      </c>
      <c r="D12" s="612" t="s">
        <v>701</v>
      </c>
      <c r="E12" s="612">
        <v>41</v>
      </c>
      <c r="F12" s="591">
        <v>0.2</v>
      </c>
      <c r="G12" s="613">
        <v>0.3</v>
      </c>
      <c r="H12" s="591">
        <v>0.3</v>
      </c>
      <c r="J12" s="591">
        <v>0.2</v>
      </c>
      <c r="K12" s="613">
        <v>0.3</v>
      </c>
      <c r="L12" s="591">
        <v>0.3</v>
      </c>
      <c r="M12" s="607">
        <f t="shared" si="0"/>
        <v>41.04</v>
      </c>
      <c r="N12" s="608">
        <f t="shared" ca="1" si="1"/>
        <v>0.3</v>
      </c>
      <c r="O12" s="608">
        <f t="shared" ca="1" si="2"/>
        <v>0.3</v>
      </c>
    </row>
    <row r="13" spans="1:20" hidden="1">
      <c r="A13" s="591" t="s">
        <v>44</v>
      </c>
      <c r="B13" s="591" t="s">
        <v>588</v>
      </c>
      <c r="C13" s="591" t="s">
        <v>697</v>
      </c>
      <c r="D13" s="612" t="s">
        <v>701</v>
      </c>
      <c r="E13" s="612">
        <v>42</v>
      </c>
      <c r="F13" s="591">
        <v>0</v>
      </c>
      <c r="G13" s="613">
        <v>0.125</v>
      </c>
      <c r="H13" s="591">
        <v>0.15839999999999999</v>
      </c>
      <c r="J13" s="591">
        <v>0</v>
      </c>
      <c r="K13" s="613">
        <v>0.13500000000000001</v>
      </c>
      <c r="L13" s="591">
        <v>0.1656</v>
      </c>
      <c r="M13" s="607">
        <f t="shared" si="0"/>
        <v>42.04</v>
      </c>
      <c r="N13" s="608">
        <f t="shared" ca="1" si="1"/>
        <v>0.15839999999999999</v>
      </c>
      <c r="O13" s="608">
        <f t="shared" ca="1" si="2"/>
        <v>0.1656</v>
      </c>
    </row>
    <row r="14" spans="1:20" hidden="1">
      <c r="A14" s="591" t="s">
        <v>44</v>
      </c>
      <c r="B14" s="591" t="s">
        <v>247</v>
      </c>
      <c r="C14" s="591" t="s">
        <v>697</v>
      </c>
      <c r="D14" s="612" t="s">
        <v>701</v>
      </c>
      <c r="E14" s="612">
        <v>43</v>
      </c>
      <c r="F14" s="591">
        <v>0.1</v>
      </c>
      <c r="G14" s="613">
        <v>0.13459175548621022</v>
      </c>
      <c r="H14" s="591">
        <v>7.4456837815688265E-2</v>
      </c>
      <c r="J14" s="591">
        <v>0.1</v>
      </c>
      <c r="K14" s="613">
        <v>0.17670549532641713</v>
      </c>
      <c r="L14" s="591">
        <v>8.4407932240672751E-2</v>
      </c>
      <c r="M14" s="607">
        <f t="shared" si="0"/>
        <v>43.04</v>
      </c>
      <c r="N14" s="608">
        <f t="shared" ca="1" si="1"/>
        <v>7.4456837815688265E-2</v>
      </c>
      <c r="O14" s="608">
        <f t="shared" ca="1" si="2"/>
        <v>8.4407932240672751E-2</v>
      </c>
    </row>
    <row r="15" spans="1:20" hidden="1">
      <c r="A15" s="591" t="s">
        <v>44</v>
      </c>
      <c r="B15" s="591" t="s">
        <v>414</v>
      </c>
      <c r="C15" s="591" t="s">
        <v>697</v>
      </c>
      <c r="D15" s="612" t="s">
        <v>701</v>
      </c>
      <c r="E15" s="612">
        <v>44</v>
      </c>
      <c r="F15" s="591">
        <v>0.22</v>
      </c>
      <c r="G15" s="613">
        <v>0.23</v>
      </c>
      <c r="H15" s="591">
        <v>0.23</v>
      </c>
      <c r="J15" s="591">
        <v>0.22</v>
      </c>
      <c r="K15" s="613">
        <v>0.24</v>
      </c>
      <c r="L15" s="591">
        <v>0.24</v>
      </c>
      <c r="M15" s="607">
        <f t="shared" si="0"/>
        <v>44.04</v>
      </c>
      <c r="N15" s="608">
        <f t="shared" ca="1" si="1"/>
        <v>0.23</v>
      </c>
      <c r="O15" s="608">
        <f t="shared" ca="1" si="2"/>
        <v>0.24</v>
      </c>
    </row>
    <row r="16" spans="1:20" hidden="1">
      <c r="A16" s="591" t="s">
        <v>44</v>
      </c>
      <c r="B16" s="591" t="s">
        <v>245</v>
      </c>
      <c r="C16" s="591" t="s">
        <v>697</v>
      </c>
      <c r="D16" s="612" t="s">
        <v>701</v>
      </c>
      <c r="E16" s="612">
        <v>45</v>
      </c>
      <c r="F16" s="591">
        <v>0</v>
      </c>
      <c r="G16" s="613">
        <v>0</v>
      </c>
      <c r="H16" s="591">
        <v>0</v>
      </c>
      <c r="J16" s="591">
        <v>0</v>
      </c>
      <c r="K16" s="613">
        <v>0</v>
      </c>
      <c r="L16" s="591">
        <v>0</v>
      </c>
      <c r="M16" s="607">
        <f t="shared" si="0"/>
        <v>45.04</v>
      </c>
      <c r="N16" s="608">
        <f t="shared" ca="1" si="1"/>
        <v>0</v>
      </c>
      <c r="O16" s="608">
        <f t="shared" ca="1" si="2"/>
        <v>0</v>
      </c>
    </row>
    <row r="17" spans="1:15" hidden="1">
      <c r="A17" s="591" t="s">
        <v>44</v>
      </c>
      <c r="B17" s="591" t="s">
        <v>246</v>
      </c>
      <c r="C17" s="591" t="s">
        <v>697</v>
      </c>
      <c r="D17" s="612" t="s">
        <v>701</v>
      </c>
      <c r="E17" s="612">
        <v>46</v>
      </c>
      <c r="F17" s="591">
        <v>1</v>
      </c>
      <c r="G17" s="613">
        <v>0</v>
      </c>
      <c r="H17" s="591">
        <v>0</v>
      </c>
      <c r="J17" s="591">
        <v>1</v>
      </c>
      <c r="K17" s="613">
        <v>0</v>
      </c>
      <c r="L17" s="591">
        <v>0</v>
      </c>
      <c r="M17" s="607">
        <f t="shared" si="0"/>
        <v>46.04</v>
      </c>
      <c r="N17" s="608">
        <f t="shared" ca="1" si="1"/>
        <v>0</v>
      </c>
      <c r="O17" s="608">
        <f t="shared" ca="1" si="2"/>
        <v>0</v>
      </c>
    </row>
    <row r="18" spans="1:15" hidden="1">
      <c r="A18" s="604" t="s">
        <v>91</v>
      </c>
      <c r="B18" s="604" t="s">
        <v>247</v>
      </c>
      <c r="C18" s="604" t="s">
        <v>697</v>
      </c>
      <c r="D18" s="605" t="s">
        <v>702</v>
      </c>
      <c r="E18" s="605">
        <v>43</v>
      </c>
      <c r="F18" s="604">
        <v>0.14000000000000001</v>
      </c>
      <c r="G18" s="606">
        <v>5.8850826667426803E-2</v>
      </c>
      <c r="H18" s="604">
        <v>9.2424952038852454E-2</v>
      </c>
      <c r="I18" s="604"/>
      <c r="J18" s="604">
        <v>0.14000000000000001</v>
      </c>
      <c r="K18" s="606">
        <v>4.9432026484532897E-2</v>
      </c>
      <c r="L18" s="604">
        <v>9.3601419593391869E-2</v>
      </c>
      <c r="M18" s="607">
        <f t="shared" si="0"/>
        <v>43.05</v>
      </c>
      <c r="N18" s="608">
        <f t="shared" ca="1" si="1"/>
        <v>9.2424952038852454E-2</v>
      </c>
      <c r="O18" s="608">
        <f t="shared" ca="1" si="2"/>
        <v>9.3601419593391869E-2</v>
      </c>
    </row>
    <row r="19" spans="1:15" hidden="1">
      <c r="A19" s="591" t="s">
        <v>94</v>
      </c>
      <c r="B19" s="591" t="s">
        <v>244</v>
      </c>
      <c r="C19" s="591" t="s">
        <v>697</v>
      </c>
      <c r="D19" s="612" t="s">
        <v>703</v>
      </c>
      <c r="E19" s="612">
        <v>36</v>
      </c>
      <c r="F19" s="591">
        <v>0</v>
      </c>
      <c r="G19" s="613">
        <v>0</v>
      </c>
      <c r="H19" s="591">
        <v>0</v>
      </c>
      <c r="J19" s="591">
        <v>0</v>
      </c>
      <c r="K19" s="613">
        <v>0</v>
      </c>
      <c r="L19" s="591">
        <v>0</v>
      </c>
      <c r="M19" s="607">
        <f t="shared" si="0"/>
        <v>36.06</v>
      </c>
      <c r="N19" s="608">
        <f t="shared" ca="1" si="1"/>
        <v>0</v>
      </c>
      <c r="O19" s="608">
        <f t="shared" ca="1" si="2"/>
        <v>0</v>
      </c>
    </row>
    <row r="20" spans="1:15" hidden="1">
      <c r="A20" s="591" t="s">
        <v>94</v>
      </c>
      <c r="B20" s="591" t="s">
        <v>247</v>
      </c>
      <c r="C20" s="591" t="s">
        <v>697</v>
      </c>
      <c r="D20" s="612" t="s">
        <v>703</v>
      </c>
      <c r="E20" s="612">
        <v>43</v>
      </c>
      <c r="F20" s="591">
        <v>0.01</v>
      </c>
      <c r="G20" s="613">
        <v>7.2462129592431104E-3</v>
      </c>
      <c r="H20" s="591">
        <v>1.138014405483353E-2</v>
      </c>
      <c r="J20" s="591">
        <v>0.01</v>
      </c>
      <c r="K20" s="613">
        <v>6.0864903893036969E-3</v>
      </c>
      <c r="L20" s="591">
        <v>1.1525000719090904E-2</v>
      </c>
      <c r="M20" s="607">
        <f t="shared" si="0"/>
        <v>43.06</v>
      </c>
      <c r="N20" s="608">
        <f t="shared" ca="1" si="1"/>
        <v>1.138014405483353E-2</v>
      </c>
      <c r="O20" s="608">
        <f t="shared" ca="1" si="2"/>
        <v>1.1525000719090904E-2</v>
      </c>
    </row>
    <row r="21" spans="1:15" hidden="1">
      <c r="A21" s="604" t="s">
        <v>129</v>
      </c>
      <c r="B21" s="604" t="s">
        <v>244</v>
      </c>
      <c r="C21" s="604" t="s">
        <v>697</v>
      </c>
      <c r="D21" s="605" t="s">
        <v>704</v>
      </c>
      <c r="E21" s="605">
        <v>36</v>
      </c>
      <c r="F21" s="604">
        <v>0.1</v>
      </c>
      <c r="G21" s="606">
        <f>0.0312178201723484*2</f>
        <v>6.2435640344696799E-2</v>
      </c>
      <c r="H21" s="606">
        <f>0.0312178201723484*4</f>
        <v>0.1248712806893936</v>
      </c>
      <c r="I21" s="604"/>
      <c r="J21" s="604">
        <v>0.1</v>
      </c>
      <c r="K21" s="606">
        <v>0.10549989777141687</v>
      </c>
      <c r="L21" s="604">
        <v>0.14383561643835618</v>
      </c>
      <c r="M21" s="607">
        <f t="shared" si="0"/>
        <v>36.07</v>
      </c>
      <c r="N21" s="608">
        <f t="shared" ca="1" si="1"/>
        <v>0.1248712806893936</v>
      </c>
      <c r="O21" s="608">
        <f t="shared" ca="1" si="2"/>
        <v>0.14383561643835618</v>
      </c>
    </row>
    <row r="22" spans="1:15" hidden="1">
      <c r="A22" s="604" t="s">
        <v>129</v>
      </c>
      <c r="B22" s="604" t="s">
        <v>663</v>
      </c>
      <c r="C22" s="604" t="s">
        <v>697</v>
      </c>
      <c r="D22" s="605" t="s">
        <v>704</v>
      </c>
      <c r="E22" s="605">
        <v>37</v>
      </c>
      <c r="F22" s="604">
        <v>0</v>
      </c>
      <c r="G22" s="606">
        <v>0</v>
      </c>
      <c r="H22" s="604">
        <v>0</v>
      </c>
      <c r="I22" s="604"/>
      <c r="J22" s="604">
        <v>0</v>
      </c>
      <c r="K22" s="606">
        <v>0</v>
      </c>
      <c r="L22" s="604">
        <v>0</v>
      </c>
      <c r="M22" s="607">
        <f t="shared" si="0"/>
        <v>37.07</v>
      </c>
      <c r="N22" s="608">
        <f t="shared" ca="1" si="1"/>
        <v>0</v>
      </c>
      <c r="O22" s="608">
        <f t="shared" ca="1" si="2"/>
        <v>0</v>
      </c>
    </row>
    <row r="23" spans="1:15" hidden="1">
      <c r="A23" s="604" t="s">
        <v>129</v>
      </c>
      <c r="B23" s="604" t="s">
        <v>576</v>
      </c>
      <c r="C23" s="604" t="s">
        <v>697</v>
      </c>
      <c r="D23" s="605" t="s">
        <v>704</v>
      </c>
      <c r="E23" s="605">
        <v>39</v>
      </c>
      <c r="F23" s="604">
        <v>0.35</v>
      </c>
      <c r="G23" s="606">
        <v>0.1</v>
      </c>
      <c r="H23" s="604">
        <v>0.1</v>
      </c>
      <c r="I23" s="604"/>
      <c r="J23" s="604">
        <v>0.35</v>
      </c>
      <c r="K23" s="606">
        <v>0.1</v>
      </c>
      <c r="L23" s="604">
        <v>0.1</v>
      </c>
      <c r="M23" s="607">
        <f t="shared" si="0"/>
        <v>39.07</v>
      </c>
      <c r="N23" s="608">
        <f t="shared" ca="1" si="1"/>
        <v>0.1</v>
      </c>
      <c r="O23" s="608">
        <f t="shared" ca="1" si="2"/>
        <v>0.1</v>
      </c>
    </row>
    <row r="24" spans="1:15" hidden="1">
      <c r="A24" s="604" t="s">
        <v>129</v>
      </c>
      <c r="B24" s="604" t="s">
        <v>665</v>
      </c>
      <c r="C24" s="604" t="s">
        <v>697</v>
      </c>
      <c r="D24" s="605" t="s">
        <v>704</v>
      </c>
      <c r="E24" s="605">
        <v>41</v>
      </c>
      <c r="F24" s="604">
        <v>0.3</v>
      </c>
      <c r="G24" s="606">
        <v>0.16826644943977975</v>
      </c>
      <c r="H24" s="604">
        <v>0.17938039175478646</v>
      </c>
      <c r="I24" s="604"/>
      <c r="J24" s="604">
        <v>0.3</v>
      </c>
      <c r="K24" s="606">
        <v>0.30294529755731353</v>
      </c>
      <c r="L24" s="604">
        <v>0</v>
      </c>
      <c r="M24" s="607">
        <f t="shared" si="0"/>
        <v>41.07</v>
      </c>
      <c r="N24" s="608">
        <f t="shared" ca="1" si="1"/>
        <v>0.17938039175478646</v>
      </c>
      <c r="O24" s="608">
        <f t="shared" ca="1" si="2"/>
        <v>0</v>
      </c>
    </row>
    <row r="25" spans="1:15" hidden="1">
      <c r="A25" s="604" t="s">
        <v>129</v>
      </c>
      <c r="B25" s="604" t="s">
        <v>588</v>
      </c>
      <c r="C25" s="604" t="s">
        <v>697</v>
      </c>
      <c r="D25" s="605" t="s">
        <v>704</v>
      </c>
      <c r="E25" s="605">
        <v>42</v>
      </c>
      <c r="F25" s="604">
        <v>0.1</v>
      </c>
      <c r="G25" s="606">
        <v>0.01</v>
      </c>
      <c r="H25" s="604">
        <v>0.01</v>
      </c>
      <c r="I25" s="604"/>
      <c r="J25" s="604">
        <v>0.1</v>
      </c>
      <c r="K25" s="606">
        <v>9.4999999999999998E-3</v>
      </c>
      <c r="L25" s="604">
        <v>4.0000000000000001E-3</v>
      </c>
      <c r="M25" s="607">
        <f t="shared" si="0"/>
        <v>42.07</v>
      </c>
      <c r="N25" s="608">
        <f t="shared" ca="1" si="1"/>
        <v>0.01</v>
      </c>
      <c r="O25" s="608">
        <f t="shared" ca="1" si="2"/>
        <v>4.0000000000000001E-3</v>
      </c>
    </row>
    <row r="26" spans="1:15" hidden="1">
      <c r="A26" s="604" t="s">
        <v>129</v>
      </c>
      <c r="B26" s="604" t="s">
        <v>247</v>
      </c>
      <c r="C26" s="604" t="s">
        <v>697</v>
      </c>
      <c r="D26" s="605" t="s">
        <v>704</v>
      </c>
      <c r="E26" s="605">
        <v>43</v>
      </c>
      <c r="F26" s="604">
        <v>7.0000000000000007E-2</v>
      </c>
      <c r="G26" s="606">
        <v>2.6179717063723199E-2</v>
      </c>
      <c r="H26" s="604">
        <v>4.4256115768797066E-2</v>
      </c>
      <c r="I26" s="604"/>
      <c r="J26" s="604">
        <v>7.0000000000000007E-2</v>
      </c>
      <c r="K26" s="606">
        <v>2.3669684847292156E-2</v>
      </c>
      <c r="L26" s="604">
        <v>4.0246160801410337E-2</v>
      </c>
      <c r="M26" s="607">
        <f t="shared" si="0"/>
        <v>43.07</v>
      </c>
      <c r="N26" s="608">
        <f t="shared" ca="1" si="1"/>
        <v>4.4256115768797066E-2</v>
      </c>
      <c r="O26" s="608">
        <f t="shared" ca="1" si="2"/>
        <v>4.0246160801410337E-2</v>
      </c>
    </row>
    <row r="27" spans="1:15" hidden="1">
      <c r="A27" s="604" t="s">
        <v>129</v>
      </c>
      <c r="B27" s="604" t="s">
        <v>246</v>
      </c>
      <c r="C27" s="604" t="s">
        <v>697</v>
      </c>
      <c r="D27" s="605" t="s">
        <v>704</v>
      </c>
      <c r="E27" s="605">
        <v>46</v>
      </c>
      <c r="F27" s="604">
        <v>0</v>
      </c>
      <c r="G27" s="606">
        <v>0</v>
      </c>
      <c r="H27" s="604">
        <v>0</v>
      </c>
      <c r="I27" s="604"/>
      <c r="J27" s="604">
        <v>0</v>
      </c>
      <c r="K27" s="606">
        <v>0</v>
      </c>
      <c r="L27" s="604">
        <v>0</v>
      </c>
      <c r="M27" s="607">
        <f t="shared" si="0"/>
        <v>46.07</v>
      </c>
      <c r="N27" s="608">
        <f t="shared" ca="1" si="1"/>
        <v>0</v>
      </c>
      <c r="O27" s="608">
        <f t="shared" ca="1" si="2"/>
        <v>0</v>
      </c>
    </row>
    <row r="28" spans="1:15" hidden="1">
      <c r="A28" s="591" t="s">
        <v>96</v>
      </c>
      <c r="B28" s="591" t="s">
        <v>247</v>
      </c>
      <c r="C28" s="591" t="s">
        <v>697</v>
      </c>
      <c r="D28" s="612" t="s">
        <v>705</v>
      </c>
      <c r="E28" s="612">
        <v>43</v>
      </c>
      <c r="F28" s="591">
        <v>0.04</v>
      </c>
      <c r="G28" s="613">
        <v>1.0466752052240048E-2</v>
      </c>
      <c r="H28" s="591">
        <v>1.6437985856981766E-2</v>
      </c>
      <c r="J28" s="591">
        <v>0.04</v>
      </c>
      <c r="K28" s="613">
        <v>8.791597228994228E-3</v>
      </c>
      <c r="L28" s="591">
        <v>1.6647223260909085E-2</v>
      </c>
      <c r="M28" s="607">
        <f t="shared" si="0"/>
        <v>43.08</v>
      </c>
      <c r="N28" s="608">
        <f t="shared" ca="1" si="1"/>
        <v>1.6437985856981766E-2</v>
      </c>
      <c r="O28" s="608">
        <f t="shared" ca="1" si="2"/>
        <v>1.6647223260909085E-2</v>
      </c>
    </row>
    <row r="29" spans="1:15" hidden="1">
      <c r="A29" s="604" t="s">
        <v>92</v>
      </c>
      <c r="B29" s="604" t="s">
        <v>247</v>
      </c>
      <c r="C29" s="604" t="s">
        <v>697</v>
      </c>
      <c r="D29" s="605" t="s">
        <v>706</v>
      </c>
      <c r="E29" s="605">
        <v>43</v>
      </c>
      <c r="F29" s="604">
        <v>0.02</v>
      </c>
      <c r="G29" s="606">
        <v>1.4894993305110838E-2</v>
      </c>
      <c r="H29" s="604">
        <v>2.3392518334935587E-2</v>
      </c>
      <c r="I29" s="604"/>
      <c r="J29" s="604">
        <v>0.02</v>
      </c>
      <c r="K29" s="606">
        <v>1.2511119133568709E-2</v>
      </c>
      <c r="L29" s="604">
        <v>2.369027925590908E-2</v>
      </c>
      <c r="M29" s="607">
        <f t="shared" si="0"/>
        <v>43.09</v>
      </c>
      <c r="N29" s="608">
        <f t="shared" ca="1" si="1"/>
        <v>2.3392518334935587E-2</v>
      </c>
      <c r="O29" s="608">
        <f t="shared" ca="1" si="2"/>
        <v>2.369027925590908E-2</v>
      </c>
    </row>
    <row r="30" spans="1:15" hidden="1">
      <c r="A30" s="591" t="s">
        <v>637</v>
      </c>
      <c r="B30" s="591" t="s">
        <v>244</v>
      </c>
      <c r="C30" s="591" t="s">
        <v>697</v>
      </c>
      <c r="D30" s="612" t="s">
        <v>707</v>
      </c>
      <c r="E30" s="612">
        <v>36</v>
      </c>
      <c r="F30" s="591">
        <v>0</v>
      </c>
      <c r="G30" s="613">
        <v>0</v>
      </c>
      <c r="H30" s="591">
        <v>0</v>
      </c>
      <c r="J30" s="591">
        <v>0</v>
      </c>
      <c r="K30" s="613">
        <v>0</v>
      </c>
      <c r="L30" s="591">
        <v>0</v>
      </c>
      <c r="M30" s="607">
        <f t="shared" si="0"/>
        <v>36.1</v>
      </c>
      <c r="N30" s="608">
        <f t="shared" ca="1" si="1"/>
        <v>0</v>
      </c>
      <c r="O30" s="608">
        <f t="shared" ca="1" si="2"/>
        <v>0</v>
      </c>
    </row>
    <row r="31" spans="1:15" hidden="1">
      <c r="A31" s="591" t="s">
        <v>637</v>
      </c>
      <c r="B31" s="591" t="s">
        <v>663</v>
      </c>
      <c r="C31" s="591" t="s">
        <v>697</v>
      </c>
      <c r="D31" s="612" t="s">
        <v>707</v>
      </c>
      <c r="E31" s="612">
        <v>37</v>
      </c>
      <c r="F31" s="591">
        <v>0</v>
      </c>
      <c r="G31" s="613">
        <v>0</v>
      </c>
      <c r="H31" s="591">
        <v>0</v>
      </c>
      <c r="J31" s="591">
        <v>0</v>
      </c>
      <c r="K31" s="613">
        <v>0</v>
      </c>
      <c r="L31" s="591">
        <v>0</v>
      </c>
      <c r="M31" s="607">
        <f t="shared" si="0"/>
        <v>37.1</v>
      </c>
      <c r="N31" s="608">
        <f t="shared" ca="1" si="1"/>
        <v>0</v>
      </c>
      <c r="O31" s="608">
        <f t="shared" ca="1" si="2"/>
        <v>0</v>
      </c>
    </row>
    <row r="32" spans="1:15" hidden="1">
      <c r="A32" s="591" t="s">
        <v>637</v>
      </c>
      <c r="B32" s="591" t="s">
        <v>576</v>
      </c>
      <c r="C32" s="591" t="s">
        <v>697</v>
      </c>
      <c r="D32" s="612" t="s">
        <v>707</v>
      </c>
      <c r="E32" s="612">
        <v>39</v>
      </c>
      <c r="F32" s="591">
        <v>0</v>
      </c>
      <c r="G32" s="613">
        <v>0.4</v>
      </c>
      <c r="H32" s="591">
        <v>0.4</v>
      </c>
      <c r="J32" s="591">
        <v>0</v>
      </c>
      <c r="K32" s="613">
        <v>0.4</v>
      </c>
      <c r="L32" s="591">
        <v>0.4</v>
      </c>
      <c r="M32" s="607">
        <f t="shared" si="0"/>
        <v>39.1</v>
      </c>
      <c r="N32" s="608">
        <f t="shared" ca="1" si="1"/>
        <v>0.4</v>
      </c>
      <c r="O32" s="608">
        <f t="shared" ca="1" si="2"/>
        <v>0.4</v>
      </c>
    </row>
    <row r="33" spans="1:15" hidden="1">
      <c r="A33" s="591" t="s">
        <v>637</v>
      </c>
      <c r="B33" s="591" t="s">
        <v>665</v>
      </c>
      <c r="C33" s="591" t="s">
        <v>697</v>
      </c>
      <c r="D33" s="612" t="s">
        <v>707</v>
      </c>
      <c r="E33" s="612">
        <v>41</v>
      </c>
      <c r="F33" s="591">
        <v>0</v>
      </c>
      <c r="G33" s="613">
        <v>0.1417335505602203</v>
      </c>
      <c r="H33" s="591">
        <v>0.13061960824521357</v>
      </c>
      <c r="J33" s="591">
        <v>0</v>
      </c>
      <c r="K33" s="613">
        <v>7.0547024426865779E-3</v>
      </c>
      <c r="L33" s="591">
        <v>0.31</v>
      </c>
      <c r="M33" s="607">
        <f t="shared" si="0"/>
        <v>41.1</v>
      </c>
      <c r="N33" s="608">
        <f t="shared" ref="N33:N48" ca="1" si="3">OFFSET($E33,0,RegIndex)</f>
        <v>0.13061960824521357</v>
      </c>
      <c r="O33" s="608">
        <f t="shared" ref="O33:O61" ca="1" si="4">OFFSET($I33,0,RegIndex)</f>
        <v>0.31</v>
      </c>
    </row>
    <row r="34" spans="1:15" hidden="1">
      <c r="A34" s="591" t="s">
        <v>637</v>
      </c>
      <c r="B34" s="591" t="s">
        <v>588</v>
      </c>
      <c r="C34" s="591" t="s">
        <v>697</v>
      </c>
      <c r="D34" s="612" t="s">
        <v>707</v>
      </c>
      <c r="E34" s="612">
        <v>42</v>
      </c>
      <c r="F34" s="591">
        <v>0</v>
      </c>
      <c r="G34" s="613">
        <v>0.11</v>
      </c>
      <c r="H34" s="591">
        <v>0</v>
      </c>
      <c r="J34" s="591">
        <v>0</v>
      </c>
      <c r="K34" s="613">
        <v>0.1112675521075956</v>
      </c>
      <c r="L34" s="591">
        <v>0</v>
      </c>
      <c r="M34" s="607">
        <f t="shared" si="0"/>
        <v>42.1</v>
      </c>
      <c r="N34" s="608">
        <f t="shared" ca="1" si="3"/>
        <v>0</v>
      </c>
      <c r="O34" s="608">
        <f t="shared" ca="1" si="4"/>
        <v>0</v>
      </c>
    </row>
    <row r="35" spans="1:15" hidden="1">
      <c r="A35" s="591" t="s">
        <v>639</v>
      </c>
      <c r="B35" s="591" t="s">
        <v>247</v>
      </c>
      <c r="C35" s="591" t="s">
        <v>697</v>
      </c>
      <c r="D35" s="612" t="s">
        <v>708</v>
      </c>
      <c r="E35" s="612">
        <v>43</v>
      </c>
      <c r="F35" s="591">
        <v>0.31</v>
      </c>
      <c r="G35" s="613">
        <v>0.21558387156214198</v>
      </c>
      <c r="H35" s="591">
        <v>0.33857347666637805</v>
      </c>
      <c r="J35" s="591">
        <v>0.31</v>
      </c>
      <c r="K35" s="613">
        <v>0.19427273939496165</v>
      </c>
      <c r="L35" s="591">
        <v>0.3724360970275955</v>
      </c>
      <c r="M35" s="607">
        <f t="shared" si="0"/>
        <v>43.11</v>
      </c>
      <c r="N35" s="608">
        <f t="shared" ca="1" si="3"/>
        <v>0.33857347666637805</v>
      </c>
      <c r="O35" s="608">
        <f t="shared" ca="1" si="4"/>
        <v>0.3724360970275955</v>
      </c>
    </row>
    <row r="36" spans="1:15" hidden="1">
      <c r="A36" s="604" t="s">
        <v>130</v>
      </c>
      <c r="B36" s="604" t="s">
        <v>576</v>
      </c>
      <c r="C36" s="604" t="s">
        <v>697</v>
      </c>
      <c r="D36" s="605" t="s">
        <v>709</v>
      </c>
      <c r="E36" s="605">
        <v>39</v>
      </c>
      <c r="F36" s="604">
        <v>0.03</v>
      </c>
      <c r="G36" s="606">
        <v>0</v>
      </c>
      <c r="H36" s="604">
        <v>0</v>
      </c>
      <c r="I36" s="604"/>
      <c r="J36" s="604">
        <v>0.03</v>
      </c>
      <c r="K36" s="606">
        <v>0</v>
      </c>
      <c r="L36" s="604">
        <v>0</v>
      </c>
      <c r="M36" s="607">
        <f t="shared" ref="M36:M67" si="5">E36+(CODE(D36)-O$1)/100</f>
        <v>39.119999999999997</v>
      </c>
      <c r="N36" s="608">
        <f t="shared" ca="1" si="3"/>
        <v>0</v>
      </c>
      <c r="O36" s="608">
        <f t="shared" ca="1" si="4"/>
        <v>0</v>
      </c>
    </row>
    <row r="37" spans="1:15" hidden="1">
      <c r="A37" s="604" t="s">
        <v>130</v>
      </c>
      <c r="B37" s="604" t="s">
        <v>247</v>
      </c>
      <c r="C37" s="604" t="s">
        <v>697</v>
      </c>
      <c r="D37" s="605" t="s">
        <v>709</v>
      </c>
      <c r="E37" s="605">
        <v>43</v>
      </c>
      <c r="F37" s="604">
        <v>0.09</v>
      </c>
      <c r="G37" s="606">
        <v>0.10107991847344228</v>
      </c>
      <c r="H37" s="604">
        <v>0.15874554608711844</v>
      </c>
      <c r="I37" s="604"/>
      <c r="J37" s="604">
        <v>0.09</v>
      </c>
      <c r="K37" s="606">
        <v>6.4922564152572762E-2</v>
      </c>
      <c r="L37" s="604">
        <v>0.12293334100363632</v>
      </c>
      <c r="M37" s="607">
        <f t="shared" si="5"/>
        <v>43.12</v>
      </c>
      <c r="N37" s="608">
        <f t="shared" ca="1" si="3"/>
        <v>0.15874554608711844</v>
      </c>
      <c r="O37" s="608">
        <f t="shared" ca="1" si="4"/>
        <v>0.12293334100363632</v>
      </c>
    </row>
    <row r="38" spans="1:15" hidden="1">
      <c r="A38" s="591" t="s">
        <v>252</v>
      </c>
      <c r="B38" s="591" t="s">
        <v>244</v>
      </c>
      <c r="C38" s="591" t="s">
        <v>697</v>
      </c>
      <c r="D38" s="612" t="s">
        <v>700</v>
      </c>
      <c r="E38" s="612">
        <v>52</v>
      </c>
      <c r="F38" s="591">
        <v>0</v>
      </c>
      <c r="G38" s="613">
        <v>0.88155684580208871</v>
      </c>
      <c r="H38" s="591">
        <v>0.346211257813829</v>
      </c>
      <c r="J38" s="591">
        <v>0</v>
      </c>
      <c r="K38" s="613">
        <v>0.83960782777124665</v>
      </c>
      <c r="L38" s="591">
        <v>0.57566015223136568</v>
      </c>
      <c r="M38" s="607">
        <f t="shared" si="5"/>
        <v>52.03</v>
      </c>
      <c r="N38" s="608">
        <f t="shared" ca="1" si="3"/>
        <v>0.346211257813829</v>
      </c>
      <c r="O38" s="608">
        <f t="shared" ca="1" si="4"/>
        <v>0.57566015223136568</v>
      </c>
    </row>
    <row r="39" spans="1:15" hidden="1">
      <c r="A39" s="591" t="s">
        <v>252</v>
      </c>
      <c r="B39" s="591" t="s">
        <v>663</v>
      </c>
      <c r="C39" s="591" t="s">
        <v>697</v>
      </c>
      <c r="D39" s="612" t="s">
        <v>700</v>
      </c>
      <c r="E39" s="612">
        <v>53</v>
      </c>
      <c r="F39" s="591">
        <v>0</v>
      </c>
      <c r="G39" s="613">
        <v>0.17509148539368405</v>
      </c>
      <c r="H39" s="591">
        <v>0.34621125781382911</v>
      </c>
      <c r="J39" s="591">
        <v>0</v>
      </c>
      <c r="K39" s="613">
        <v>0.10891481297940424</v>
      </c>
      <c r="L39" s="591">
        <v>0.36665694362890427</v>
      </c>
      <c r="M39" s="607">
        <f t="shared" si="5"/>
        <v>53.03</v>
      </c>
      <c r="N39" s="608">
        <f t="shared" ca="1" si="3"/>
        <v>0.34621125781382911</v>
      </c>
      <c r="O39" s="608">
        <f t="shared" ca="1" si="4"/>
        <v>0.36665694362890427</v>
      </c>
    </row>
    <row r="40" spans="1:15" hidden="1">
      <c r="A40" s="591" t="s">
        <v>252</v>
      </c>
      <c r="B40" s="591" t="s">
        <v>574</v>
      </c>
      <c r="C40" s="591" t="s">
        <v>697</v>
      </c>
      <c r="D40" s="612" t="s">
        <v>700</v>
      </c>
      <c r="E40" s="612">
        <v>54</v>
      </c>
      <c r="F40" s="591">
        <v>0</v>
      </c>
      <c r="G40" s="613">
        <v>1</v>
      </c>
      <c r="H40" s="591">
        <v>0</v>
      </c>
      <c r="J40" s="591">
        <v>0</v>
      </c>
      <c r="K40" s="613">
        <v>1</v>
      </c>
      <c r="L40" s="591">
        <v>0</v>
      </c>
      <c r="M40" s="607">
        <f t="shared" si="5"/>
        <v>54.03</v>
      </c>
      <c r="N40" s="608">
        <f t="shared" ca="1" si="3"/>
        <v>0</v>
      </c>
      <c r="O40" s="608">
        <f t="shared" ca="1" si="4"/>
        <v>0</v>
      </c>
    </row>
    <row r="41" spans="1:15" hidden="1">
      <c r="A41" s="591" t="s">
        <v>252</v>
      </c>
      <c r="B41" s="591" t="s">
        <v>576</v>
      </c>
      <c r="C41" s="591" t="s">
        <v>697</v>
      </c>
      <c r="D41" s="612" t="s">
        <v>700</v>
      </c>
      <c r="E41" s="612">
        <v>55</v>
      </c>
      <c r="F41" s="591">
        <v>0</v>
      </c>
      <c r="G41" s="613">
        <v>0</v>
      </c>
      <c r="H41" s="591">
        <v>0</v>
      </c>
      <c r="J41" s="591">
        <v>0</v>
      </c>
      <c r="K41" s="613">
        <v>0</v>
      </c>
      <c r="L41" s="591">
        <v>0</v>
      </c>
      <c r="M41" s="607">
        <f t="shared" si="5"/>
        <v>55.03</v>
      </c>
      <c r="N41" s="608">
        <f t="shared" ca="1" si="3"/>
        <v>0</v>
      </c>
      <c r="O41" s="608">
        <f t="shared" ca="1" si="4"/>
        <v>0</v>
      </c>
    </row>
    <row r="42" spans="1:15" hidden="1">
      <c r="A42" s="591" t="s">
        <v>252</v>
      </c>
      <c r="B42" s="591" t="s">
        <v>664</v>
      </c>
      <c r="C42" s="591" t="s">
        <v>697</v>
      </c>
      <c r="D42" s="612" t="s">
        <v>700</v>
      </c>
      <c r="E42" s="612">
        <v>56</v>
      </c>
      <c r="F42" s="591">
        <v>0</v>
      </c>
      <c r="G42" s="613">
        <v>9.2715231788079472E-2</v>
      </c>
      <c r="H42" s="591">
        <v>0</v>
      </c>
      <c r="J42" s="591">
        <v>0</v>
      </c>
      <c r="K42" s="613">
        <v>0.12</v>
      </c>
      <c r="L42" s="591">
        <v>0</v>
      </c>
      <c r="M42" s="607">
        <f t="shared" si="5"/>
        <v>56.03</v>
      </c>
      <c r="N42" s="608">
        <f t="shared" ca="1" si="3"/>
        <v>0</v>
      </c>
      <c r="O42" s="608">
        <f t="shared" ca="1" si="4"/>
        <v>0</v>
      </c>
    </row>
    <row r="43" spans="1:15" hidden="1">
      <c r="A43" s="591" t="s">
        <v>252</v>
      </c>
      <c r="B43" s="591" t="s">
        <v>665</v>
      </c>
      <c r="C43" s="591" t="s">
        <v>697</v>
      </c>
      <c r="D43" s="612" t="s">
        <v>700</v>
      </c>
      <c r="E43" s="612">
        <v>57</v>
      </c>
      <c r="F43" s="591">
        <v>0</v>
      </c>
      <c r="G43" s="613">
        <v>0</v>
      </c>
      <c r="H43" s="591">
        <v>0</v>
      </c>
      <c r="J43" s="591">
        <v>0</v>
      </c>
      <c r="K43" s="613">
        <v>0</v>
      </c>
      <c r="L43" s="591">
        <v>0</v>
      </c>
      <c r="M43" s="607">
        <f t="shared" si="5"/>
        <v>57.03</v>
      </c>
      <c r="N43" s="608">
        <f t="shared" ca="1" si="3"/>
        <v>0</v>
      </c>
      <c r="O43" s="608">
        <f t="shared" ca="1" si="4"/>
        <v>0</v>
      </c>
    </row>
    <row r="44" spans="1:15" hidden="1">
      <c r="A44" s="591" t="s">
        <v>252</v>
      </c>
      <c r="B44" s="591" t="s">
        <v>588</v>
      </c>
      <c r="C44" s="591" t="s">
        <v>697</v>
      </c>
      <c r="D44" s="612" t="s">
        <v>700</v>
      </c>
      <c r="E44" s="612">
        <v>58</v>
      </c>
      <c r="F44" s="591">
        <v>0</v>
      </c>
      <c r="G44" s="613">
        <v>1.4528337119925291E-2</v>
      </c>
      <c r="H44" s="591">
        <v>0.21434292643312455</v>
      </c>
      <c r="J44" s="591">
        <v>0</v>
      </c>
      <c r="K44" s="613">
        <v>1.4668632575095594E-2</v>
      </c>
      <c r="L44" s="591">
        <v>0.1783688268030019</v>
      </c>
      <c r="M44" s="607">
        <f t="shared" si="5"/>
        <v>58.03</v>
      </c>
      <c r="N44" s="608">
        <f t="shared" ca="1" si="3"/>
        <v>0.21434292643312455</v>
      </c>
      <c r="O44" s="608">
        <f t="shared" ca="1" si="4"/>
        <v>0.1783688268030019</v>
      </c>
    </row>
    <row r="45" spans="1:15" hidden="1">
      <c r="A45" s="591" t="s">
        <v>252</v>
      </c>
      <c r="B45" s="591" t="s">
        <v>247</v>
      </c>
      <c r="C45" s="591" t="s">
        <v>697</v>
      </c>
      <c r="D45" s="612" t="s">
        <v>700</v>
      </c>
      <c r="E45" s="612">
        <v>59</v>
      </c>
      <c r="F45" s="591">
        <v>0</v>
      </c>
      <c r="G45" s="613">
        <v>0.2060987691558484</v>
      </c>
      <c r="H45" s="591">
        <v>0.17145820904627349</v>
      </c>
      <c r="J45" s="591">
        <v>0</v>
      </c>
      <c r="K45" s="613">
        <v>0.21116363525712814</v>
      </c>
      <c r="L45" s="591">
        <v>0.17012806807205136</v>
      </c>
      <c r="M45" s="607">
        <f t="shared" si="5"/>
        <v>59.03</v>
      </c>
      <c r="N45" s="608">
        <f t="shared" ca="1" si="3"/>
        <v>0.17145820904627349</v>
      </c>
      <c r="O45" s="608">
        <f t="shared" ca="1" si="4"/>
        <v>0.17012806807205136</v>
      </c>
    </row>
    <row r="46" spans="1:15" hidden="1">
      <c r="A46" s="591" t="s">
        <v>252</v>
      </c>
      <c r="B46" s="591" t="s">
        <v>646</v>
      </c>
      <c r="C46" s="591" t="s">
        <v>697</v>
      </c>
      <c r="D46" s="612" t="s">
        <v>700</v>
      </c>
      <c r="E46" s="612">
        <v>60</v>
      </c>
      <c r="F46" s="591">
        <v>0</v>
      </c>
      <c r="G46" s="613">
        <v>0.86216827212233582</v>
      </c>
      <c r="H46" s="591">
        <v>0.93542551188215894</v>
      </c>
      <c r="J46" s="591">
        <v>0</v>
      </c>
      <c r="K46" s="613">
        <v>0.85521435582475847</v>
      </c>
      <c r="L46" s="591">
        <v>0.93549374822360909</v>
      </c>
      <c r="M46" s="607">
        <f t="shared" si="5"/>
        <v>60.03</v>
      </c>
      <c r="N46" s="608">
        <f t="shared" ca="1" si="3"/>
        <v>0.93542551188215894</v>
      </c>
      <c r="O46" s="608">
        <f t="shared" ca="1" si="4"/>
        <v>0.93549374822360909</v>
      </c>
    </row>
    <row r="47" spans="1:15" hidden="1">
      <c r="A47" s="591" t="s">
        <v>252</v>
      </c>
      <c r="B47" s="591" t="s">
        <v>245</v>
      </c>
      <c r="C47" s="591" t="s">
        <v>697</v>
      </c>
      <c r="D47" s="612" t="s">
        <v>700</v>
      </c>
      <c r="E47" s="612">
        <v>61</v>
      </c>
      <c r="F47" s="591">
        <v>0</v>
      </c>
      <c r="G47" s="613">
        <v>0</v>
      </c>
      <c r="H47" s="591">
        <v>0</v>
      </c>
      <c r="J47" s="591">
        <v>0</v>
      </c>
      <c r="K47" s="613">
        <v>0</v>
      </c>
      <c r="L47" s="591">
        <v>0</v>
      </c>
      <c r="M47" s="607">
        <f t="shared" si="5"/>
        <v>61.03</v>
      </c>
      <c r="N47" s="608">
        <f t="shared" ca="1" si="3"/>
        <v>0</v>
      </c>
      <c r="O47" s="608">
        <f t="shared" ca="1" si="4"/>
        <v>0</v>
      </c>
    </row>
    <row r="48" spans="1:15" hidden="1">
      <c r="A48" s="591" t="s">
        <v>252</v>
      </c>
      <c r="B48" s="591" t="s">
        <v>246</v>
      </c>
      <c r="C48" s="591" t="s">
        <v>697</v>
      </c>
      <c r="D48" s="612" t="s">
        <v>700</v>
      </c>
      <c r="E48" s="612">
        <v>62</v>
      </c>
      <c r="F48" s="591">
        <v>0</v>
      </c>
      <c r="G48" s="613">
        <v>0</v>
      </c>
      <c r="H48" s="591">
        <v>0</v>
      </c>
      <c r="J48" s="591">
        <v>0</v>
      </c>
      <c r="K48" s="613">
        <v>0</v>
      </c>
      <c r="L48" s="591">
        <v>0</v>
      </c>
      <c r="M48" s="607">
        <f t="shared" si="5"/>
        <v>62.03</v>
      </c>
      <c r="N48" s="608">
        <f t="shared" ca="1" si="3"/>
        <v>0</v>
      </c>
      <c r="O48" s="608">
        <f t="shared" ca="1" si="4"/>
        <v>0</v>
      </c>
    </row>
    <row r="49" spans="1:15" hidden="1">
      <c r="A49" s="591" t="s">
        <v>710</v>
      </c>
      <c r="B49" s="591" t="s">
        <v>244</v>
      </c>
      <c r="C49" s="591" t="s">
        <v>697</v>
      </c>
      <c r="D49" s="612" t="s">
        <v>700</v>
      </c>
      <c r="E49" s="612">
        <v>127</v>
      </c>
      <c r="F49" s="591">
        <v>5.0000000000000001E-3</v>
      </c>
      <c r="G49" s="613">
        <v>0</v>
      </c>
      <c r="H49" s="591">
        <v>0</v>
      </c>
      <c r="J49" s="591">
        <v>5.0000000000000001E-3</v>
      </c>
      <c r="K49" s="613">
        <v>0</v>
      </c>
      <c r="L49" s="591">
        <v>0</v>
      </c>
      <c r="M49" s="607">
        <f t="shared" si="5"/>
        <v>127.03</v>
      </c>
      <c r="N49" s="614">
        <f ca="1">OFFSET($E49,0,RegIndex)</f>
        <v>0</v>
      </c>
      <c r="O49" s="614">
        <f t="shared" ca="1" si="4"/>
        <v>0</v>
      </c>
    </row>
    <row r="50" spans="1:15" hidden="1">
      <c r="A50" s="591" t="s">
        <v>710</v>
      </c>
      <c r="B50" s="591" t="s">
        <v>663</v>
      </c>
      <c r="C50" s="591" t="s">
        <v>697</v>
      </c>
      <c r="D50" s="612" t="s">
        <v>700</v>
      </c>
      <c r="E50" s="612">
        <v>128</v>
      </c>
      <c r="F50" s="591">
        <v>5.0000000000000001E-3</v>
      </c>
      <c r="G50" s="613">
        <v>0</v>
      </c>
      <c r="H50" s="591">
        <v>0</v>
      </c>
      <c r="J50" s="591">
        <v>5.0000000000000001E-3</v>
      </c>
      <c r="K50" s="613">
        <v>0</v>
      </c>
      <c r="L50" s="591">
        <v>0</v>
      </c>
      <c r="M50" s="607">
        <f t="shared" si="5"/>
        <v>128.03</v>
      </c>
      <c r="N50" s="614">
        <f ca="1">OFFSET($E50,0,RegIndex)</f>
        <v>0</v>
      </c>
      <c r="O50" s="614">
        <f t="shared" ca="1" si="4"/>
        <v>0</v>
      </c>
    </row>
    <row r="51" spans="1:15" hidden="1">
      <c r="A51" s="591" t="s">
        <v>710</v>
      </c>
      <c r="B51" s="591" t="s">
        <v>247</v>
      </c>
      <c r="C51" s="591" t="s">
        <v>697</v>
      </c>
      <c r="D51" s="612" t="s">
        <v>700</v>
      </c>
      <c r="E51" s="612">
        <v>134</v>
      </c>
      <c r="F51" s="591">
        <v>0.1</v>
      </c>
      <c r="G51" s="613">
        <v>3.7689326345115071E-2</v>
      </c>
      <c r="H51" s="591">
        <v>4.3572103949758967E-2</v>
      </c>
      <c r="J51" s="591">
        <v>0.1</v>
      </c>
      <c r="K51" s="613">
        <v>3.8944028267780741E-2</v>
      </c>
      <c r="L51" s="591">
        <v>4.3521211980094662E-2</v>
      </c>
      <c r="M51" s="607">
        <f t="shared" si="5"/>
        <v>134.03</v>
      </c>
      <c r="N51" s="614">
        <f ca="1">OFFSET($E51,0,RegIndex)</f>
        <v>4.3572103949758967E-2</v>
      </c>
      <c r="O51" s="614">
        <f t="shared" ca="1" si="4"/>
        <v>4.3521211980094662E-2</v>
      </c>
    </row>
    <row r="52" spans="1:15" hidden="1">
      <c r="A52" s="591" t="s">
        <v>710</v>
      </c>
      <c r="B52" s="591" t="s">
        <v>414</v>
      </c>
      <c r="C52" s="591" t="s">
        <v>697</v>
      </c>
      <c r="D52" s="612" t="s">
        <v>700</v>
      </c>
      <c r="E52" s="612">
        <v>135</v>
      </c>
      <c r="G52" s="613">
        <v>1.9380065892224034E-3</v>
      </c>
      <c r="H52" s="591">
        <v>1.883194840046138E-2</v>
      </c>
      <c r="K52" s="613">
        <v>3.1271423932261286E-3</v>
      </c>
      <c r="L52" s="591">
        <v>2.7873010563871006E-3</v>
      </c>
      <c r="M52" s="607">
        <f t="shared" si="5"/>
        <v>135.03</v>
      </c>
      <c r="N52" s="614">
        <f ca="1">OFFSET($E52,0,RegIndex)</f>
        <v>1.883194840046138E-2</v>
      </c>
      <c r="O52" s="614">
        <f t="shared" ca="1" si="4"/>
        <v>2.7873010563871006E-3</v>
      </c>
    </row>
    <row r="53" spans="1:15" hidden="1">
      <c r="A53" s="591" t="s">
        <v>710</v>
      </c>
      <c r="B53" s="591" t="s">
        <v>245</v>
      </c>
      <c r="C53" s="591" t="s">
        <v>697</v>
      </c>
      <c r="D53" s="612" t="s">
        <v>700</v>
      </c>
      <c r="E53" s="612">
        <v>136</v>
      </c>
      <c r="F53" s="591">
        <v>0.1409</v>
      </c>
      <c r="G53" s="613">
        <v>0</v>
      </c>
      <c r="H53" s="591">
        <v>0</v>
      </c>
      <c r="J53" s="591">
        <v>0.1409</v>
      </c>
      <c r="K53" s="613">
        <v>0.5</v>
      </c>
      <c r="L53" s="591">
        <v>0.5</v>
      </c>
      <c r="M53" s="607">
        <f t="shared" si="5"/>
        <v>136.03</v>
      </c>
      <c r="N53" s="614">
        <f ca="1">OFFSET($E53,0,RegIndex)</f>
        <v>0</v>
      </c>
      <c r="O53" s="614">
        <f t="shared" ca="1" si="4"/>
        <v>0.5</v>
      </c>
    </row>
    <row r="54" spans="1:15" hidden="1">
      <c r="A54" s="591" t="s">
        <v>235</v>
      </c>
      <c r="B54" s="591" t="s">
        <v>244</v>
      </c>
      <c r="C54" s="591" t="s">
        <v>697</v>
      </c>
      <c r="D54" s="612" t="s">
        <v>701</v>
      </c>
      <c r="E54" s="612">
        <v>127</v>
      </c>
      <c r="F54" s="591">
        <v>0.27</v>
      </c>
      <c r="G54" s="613">
        <v>0.18</v>
      </c>
      <c r="H54" s="591">
        <v>0.18</v>
      </c>
      <c r="J54" s="591">
        <v>0.27</v>
      </c>
      <c r="K54" s="613">
        <v>0.18</v>
      </c>
      <c r="L54" s="591">
        <v>0.18</v>
      </c>
      <c r="M54" s="607">
        <f t="shared" si="5"/>
        <v>127.04</v>
      </c>
      <c r="N54" s="614">
        <f t="shared" ref="N54:N76" ca="1" si="6">OFFSET($E54,0,RegIndex)</f>
        <v>0.18</v>
      </c>
      <c r="O54" s="614">
        <f t="shared" ca="1" si="4"/>
        <v>0.18</v>
      </c>
    </row>
    <row r="55" spans="1:15" hidden="1">
      <c r="A55" s="591" t="s">
        <v>235</v>
      </c>
      <c r="B55" s="591" t="s">
        <v>663</v>
      </c>
      <c r="C55" s="591" t="s">
        <v>697</v>
      </c>
      <c r="D55" s="612" t="s">
        <v>701</v>
      </c>
      <c r="E55" s="612">
        <v>128</v>
      </c>
      <c r="F55" s="591">
        <v>0.29499999999999998</v>
      </c>
      <c r="G55" s="613">
        <v>0.18797322336921182</v>
      </c>
      <c r="H55" s="591">
        <v>0.18797322336921182</v>
      </c>
      <c r="J55" s="591">
        <v>0.29499999999999998</v>
      </c>
      <c r="K55" s="613">
        <v>0.18767793953764489</v>
      </c>
      <c r="L55" s="591">
        <v>0.2</v>
      </c>
      <c r="M55" s="607">
        <f t="shared" si="5"/>
        <v>128.04</v>
      </c>
      <c r="N55" s="614">
        <f t="shared" ca="1" si="6"/>
        <v>0.18797322336921182</v>
      </c>
      <c r="O55" s="614">
        <f t="shared" ca="1" si="4"/>
        <v>0.2</v>
      </c>
    </row>
    <row r="56" spans="1:15" hidden="1">
      <c r="A56" s="591" t="s">
        <v>235</v>
      </c>
      <c r="B56" s="591" t="s">
        <v>87</v>
      </c>
      <c r="C56" s="591" t="s">
        <v>697</v>
      </c>
      <c r="D56" s="612" t="s">
        <v>701</v>
      </c>
      <c r="E56" s="612">
        <v>129</v>
      </c>
      <c r="F56" s="591">
        <v>0</v>
      </c>
      <c r="G56" s="613">
        <v>0.2</v>
      </c>
      <c r="H56" s="591">
        <v>0.2</v>
      </c>
      <c r="J56" s="591">
        <v>0</v>
      </c>
      <c r="K56" s="613">
        <v>0.2</v>
      </c>
      <c r="L56" s="591">
        <v>0.2</v>
      </c>
      <c r="M56" s="607">
        <f t="shared" si="5"/>
        <v>129.04</v>
      </c>
      <c r="N56" s="614">
        <f t="shared" ca="1" si="6"/>
        <v>0.2</v>
      </c>
      <c r="O56" s="614">
        <f t="shared" ca="1" si="4"/>
        <v>0.2</v>
      </c>
    </row>
    <row r="57" spans="1:15" hidden="1">
      <c r="A57" s="591" t="s">
        <v>235</v>
      </c>
      <c r="B57" s="591" t="s">
        <v>576</v>
      </c>
      <c r="C57" s="591" t="s">
        <v>697</v>
      </c>
      <c r="D57" s="612" t="s">
        <v>701</v>
      </c>
      <c r="E57" s="612">
        <v>130</v>
      </c>
      <c r="F57" s="591">
        <v>0.3</v>
      </c>
      <c r="G57" s="613">
        <v>0.2</v>
      </c>
      <c r="H57" s="591">
        <v>0.2</v>
      </c>
      <c r="J57" s="591">
        <v>0.3</v>
      </c>
      <c r="K57" s="613">
        <v>0.2</v>
      </c>
      <c r="L57" s="591">
        <v>0.2</v>
      </c>
      <c r="M57" s="607">
        <f t="shared" si="5"/>
        <v>130.04</v>
      </c>
      <c r="N57" s="614">
        <f t="shared" ca="1" si="6"/>
        <v>0.2</v>
      </c>
      <c r="O57" s="614">
        <f t="shared" ca="1" si="4"/>
        <v>0.2</v>
      </c>
    </row>
    <row r="58" spans="1:15" hidden="1">
      <c r="A58" s="591" t="s">
        <v>235</v>
      </c>
      <c r="B58" s="591" t="s">
        <v>412</v>
      </c>
      <c r="C58" s="591" t="s">
        <v>697</v>
      </c>
      <c r="D58" s="612" t="s">
        <v>701</v>
      </c>
      <c r="E58" s="612">
        <v>131</v>
      </c>
      <c r="F58" s="591">
        <v>0</v>
      </c>
      <c r="G58" s="613">
        <v>0.2</v>
      </c>
      <c r="H58" s="591">
        <v>0.2</v>
      </c>
      <c r="J58" s="591">
        <v>0</v>
      </c>
      <c r="K58" s="613">
        <v>0.2</v>
      </c>
      <c r="L58" s="591">
        <v>0.2</v>
      </c>
      <c r="M58" s="607">
        <f t="shared" si="5"/>
        <v>131.04</v>
      </c>
      <c r="N58" s="614">
        <f t="shared" ca="1" si="6"/>
        <v>0.2</v>
      </c>
      <c r="O58" s="614">
        <f t="shared" ca="1" si="4"/>
        <v>0.2</v>
      </c>
    </row>
    <row r="59" spans="1:15" hidden="1">
      <c r="A59" s="591" t="s">
        <v>235</v>
      </c>
      <c r="B59" s="591" t="s">
        <v>212</v>
      </c>
      <c r="C59" s="591" t="s">
        <v>697</v>
      </c>
      <c r="D59" s="612" t="s">
        <v>701</v>
      </c>
      <c r="E59" s="612">
        <v>132</v>
      </c>
      <c r="F59" s="591">
        <v>0.3</v>
      </c>
      <c r="G59" s="613">
        <v>0.3</v>
      </c>
      <c r="H59" s="591">
        <v>0.3</v>
      </c>
      <c r="J59" s="591">
        <v>0.3</v>
      </c>
      <c r="K59" s="613">
        <v>0.3</v>
      </c>
      <c r="L59" s="591">
        <v>0.3</v>
      </c>
      <c r="M59" s="607">
        <f t="shared" si="5"/>
        <v>132.04</v>
      </c>
      <c r="N59" s="614">
        <f t="shared" ca="1" si="6"/>
        <v>0.3</v>
      </c>
      <c r="O59" s="614">
        <f t="shared" ca="1" si="4"/>
        <v>0.3</v>
      </c>
    </row>
    <row r="60" spans="1:15" hidden="1">
      <c r="A60" s="591" t="s">
        <v>235</v>
      </c>
      <c r="B60" s="591" t="s">
        <v>588</v>
      </c>
      <c r="C60" s="591" t="s">
        <v>697</v>
      </c>
      <c r="D60" s="612" t="s">
        <v>701</v>
      </c>
      <c r="E60" s="612">
        <v>133</v>
      </c>
      <c r="F60" s="591">
        <v>0</v>
      </c>
      <c r="G60" s="613">
        <v>0</v>
      </c>
      <c r="H60" s="591">
        <v>0</v>
      </c>
      <c r="J60" s="591">
        <v>0</v>
      </c>
      <c r="K60" s="613">
        <v>0</v>
      </c>
      <c r="L60" s="591">
        <v>0</v>
      </c>
      <c r="M60" s="607">
        <f t="shared" si="5"/>
        <v>133.04</v>
      </c>
      <c r="N60" s="614">
        <f t="shared" ca="1" si="6"/>
        <v>0</v>
      </c>
      <c r="O60" s="614">
        <f t="shared" ca="1" si="4"/>
        <v>0</v>
      </c>
    </row>
    <row r="61" spans="1:15" hidden="1">
      <c r="A61" s="591" t="s">
        <v>235</v>
      </c>
      <c r="B61" s="591" t="s">
        <v>247</v>
      </c>
      <c r="C61" s="591" t="s">
        <v>697</v>
      </c>
      <c r="D61" s="612" t="s">
        <v>701</v>
      </c>
      <c r="E61" s="612">
        <v>134</v>
      </c>
      <c r="F61" s="591">
        <v>0.06</v>
      </c>
      <c r="G61" s="613">
        <v>3.4695937082828601E-2</v>
      </c>
      <c r="H61" s="591">
        <v>8.8942809221097749E-3</v>
      </c>
      <c r="J61" s="591">
        <v>0.06</v>
      </c>
      <c r="K61" s="613">
        <v>2.9192858474645863E-2</v>
      </c>
      <c r="L61" s="591">
        <v>9.5733658811429923E-3</v>
      </c>
      <c r="M61" s="607">
        <f t="shared" si="5"/>
        <v>134.04</v>
      </c>
      <c r="N61" s="614">
        <f t="shared" ca="1" si="6"/>
        <v>8.8942809221097749E-3</v>
      </c>
      <c r="O61" s="614">
        <f t="shared" ca="1" si="4"/>
        <v>9.5733658811429923E-3</v>
      </c>
    </row>
    <row r="62" spans="1:15" hidden="1">
      <c r="A62" s="591" t="s">
        <v>235</v>
      </c>
      <c r="B62" s="591" t="s">
        <v>414</v>
      </c>
      <c r="C62" s="591" t="s">
        <v>697</v>
      </c>
      <c r="D62" s="612" t="s">
        <v>701</v>
      </c>
      <c r="E62" s="612">
        <v>135</v>
      </c>
      <c r="F62" s="591">
        <v>0</v>
      </c>
      <c r="G62" s="613">
        <v>0.2</v>
      </c>
      <c r="H62" s="591">
        <v>0.2</v>
      </c>
      <c r="J62" s="591">
        <v>0</v>
      </c>
      <c r="K62" s="613">
        <v>0.2</v>
      </c>
      <c r="L62" s="591">
        <v>0.2</v>
      </c>
      <c r="M62" s="607">
        <f t="shared" si="5"/>
        <v>135.04</v>
      </c>
      <c r="N62" s="614">
        <f t="shared" ca="1" si="6"/>
        <v>0.2</v>
      </c>
      <c r="O62" s="614">
        <f t="shared" ref="O62:O76" ca="1" si="7">OFFSET($I62,0,RegIndex)</f>
        <v>0.2</v>
      </c>
    </row>
    <row r="63" spans="1:15" hidden="1">
      <c r="A63" s="591" t="s">
        <v>235</v>
      </c>
      <c r="B63" s="591" t="s">
        <v>245</v>
      </c>
      <c r="C63" s="591" t="s">
        <v>697</v>
      </c>
      <c r="D63" s="612" t="s">
        <v>701</v>
      </c>
      <c r="E63" s="612">
        <v>136</v>
      </c>
      <c r="F63" s="591">
        <v>0</v>
      </c>
      <c r="G63" s="613">
        <v>0</v>
      </c>
      <c r="H63" s="591">
        <v>0</v>
      </c>
      <c r="J63" s="591">
        <v>0</v>
      </c>
      <c r="K63" s="613">
        <v>0</v>
      </c>
      <c r="L63" s="591">
        <v>0</v>
      </c>
      <c r="M63" s="607">
        <f t="shared" si="5"/>
        <v>136.04</v>
      </c>
      <c r="N63" s="614">
        <f t="shared" ca="1" si="6"/>
        <v>0</v>
      </c>
      <c r="O63" s="614">
        <f t="shared" ca="1" si="7"/>
        <v>0</v>
      </c>
    </row>
    <row r="64" spans="1:15" hidden="1">
      <c r="A64" s="591" t="s">
        <v>235</v>
      </c>
      <c r="B64" s="591" t="s">
        <v>246</v>
      </c>
      <c r="C64" s="591" t="s">
        <v>697</v>
      </c>
      <c r="D64" s="612" t="s">
        <v>701</v>
      </c>
      <c r="E64" s="612">
        <v>137</v>
      </c>
      <c r="F64" s="591">
        <v>1</v>
      </c>
      <c r="G64" s="613">
        <v>0</v>
      </c>
      <c r="H64" s="591">
        <v>0</v>
      </c>
      <c r="J64" s="591">
        <v>1</v>
      </c>
      <c r="K64" s="613">
        <v>0</v>
      </c>
      <c r="L64" s="591">
        <v>0</v>
      </c>
      <c r="M64" s="607">
        <f t="shared" si="5"/>
        <v>137.04</v>
      </c>
      <c r="N64" s="614">
        <f t="shared" ca="1" si="6"/>
        <v>0</v>
      </c>
      <c r="O64" s="614">
        <f t="shared" ca="1" si="7"/>
        <v>0</v>
      </c>
    </row>
    <row r="65" spans="1:15" hidden="1">
      <c r="A65" s="604" t="s">
        <v>103</v>
      </c>
      <c r="B65" s="604" t="s">
        <v>576</v>
      </c>
      <c r="C65" s="604" t="s">
        <v>697</v>
      </c>
      <c r="D65" s="605" t="s">
        <v>702</v>
      </c>
      <c r="E65" s="605">
        <v>130</v>
      </c>
      <c r="F65" s="604">
        <v>0</v>
      </c>
      <c r="G65" s="606">
        <v>0</v>
      </c>
      <c r="H65" s="604">
        <v>0</v>
      </c>
      <c r="I65" s="604"/>
      <c r="J65" s="604">
        <v>0</v>
      </c>
      <c r="K65" s="606">
        <v>0</v>
      </c>
      <c r="L65" s="604">
        <v>0</v>
      </c>
      <c r="M65" s="607">
        <f t="shared" si="5"/>
        <v>130.05000000000001</v>
      </c>
      <c r="N65" s="614">
        <f t="shared" ca="1" si="6"/>
        <v>0</v>
      </c>
      <c r="O65" s="614">
        <f t="shared" ca="1" si="7"/>
        <v>0</v>
      </c>
    </row>
    <row r="66" spans="1:15" hidden="1">
      <c r="A66" s="604" t="s">
        <v>103</v>
      </c>
      <c r="B66" s="604" t="s">
        <v>247</v>
      </c>
      <c r="C66" s="604" t="s">
        <v>697</v>
      </c>
      <c r="D66" s="605" t="s">
        <v>702</v>
      </c>
      <c r="E66" s="605">
        <v>134</v>
      </c>
      <c r="F66" s="604">
        <v>0.39</v>
      </c>
      <c r="G66" s="606">
        <v>0.2644865006674742</v>
      </c>
      <c r="H66" s="604">
        <v>0.30576915052462433</v>
      </c>
      <c r="I66" s="604"/>
      <c r="J66" s="604">
        <v>0.39</v>
      </c>
      <c r="K66" s="606">
        <v>0.2732914264405667</v>
      </c>
      <c r="L66" s="604">
        <v>0.30541201389540118</v>
      </c>
      <c r="M66" s="607">
        <f t="shared" si="5"/>
        <v>134.05000000000001</v>
      </c>
      <c r="N66" s="614">
        <f t="shared" ca="1" si="6"/>
        <v>0.30576915052462433</v>
      </c>
      <c r="O66" s="614">
        <f t="shared" ca="1" si="7"/>
        <v>0.30541201389540118</v>
      </c>
    </row>
    <row r="67" spans="1:15" hidden="1">
      <c r="A67" s="591" t="s">
        <v>71</v>
      </c>
      <c r="B67" s="591" t="s">
        <v>244</v>
      </c>
      <c r="C67" s="591" t="s">
        <v>697</v>
      </c>
      <c r="D67" s="612" t="s">
        <v>703</v>
      </c>
      <c r="E67" s="612">
        <v>127</v>
      </c>
      <c r="F67" s="591">
        <v>0.2</v>
      </c>
      <c r="G67" s="613">
        <v>0.1</v>
      </c>
      <c r="H67" s="591">
        <v>0.1</v>
      </c>
      <c r="J67" s="591">
        <v>0.2</v>
      </c>
      <c r="K67" s="613">
        <v>0.1</v>
      </c>
      <c r="L67" s="591">
        <v>0.1</v>
      </c>
      <c r="M67" s="607">
        <f t="shared" si="5"/>
        <v>127.06</v>
      </c>
      <c r="N67" s="614">
        <f t="shared" ca="1" si="6"/>
        <v>0.1</v>
      </c>
      <c r="O67" s="614">
        <f t="shared" ca="1" si="7"/>
        <v>0.1</v>
      </c>
    </row>
    <row r="68" spans="1:15" hidden="1">
      <c r="A68" s="591" t="s">
        <v>71</v>
      </c>
      <c r="B68" s="591" t="s">
        <v>576</v>
      </c>
      <c r="C68" s="591" t="s">
        <v>697</v>
      </c>
      <c r="D68" s="612" t="s">
        <v>703</v>
      </c>
      <c r="E68" s="612">
        <v>130</v>
      </c>
      <c r="F68" s="591">
        <v>0.5</v>
      </c>
      <c r="G68" s="613">
        <v>0</v>
      </c>
      <c r="H68" s="591">
        <v>0</v>
      </c>
      <c r="J68" s="591">
        <v>0.5</v>
      </c>
      <c r="K68" s="613">
        <v>0</v>
      </c>
      <c r="L68" s="591">
        <v>0</v>
      </c>
      <c r="M68" s="607">
        <f t="shared" ref="M68:M76" si="8">E68+(CODE(D68)-O$1)/100</f>
        <v>130.06</v>
      </c>
      <c r="N68" s="614">
        <f t="shared" ca="1" si="6"/>
        <v>0</v>
      </c>
      <c r="O68" s="614">
        <f t="shared" ca="1" si="7"/>
        <v>0</v>
      </c>
    </row>
    <row r="69" spans="1:15" hidden="1">
      <c r="A69" s="591" t="s">
        <v>71</v>
      </c>
      <c r="B69" s="591" t="s">
        <v>212</v>
      </c>
      <c r="C69" s="591" t="s">
        <v>697</v>
      </c>
      <c r="D69" s="612" t="s">
        <v>703</v>
      </c>
      <c r="E69" s="612">
        <v>132</v>
      </c>
      <c r="F69" s="591">
        <v>0.5</v>
      </c>
      <c r="G69" s="613">
        <v>0.25</v>
      </c>
      <c r="H69" s="613">
        <v>0.25</v>
      </c>
      <c r="J69" s="591">
        <v>0.5</v>
      </c>
      <c r="K69" s="613">
        <v>0.25</v>
      </c>
      <c r="L69" s="613">
        <v>0.25</v>
      </c>
      <c r="M69" s="607">
        <f t="shared" si="8"/>
        <v>132.06</v>
      </c>
      <c r="N69" s="614">
        <f t="shared" ca="1" si="6"/>
        <v>0.25</v>
      </c>
      <c r="O69" s="614">
        <f t="shared" ca="1" si="7"/>
        <v>0.25</v>
      </c>
    </row>
    <row r="70" spans="1:15" hidden="1">
      <c r="A70" s="591" t="s">
        <v>71</v>
      </c>
      <c r="B70" s="591" t="s">
        <v>247</v>
      </c>
      <c r="C70" s="591" t="s">
        <v>697</v>
      </c>
      <c r="D70" s="612" t="s">
        <v>703</v>
      </c>
      <c r="E70" s="612">
        <v>134</v>
      </c>
      <c r="F70" s="591">
        <v>0.04</v>
      </c>
      <c r="G70" s="613">
        <v>0.04</v>
      </c>
      <c r="H70" s="591">
        <v>0.04</v>
      </c>
      <c r="J70" s="591">
        <v>0.04</v>
      </c>
      <c r="K70" s="613">
        <v>0.04</v>
      </c>
      <c r="L70" s="591">
        <v>0.04</v>
      </c>
      <c r="M70" s="607">
        <f t="shared" si="8"/>
        <v>134.06</v>
      </c>
      <c r="N70" s="614">
        <f t="shared" ca="1" si="6"/>
        <v>0.04</v>
      </c>
      <c r="O70" s="614">
        <f t="shared" ca="1" si="7"/>
        <v>0.04</v>
      </c>
    </row>
    <row r="71" spans="1:15" hidden="1">
      <c r="A71" s="591" t="s">
        <v>71</v>
      </c>
      <c r="B71" s="591" t="s">
        <v>246</v>
      </c>
      <c r="C71" s="591" t="s">
        <v>697</v>
      </c>
      <c r="D71" s="612" t="s">
        <v>703</v>
      </c>
      <c r="E71" s="612">
        <v>137</v>
      </c>
      <c r="F71" s="591">
        <v>0</v>
      </c>
      <c r="G71" s="613">
        <v>0</v>
      </c>
      <c r="H71" s="591">
        <v>0</v>
      </c>
      <c r="J71" s="591">
        <v>0</v>
      </c>
      <c r="K71" s="613">
        <v>0</v>
      </c>
      <c r="L71" s="591">
        <v>0</v>
      </c>
      <c r="M71" s="607">
        <f t="shared" si="8"/>
        <v>137.06</v>
      </c>
      <c r="N71" s="614">
        <f t="shared" ca="1" si="6"/>
        <v>0</v>
      </c>
      <c r="O71" s="614">
        <f t="shared" ca="1" si="7"/>
        <v>0</v>
      </c>
    </row>
    <row r="72" spans="1:15" hidden="1">
      <c r="A72" s="604" t="s">
        <v>70</v>
      </c>
      <c r="B72" s="604" t="s">
        <v>247</v>
      </c>
      <c r="C72" s="604" t="s">
        <v>697</v>
      </c>
      <c r="D72" s="605" t="s">
        <v>704</v>
      </c>
      <c r="E72" s="605">
        <v>134</v>
      </c>
      <c r="F72" s="604">
        <v>0.09</v>
      </c>
      <c r="G72" s="606">
        <v>7.0000000000000007E-2</v>
      </c>
      <c r="H72" s="604">
        <v>7.0000000000000007E-2</v>
      </c>
      <c r="I72" s="604"/>
      <c r="J72" s="604">
        <v>0.09</v>
      </c>
      <c r="K72" s="606">
        <v>7.0000000000000007E-2</v>
      </c>
      <c r="L72" s="604">
        <v>7.0000000000000007E-2</v>
      </c>
      <c r="M72" s="607">
        <f t="shared" si="8"/>
        <v>134.07</v>
      </c>
      <c r="N72" s="614">
        <f t="shared" ca="1" si="6"/>
        <v>7.0000000000000007E-2</v>
      </c>
      <c r="O72" s="614">
        <f t="shared" ca="1" si="7"/>
        <v>7.0000000000000007E-2</v>
      </c>
    </row>
    <row r="73" spans="1:15" hidden="1">
      <c r="A73" s="591" t="s">
        <v>482</v>
      </c>
      <c r="B73" s="591" t="s">
        <v>247</v>
      </c>
      <c r="C73" s="591" t="s">
        <v>697</v>
      </c>
      <c r="D73" s="612" t="s">
        <v>705</v>
      </c>
      <c r="E73" s="612">
        <v>134</v>
      </c>
      <c r="F73" s="591">
        <v>0.17</v>
      </c>
      <c r="G73" s="613">
        <v>6.6528850531260689E-2</v>
      </c>
      <c r="H73" s="591">
        <v>7.5352214814200805E-2</v>
      </c>
      <c r="J73" s="591">
        <v>0.17</v>
      </c>
      <c r="K73" s="613">
        <v>6.8410732335095203E-2</v>
      </c>
      <c r="L73" s="591">
        <v>7.5275883798887555E-2</v>
      </c>
      <c r="M73" s="607">
        <f t="shared" si="8"/>
        <v>134.08000000000001</v>
      </c>
      <c r="N73" s="614">
        <f t="shared" ca="1" si="6"/>
        <v>7.5352214814200805E-2</v>
      </c>
      <c r="O73" s="614">
        <f t="shared" ca="1" si="7"/>
        <v>7.5275883798887555E-2</v>
      </c>
    </row>
    <row r="74" spans="1:15" hidden="1">
      <c r="A74" s="604" t="s">
        <v>215</v>
      </c>
      <c r="B74" s="604" t="s">
        <v>244</v>
      </c>
      <c r="C74" s="604" t="s">
        <v>697</v>
      </c>
      <c r="D74" s="605" t="s">
        <v>706</v>
      </c>
      <c r="E74" s="605">
        <v>127</v>
      </c>
      <c r="F74" s="604">
        <v>0</v>
      </c>
      <c r="G74" s="606">
        <v>0</v>
      </c>
      <c r="H74" s="604">
        <v>0</v>
      </c>
      <c r="I74" s="604"/>
      <c r="J74" s="604">
        <v>0</v>
      </c>
      <c r="K74" s="606">
        <v>0</v>
      </c>
      <c r="L74" s="604">
        <v>0</v>
      </c>
      <c r="M74" s="607">
        <f t="shared" si="8"/>
        <v>127.09</v>
      </c>
      <c r="N74" s="614">
        <f t="shared" ca="1" si="6"/>
        <v>0</v>
      </c>
      <c r="O74" s="614">
        <f t="shared" ca="1" si="7"/>
        <v>0</v>
      </c>
    </row>
    <row r="75" spans="1:15" hidden="1">
      <c r="A75" s="604" t="s">
        <v>215</v>
      </c>
      <c r="B75" s="604" t="s">
        <v>663</v>
      </c>
      <c r="C75" s="604" t="s">
        <v>697</v>
      </c>
      <c r="D75" s="605" t="s">
        <v>706</v>
      </c>
      <c r="E75" s="605">
        <v>128</v>
      </c>
      <c r="F75" s="604">
        <v>0</v>
      </c>
      <c r="G75" s="606">
        <v>6.0133883153940991E-2</v>
      </c>
      <c r="H75" s="604">
        <v>6.0133883153940991E-2</v>
      </c>
      <c r="I75" s="604"/>
      <c r="J75" s="604">
        <v>0</v>
      </c>
      <c r="K75" s="606">
        <v>6.1610302311775667E-2</v>
      </c>
      <c r="L75" s="604">
        <v>0</v>
      </c>
      <c r="M75" s="607">
        <f t="shared" si="8"/>
        <v>128.09</v>
      </c>
      <c r="N75" s="614">
        <f t="shared" ca="1" si="6"/>
        <v>6.0133883153940991E-2</v>
      </c>
      <c r="O75" s="614">
        <f t="shared" ca="1" si="7"/>
        <v>0</v>
      </c>
    </row>
    <row r="76" spans="1:15" hidden="1">
      <c r="A76" s="604" t="s">
        <v>215</v>
      </c>
      <c r="B76" s="604" t="s">
        <v>247</v>
      </c>
      <c r="C76" s="604" t="s">
        <v>697</v>
      </c>
      <c r="D76" s="605" t="s">
        <v>706</v>
      </c>
      <c r="E76" s="605">
        <v>134</v>
      </c>
      <c r="F76" s="604">
        <v>0</v>
      </c>
      <c r="G76" s="606">
        <v>0.34781563704200713</v>
      </c>
      <c r="H76" s="604">
        <v>0.42083512610086704</v>
      </c>
      <c r="I76" s="604"/>
      <c r="J76" s="604">
        <v>0</v>
      </c>
      <c r="K76" s="606">
        <v>0.36338952058332807</v>
      </c>
      <c r="L76" s="604">
        <v>0.42020343374874525</v>
      </c>
      <c r="M76" s="607">
        <f t="shared" si="8"/>
        <v>134.09</v>
      </c>
      <c r="N76" s="614">
        <f t="shared" ca="1" si="6"/>
        <v>0.42083512610086704</v>
      </c>
      <c r="O76" s="614">
        <f t="shared" ca="1" si="7"/>
        <v>0.42020343374874525</v>
      </c>
    </row>
    <row r="77" spans="1:15" hidden="1">
      <c r="A77" s="609"/>
      <c r="B77" s="609"/>
      <c r="C77" s="609"/>
      <c r="D77" s="610"/>
      <c r="E77" s="610"/>
      <c r="F77" s="609"/>
      <c r="G77" s="609"/>
      <c r="H77" s="609"/>
      <c r="I77" s="609"/>
      <c r="J77" s="609"/>
      <c r="K77" s="609"/>
      <c r="L77" s="609"/>
      <c r="M77" s="615"/>
      <c r="N77" s="614"/>
      <c r="O77" s="614"/>
    </row>
    <row r="78" spans="1:15" hidden="1">
      <c r="A78" s="598" t="s">
        <v>718</v>
      </c>
      <c r="B78" s="598" t="s">
        <v>300</v>
      </c>
      <c r="C78" s="598" t="s">
        <v>717</v>
      </c>
      <c r="D78" s="599" t="s">
        <v>698</v>
      </c>
      <c r="E78" s="599" t="s">
        <v>699</v>
      </c>
      <c r="F78" s="599" t="s">
        <v>655</v>
      </c>
      <c r="G78" s="599" t="s">
        <v>795</v>
      </c>
      <c r="H78" s="599" t="s">
        <v>950</v>
      </c>
      <c r="I78" s="616"/>
      <c r="J78" s="599" t="s">
        <v>655</v>
      </c>
      <c r="K78" s="599" t="s">
        <v>795</v>
      </c>
      <c r="L78" s="599" t="s">
        <v>950</v>
      </c>
      <c r="M78" s="615"/>
      <c r="N78" s="617" t="str">
        <f>N3</f>
        <v>FIM</v>
      </c>
      <c r="O78" s="617" t="str">
        <f>O3</f>
        <v>FIM</v>
      </c>
    </row>
    <row r="79" spans="1:15" hidden="1">
      <c r="A79" s="591" t="s">
        <v>222</v>
      </c>
      <c r="B79" s="591" t="s">
        <v>415</v>
      </c>
      <c r="C79" s="591" t="s">
        <v>253</v>
      </c>
      <c r="D79" s="612" t="s">
        <v>711</v>
      </c>
      <c r="E79" s="612">
        <v>6</v>
      </c>
      <c r="F79" s="591">
        <v>0.99</v>
      </c>
      <c r="G79" s="591">
        <v>1</v>
      </c>
      <c r="H79" s="591">
        <v>1</v>
      </c>
      <c r="J79" s="591">
        <v>0.99</v>
      </c>
      <c r="K79" s="591">
        <v>1</v>
      </c>
      <c r="L79" s="591">
        <v>1</v>
      </c>
      <c r="M79" s="615"/>
      <c r="N79" s="614">
        <f t="shared" ref="N79:N130" ca="1" si="9">OFFSET($E79,0,RegIndex)</f>
        <v>1</v>
      </c>
      <c r="O79" s="614">
        <f t="shared" ref="O79:O112" ca="1" si="10">OFFSET($I79,0,RegIndex)</f>
        <v>1</v>
      </c>
    </row>
    <row r="80" spans="1:15" hidden="1">
      <c r="A80" s="591" t="s">
        <v>226</v>
      </c>
      <c r="B80" s="591" t="s">
        <v>419</v>
      </c>
      <c r="C80" s="591" t="s">
        <v>253</v>
      </c>
      <c r="D80" s="612" t="s">
        <v>711</v>
      </c>
      <c r="E80" s="612">
        <v>13</v>
      </c>
      <c r="F80" s="591">
        <v>0.3</v>
      </c>
      <c r="G80" s="591">
        <v>0.3</v>
      </c>
      <c r="H80" s="591">
        <v>0.3</v>
      </c>
      <c r="J80" s="591">
        <v>0.3</v>
      </c>
      <c r="K80" s="591">
        <v>0.3</v>
      </c>
      <c r="L80" s="591">
        <v>0.3</v>
      </c>
      <c r="M80" s="615"/>
      <c r="N80" s="614">
        <f t="shared" ca="1" si="9"/>
        <v>0.3</v>
      </c>
      <c r="O80" s="614">
        <f t="shared" ca="1" si="10"/>
        <v>0.3</v>
      </c>
    </row>
    <row r="81" spans="1:15" hidden="1">
      <c r="A81" s="591" t="s">
        <v>979</v>
      </c>
      <c r="B81" s="591" t="s">
        <v>931</v>
      </c>
      <c r="C81" s="591" t="s">
        <v>253</v>
      </c>
      <c r="D81" s="612" t="s">
        <v>711</v>
      </c>
      <c r="E81" s="612"/>
      <c r="F81" s="591">
        <v>0.1</v>
      </c>
      <c r="G81" s="591">
        <v>0.08</v>
      </c>
      <c r="H81" s="591">
        <v>0.21</v>
      </c>
      <c r="J81" s="591">
        <v>0.1</v>
      </c>
      <c r="K81" s="591">
        <v>0.09</v>
      </c>
      <c r="L81" s="591">
        <v>0.27</v>
      </c>
      <c r="M81" s="615"/>
      <c r="N81" s="614">
        <f t="shared" ca="1" si="9"/>
        <v>0.21</v>
      </c>
      <c r="O81" s="614">
        <f t="shared" ca="1" si="10"/>
        <v>0.27</v>
      </c>
    </row>
    <row r="82" spans="1:15" hidden="1">
      <c r="A82" s="591" t="s">
        <v>227</v>
      </c>
      <c r="B82" s="591" t="s">
        <v>420</v>
      </c>
      <c r="C82" s="591" t="s">
        <v>253</v>
      </c>
      <c r="D82" s="612" t="s">
        <v>711</v>
      </c>
      <c r="E82" s="612">
        <v>15</v>
      </c>
      <c r="F82" s="591">
        <v>0.84</v>
      </c>
      <c r="G82" s="591">
        <v>0.85</v>
      </c>
      <c r="H82" s="591">
        <v>0.85</v>
      </c>
      <c r="J82" s="591">
        <v>0.84</v>
      </c>
      <c r="K82" s="591">
        <v>0.72</v>
      </c>
      <c r="L82" s="591">
        <v>0.82499999999999996</v>
      </c>
      <c r="M82" s="615"/>
      <c r="N82" s="614">
        <f t="shared" ca="1" si="9"/>
        <v>0.85</v>
      </c>
      <c r="O82" s="614">
        <f t="shared" ca="1" si="10"/>
        <v>0.82499999999999996</v>
      </c>
    </row>
    <row r="83" spans="1:15" hidden="1">
      <c r="A83" s="591" t="s">
        <v>648</v>
      </c>
      <c r="B83" s="591" t="s">
        <v>415</v>
      </c>
      <c r="C83" s="591" t="s">
        <v>252</v>
      </c>
      <c r="D83" s="612" t="s">
        <v>711</v>
      </c>
      <c r="E83" s="612">
        <v>6</v>
      </c>
      <c r="F83" s="591">
        <v>0.99990000000000001</v>
      </c>
      <c r="G83" s="591">
        <v>1</v>
      </c>
      <c r="H83" s="591">
        <v>1</v>
      </c>
      <c r="J83" s="591">
        <v>0.99990000000000001</v>
      </c>
      <c r="K83" s="591">
        <v>1</v>
      </c>
      <c r="L83" s="591">
        <v>1</v>
      </c>
      <c r="M83" s="615"/>
      <c r="N83" s="614">
        <f t="shared" ca="1" si="9"/>
        <v>1</v>
      </c>
      <c r="O83" s="614">
        <f t="shared" ca="1" si="10"/>
        <v>1</v>
      </c>
    </row>
    <row r="84" spans="1:15" hidden="1">
      <c r="A84" s="591" t="s">
        <v>1013</v>
      </c>
      <c r="B84" s="591" t="s">
        <v>931</v>
      </c>
      <c r="C84" s="591" t="s">
        <v>253</v>
      </c>
      <c r="D84" s="612" t="s">
        <v>711</v>
      </c>
      <c r="E84" s="612"/>
      <c r="F84" s="591">
        <v>0.4</v>
      </c>
      <c r="G84" s="591">
        <v>0.4</v>
      </c>
      <c r="H84" s="591">
        <v>0.4</v>
      </c>
      <c r="J84" s="591">
        <v>0.5</v>
      </c>
      <c r="K84" s="591">
        <v>0.5</v>
      </c>
      <c r="L84" s="591">
        <v>0.5</v>
      </c>
      <c r="M84" s="615"/>
      <c r="N84" s="614">
        <f t="shared" ca="1" si="9"/>
        <v>0.4</v>
      </c>
      <c r="O84" s="614">
        <f t="shared" ca="1" si="10"/>
        <v>0.5</v>
      </c>
    </row>
    <row r="85" spans="1:15" hidden="1">
      <c r="A85" s="591" t="s">
        <v>653</v>
      </c>
      <c r="B85" s="591" t="s">
        <v>420</v>
      </c>
      <c r="C85" s="591" t="s">
        <v>252</v>
      </c>
      <c r="D85" s="612" t="s">
        <v>711</v>
      </c>
      <c r="E85" s="612">
        <v>14</v>
      </c>
      <c r="F85" s="591">
        <v>0.83809999999999996</v>
      </c>
      <c r="G85" s="618">
        <v>0.98</v>
      </c>
      <c r="H85" s="591">
        <v>0.99</v>
      </c>
      <c r="J85" s="591">
        <v>0.83809999999999996</v>
      </c>
      <c r="K85" s="591">
        <v>0.82</v>
      </c>
      <c r="L85" s="591">
        <v>0.91</v>
      </c>
      <c r="M85" s="615"/>
      <c r="N85" s="614">
        <f t="shared" ca="1" si="9"/>
        <v>0.99</v>
      </c>
      <c r="O85" s="614">
        <f t="shared" ca="1" si="10"/>
        <v>0.91</v>
      </c>
    </row>
    <row r="86" spans="1:15" hidden="1">
      <c r="A86" s="591" t="s">
        <v>656</v>
      </c>
      <c r="B86" s="591" t="s">
        <v>415</v>
      </c>
      <c r="C86" s="591" t="s">
        <v>257</v>
      </c>
      <c r="D86" s="612" t="s">
        <v>711</v>
      </c>
      <c r="E86" s="612">
        <v>6</v>
      </c>
      <c r="F86" s="591">
        <v>0.99990000000000001</v>
      </c>
      <c r="G86" s="591">
        <v>1</v>
      </c>
      <c r="H86" s="591">
        <v>1</v>
      </c>
      <c r="J86" s="591">
        <v>0.99990000000000001</v>
      </c>
      <c r="K86" s="591">
        <v>1</v>
      </c>
      <c r="L86" s="591">
        <v>1</v>
      </c>
      <c r="M86" s="615"/>
      <c r="N86" s="614">
        <f t="shared" ca="1" si="9"/>
        <v>1</v>
      </c>
      <c r="O86" s="614">
        <f t="shared" ca="1" si="10"/>
        <v>1</v>
      </c>
    </row>
    <row r="87" spans="1:15" hidden="1">
      <c r="A87" s="591" t="s">
        <v>657</v>
      </c>
      <c r="B87" s="591" t="s">
        <v>420</v>
      </c>
      <c r="C87" s="591" t="s">
        <v>257</v>
      </c>
      <c r="D87" s="612" t="s">
        <v>711</v>
      </c>
      <c r="E87" s="612">
        <v>14</v>
      </c>
      <c r="F87" s="591">
        <v>0.83809999999999996</v>
      </c>
      <c r="G87" s="591">
        <v>0.83809999999999996</v>
      </c>
      <c r="H87" s="591">
        <v>0.83809999999999996</v>
      </c>
      <c r="J87" s="591">
        <v>0.83809999999999996</v>
      </c>
      <c r="K87" s="591">
        <v>0.83809999999999996</v>
      </c>
      <c r="L87" s="591">
        <v>0.83809999999999996</v>
      </c>
      <c r="M87" s="615"/>
      <c r="N87" s="614">
        <f t="shared" ca="1" si="9"/>
        <v>0.83809999999999996</v>
      </c>
      <c r="O87" s="614">
        <f t="shared" ca="1" si="10"/>
        <v>0.83809999999999996</v>
      </c>
    </row>
    <row r="88" spans="1:15" hidden="1">
      <c r="A88" s="591" t="s">
        <v>658</v>
      </c>
      <c r="B88" s="591" t="s">
        <v>415</v>
      </c>
      <c r="C88" s="591" t="s">
        <v>598</v>
      </c>
      <c r="D88" s="612" t="s">
        <v>711</v>
      </c>
      <c r="E88" s="612">
        <v>6</v>
      </c>
      <c r="F88" s="591">
        <v>0.99990000000000001</v>
      </c>
      <c r="G88" s="591">
        <v>0.99990000000000001</v>
      </c>
      <c r="H88" s="591">
        <v>0.99990000000000001</v>
      </c>
      <c r="J88" s="591">
        <v>0.99990000000000001</v>
      </c>
      <c r="K88" s="591">
        <v>0.99990000000000001</v>
      </c>
      <c r="L88" s="591">
        <v>0.99990000000000001</v>
      </c>
      <c r="M88" s="615"/>
      <c r="N88" s="614">
        <f t="shared" ca="1" si="9"/>
        <v>0.99990000000000001</v>
      </c>
      <c r="O88" s="614">
        <f t="shared" ca="1" si="10"/>
        <v>0.99990000000000001</v>
      </c>
    </row>
    <row r="89" spans="1:15" hidden="1">
      <c r="A89" s="591" t="s">
        <v>615</v>
      </c>
      <c r="B89" s="591" t="s">
        <v>420</v>
      </c>
      <c r="C89" s="591" t="s">
        <v>598</v>
      </c>
      <c r="D89" s="612" t="s">
        <v>711</v>
      </c>
      <c r="E89" s="612">
        <v>14</v>
      </c>
      <c r="F89" s="591">
        <v>0.83809999999999996</v>
      </c>
      <c r="G89" s="591">
        <v>0.83809999999999996</v>
      </c>
      <c r="H89" s="591">
        <v>0.83809999999999996</v>
      </c>
      <c r="J89" s="591">
        <v>0.83809999999999996</v>
      </c>
      <c r="K89" s="591">
        <v>0.83809999999999996</v>
      </c>
      <c r="L89" s="591">
        <v>0.83809999999999996</v>
      </c>
      <c r="M89" s="615"/>
      <c r="N89" s="614">
        <f t="shared" ca="1" si="9"/>
        <v>0.83809999999999996</v>
      </c>
      <c r="O89" s="614">
        <f t="shared" ca="1" si="10"/>
        <v>0.83809999999999996</v>
      </c>
    </row>
    <row r="90" spans="1:15" hidden="1">
      <c r="A90" s="604" t="s">
        <v>616</v>
      </c>
      <c r="B90" s="604" t="s">
        <v>420</v>
      </c>
      <c r="C90" s="604" t="s">
        <v>255</v>
      </c>
      <c r="D90" s="605" t="s">
        <v>711</v>
      </c>
      <c r="E90" s="605">
        <v>8</v>
      </c>
      <c r="F90" s="604">
        <v>0.53749999999999998</v>
      </c>
      <c r="G90" s="604">
        <v>0.53749999999999998</v>
      </c>
      <c r="H90" s="604">
        <v>0.53749999999999998</v>
      </c>
      <c r="I90" s="604"/>
      <c r="J90" s="604">
        <v>0.53749999999999998</v>
      </c>
      <c r="K90" s="604">
        <v>0.53749999999999998</v>
      </c>
      <c r="L90" s="604">
        <v>0.53749999999999998</v>
      </c>
      <c r="M90" s="615"/>
      <c r="N90" s="614">
        <f t="shared" ca="1" si="9"/>
        <v>0.53749999999999998</v>
      </c>
      <c r="O90" s="614">
        <f t="shared" ca="1" si="10"/>
        <v>0.53749999999999998</v>
      </c>
    </row>
    <row r="91" spans="1:15" hidden="1">
      <c r="A91" s="604" t="s">
        <v>605</v>
      </c>
      <c r="B91" s="604" t="s">
        <v>420</v>
      </c>
      <c r="C91" s="604" t="s">
        <v>255</v>
      </c>
      <c r="D91" s="605" t="s">
        <v>711</v>
      </c>
      <c r="E91" s="605">
        <v>9</v>
      </c>
      <c r="F91" s="604">
        <v>4.1799999999999997E-2</v>
      </c>
      <c r="G91" s="604">
        <v>4.1799999999999997E-2</v>
      </c>
      <c r="H91" s="604">
        <v>4.1799999999999997E-2</v>
      </c>
      <c r="I91" s="604"/>
      <c r="J91" s="604">
        <v>4.1799999999999997E-2</v>
      </c>
      <c r="K91" s="604">
        <v>4.1799999999999997E-2</v>
      </c>
      <c r="L91" s="604">
        <v>4.1799999999999997E-2</v>
      </c>
      <c r="M91" s="615"/>
      <c r="N91" s="614">
        <f t="shared" ca="1" si="9"/>
        <v>4.1799999999999997E-2</v>
      </c>
      <c r="O91" s="614">
        <f t="shared" ca="1" si="10"/>
        <v>4.1799999999999997E-2</v>
      </c>
    </row>
    <row r="92" spans="1:15" hidden="1">
      <c r="A92" s="604" t="s">
        <v>618</v>
      </c>
      <c r="B92" s="604" t="s">
        <v>420</v>
      </c>
      <c r="C92" s="604" t="s">
        <v>254</v>
      </c>
      <c r="D92" s="605" t="s">
        <v>711</v>
      </c>
      <c r="E92" s="605">
        <v>8</v>
      </c>
      <c r="F92" s="604">
        <v>0.53749999999999998</v>
      </c>
      <c r="G92" s="604">
        <v>0.53749999999999998</v>
      </c>
      <c r="H92" s="604">
        <v>0.53749999999999998</v>
      </c>
      <c r="I92" s="604"/>
      <c r="J92" s="604">
        <v>0.53749999999999998</v>
      </c>
      <c r="K92" s="604">
        <v>0.53749999999999998</v>
      </c>
      <c r="L92" s="604">
        <v>0.53749999999999998</v>
      </c>
      <c r="M92" s="615"/>
      <c r="N92" s="614">
        <f t="shared" ca="1" si="9"/>
        <v>0.53749999999999998</v>
      </c>
      <c r="O92" s="614">
        <f t="shared" ca="1" si="10"/>
        <v>0.53749999999999998</v>
      </c>
    </row>
    <row r="93" spans="1:15" hidden="1">
      <c r="A93" s="604" t="s">
        <v>606</v>
      </c>
      <c r="B93" s="604" t="s">
        <v>420</v>
      </c>
      <c r="C93" s="604" t="s">
        <v>254</v>
      </c>
      <c r="D93" s="605" t="s">
        <v>711</v>
      </c>
      <c r="E93" s="605">
        <v>9</v>
      </c>
      <c r="F93" s="604">
        <v>4.1799999999999997E-2</v>
      </c>
      <c r="G93" s="604">
        <v>4.1799999999999997E-2</v>
      </c>
      <c r="H93" s="604">
        <v>4.1799999999999997E-2</v>
      </c>
      <c r="I93" s="604"/>
      <c r="J93" s="604">
        <v>4.1799999999999997E-2</v>
      </c>
      <c r="K93" s="604">
        <v>4.1799999999999997E-2</v>
      </c>
      <c r="L93" s="604">
        <v>4.1799999999999997E-2</v>
      </c>
      <c r="M93" s="615"/>
      <c r="N93" s="614">
        <f t="shared" ca="1" si="9"/>
        <v>4.1799999999999997E-2</v>
      </c>
      <c r="O93" s="614">
        <f t="shared" ca="1" si="10"/>
        <v>4.1799999999999997E-2</v>
      </c>
    </row>
    <row r="94" spans="1:15" hidden="1">
      <c r="A94" s="604" t="s">
        <v>620</v>
      </c>
      <c r="B94" s="604" t="s">
        <v>420</v>
      </c>
      <c r="C94" s="604" t="s">
        <v>256</v>
      </c>
      <c r="D94" s="605" t="s">
        <v>711</v>
      </c>
      <c r="E94" s="605">
        <v>8</v>
      </c>
      <c r="F94" s="604">
        <v>0.53749999999999998</v>
      </c>
      <c r="G94" s="604">
        <v>0.53749999999999998</v>
      </c>
      <c r="H94" s="604">
        <v>0.53749999999999998</v>
      </c>
      <c r="I94" s="604"/>
      <c r="J94" s="604">
        <v>0.53749999999999998</v>
      </c>
      <c r="K94" s="604">
        <v>0.53749999999999998</v>
      </c>
      <c r="L94" s="604">
        <v>0.53749999999999998</v>
      </c>
      <c r="M94" s="615"/>
      <c r="N94" s="614">
        <f t="shared" ca="1" si="9"/>
        <v>0.53749999999999998</v>
      </c>
      <c r="O94" s="614">
        <f t="shared" ca="1" si="10"/>
        <v>0.53749999999999998</v>
      </c>
    </row>
    <row r="95" spans="1:15" hidden="1">
      <c r="A95" s="604" t="s">
        <v>607</v>
      </c>
      <c r="B95" s="604" t="s">
        <v>420</v>
      </c>
      <c r="C95" s="604" t="s">
        <v>256</v>
      </c>
      <c r="D95" s="605" t="s">
        <v>711</v>
      </c>
      <c r="E95" s="605">
        <v>9</v>
      </c>
      <c r="F95" s="604">
        <v>4.1799999999999997E-2</v>
      </c>
      <c r="G95" s="604">
        <v>4.1799999999999997E-2</v>
      </c>
      <c r="H95" s="604">
        <v>4.1799999999999997E-2</v>
      </c>
      <c r="I95" s="604"/>
      <c r="J95" s="604">
        <v>4.1799999999999997E-2</v>
      </c>
      <c r="K95" s="604">
        <v>4.1799999999999997E-2</v>
      </c>
      <c r="L95" s="604">
        <v>4.1799999999999997E-2</v>
      </c>
      <c r="M95" s="615"/>
      <c r="N95" s="614">
        <f t="shared" ca="1" si="9"/>
        <v>4.1799999999999997E-2</v>
      </c>
      <c r="O95" s="614">
        <f t="shared" ca="1" si="10"/>
        <v>4.1799999999999997E-2</v>
      </c>
    </row>
    <row r="96" spans="1:15" hidden="1">
      <c r="A96" s="604" t="s">
        <v>621</v>
      </c>
      <c r="B96" s="604" t="s">
        <v>420</v>
      </c>
      <c r="C96" s="604" t="s">
        <v>601</v>
      </c>
      <c r="D96" s="605" t="s">
        <v>711</v>
      </c>
      <c r="E96" s="605">
        <v>8</v>
      </c>
      <c r="F96" s="604">
        <v>0.53749999999999998</v>
      </c>
      <c r="G96" s="604">
        <v>0.53749999999999998</v>
      </c>
      <c r="H96" s="604">
        <v>0.53749999999999998</v>
      </c>
      <c r="I96" s="604"/>
      <c r="J96" s="604">
        <v>0.53749999999999998</v>
      </c>
      <c r="K96" s="604">
        <v>0.53749999999999998</v>
      </c>
      <c r="L96" s="604">
        <v>0.53749999999999998</v>
      </c>
      <c r="M96" s="615"/>
      <c r="N96" s="614">
        <f t="shared" ca="1" si="9"/>
        <v>0.53749999999999998</v>
      </c>
      <c r="O96" s="614">
        <f t="shared" ca="1" si="10"/>
        <v>0.53749999999999998</v>
      </c>
    </row>
    <row r="97" spans="1:15" hidden="1">
      <c r="A97" s="604" t="s">
        <v>608</v>
      </c>
      <c r="B97" s="604" t="s">
        <v>420</v>
      </c>
      <c r="C97" s="604" t="s">
        <v>601</v>
      </c>
      <c r="D97" s="605" t="s">
        <v>711</v>
      </c>
      <c r="E97" s="605">
        <v>9</v>
      </c>
      <c r="F97" s="604">
        <v>4.1799999999999997E-2</v>
      </c>
      <c r="G97" s="604">
        <v>4.1799999999999997E-2</v>
      </c>
      <c r="H97" s="604">
        <v>4.1799999999999997E-2</v>
      </c>
      <c r="I97" s="604"/>
      <c r="J97" s="604">
        <v>4.1799999999999997E-2</v>
      </c>
      <c r="K97" s="604">
        <v>4.1799999999999997E-2</v>
      </c>
      <c r="L97" s="604">
        <v>4.1799999999999997E-2</v>
      </c>
      <c r="M97" s="615"/>
      <c r="N97" s="614">
        <f t="shared" ca="1" si="9"/>
        <v>4.1799999999999997E-2</v>
      </c>
      <c r="O97" s="614">
        <f t="shared" ca="1" si="10"/>
        <v>4.1799999999999997E-2</v>
      </c>
    </row>
    <row r="98" spans="1:15" hidden="1">
      <c r="A98" s="591" t="s">
        <v>624</v>
      </c>
      <c r="B98" s="591" t="s">
        <v>420</v>
      </c>
      <c r="C98" s="591" t="s">
        <v>91</v>
      </c>
      <c r="D98" s="612" t="s">
        <v>711</v>
      </c>
      <c r="E98" s="612">
        <v>6</v>
      </c>
      <c r="F98" s="591">
        <v>0.78</v>
      </c>
      <c r="G98" s="591">
        <v>0.78</v>
      </c>
      <c r="H98" s="591">
        <v>0.78</v>
      </c>
      <c r="J98" s="591">
        <v>0.78</v>
      </c>
      <c r="K98" s="591">
        <v>0.78</v>
      </c>
      <c r="L98" s="591">
        <v>0.78</v>
      </c>
      <c r="M98" s="615"/>
      <c r="N98" s="614">
        <f t="shared" ca="1" si="9"/>
        <v>0.78</v>
      </c>
      <c r="O98" s="614">
        <f t="shared" ca="1" si="10"/>
        <v>0.78</v>
      </c>
    </row>
    <row r="99" spans="1:15" hidden="1">
      <c r="A99" s="591" t="s">
        <v>506</v>
      </c>
      <c r="B99" s="591" t="s">
        <v>420</v>
      </c>
      <c r="C99" s="591" t="s">
        <v>504</v>
      </c>
      <c r="D99" s="612" t="s">
        <v>711</v>
      </c>
      <c r="E99" s="612">
        <v>7</v>
      </c>
      <c r="F99" s="591">
        <v>0.88</v>
      </c>
      <c r="G99" s="591">
        <v>0.88</v>
      </c>
      <c r="H99" s="591">
        <v>0.9</v>
      </c>
      <c r="J99" s="591">
        <v>0.88</v>
      </c>
      <c r="K99" s="591">
        <v>0.55000000000000004</v>
      </c>
      <c r="L99" s="591">
        <v>0.55000000000000004</v>
      </c>
      <c r="M99" s="615"/>
      <c r="N99" s="614">
        <f t="shared" ca="1" si="9"/>
        <v>0.9</v>
      </c>
      <c r="O99" s="614">
        <f t="shared" ca="1" si="10"/>
        <v>0.55000000000000004</v>
      </c>
    </row>
    <row r="100" spans="1:15" hidden="1">
      <c r="A100" s="591" t="s">
        <v>507</v>
      </c>
      <c r="B100" s="591" t="s">
        <v>420</v>
      </c>
      <c r="C100" s="591" t="s">
        <v>504</v>
      </c>
      <c r="D100" s="612" t="s">
        <v>711</v>
      </c>
      <c r="E100" s="612">
        <v>8</v>
      </c>
      <c r="F100" s="591">
        <v>0.04</v>
      </c>
      <c r="G100" s="591">
        <v>0.04</v>
      </c>
      <c r="H100" s="591">
        <v>0.05</v>
      </c>
      <c r="J100" s="591">
        <v>0.04</v>
      </c>
      <c r="K100" s="591">
        <v>0.12</v>
      </c>
      <c r="L100" s="591">
        <v>0.12</v>
      </c>
      <c r="M100" s="615"/>
      <c r="N100" s="614">
        <f t="shared" ca="1" si="9"/>
        <v>0.05</v>
      </c>
      <c r="O100" s="614">
        <f t="shared" ca="1" si="10"/>
        <v>0.12</v>
      </c>
    </row>
    <row r="101" spans="1:15" hidden="1">
      <c r="A101" s="591" t="s">
        <v>508</v>
      </c>
      <c r="B101" s="591" t="s">
        <v>420</v>
      </c>
      <c r="C101" s="591" t="s">
        <v>504</v>
      </c>
      <c r="D101" s="612" t="s">
        <v>711</v>
      </c>
      <c r="E101" s="612">
        <v>9</v>
      </c>
      <c r="F101" s="591">
        <v>7.0000000000000007E-2</v>
      </c>
      <c r="G101" s="591">
        <v>7.0000000000000007E-2</v>
      </c>
      <c r="H101" s="591">
        <v>0.05</v>
      </c>
      <c r="J101" s="591">
        <v>7.0000000000000007E-2</v>
      </c>
      <c r="K101" s="591">
        <v>0.13</v>
      </c>
      <c r="L101" s="591">
        <v>0.13</v>
      </c>
      <c r="M101" s="615"/>
      <c r="N101" s="614">
        <f t="shared" ca="1" si="9"/>
        <v>0.05</v>
      </c>
      <c r="O101" s="614">
        <f t="shared" ca="1" si="10"/>
        <v>0.13</v>
      </c>
    </row>
    <row r="102" spans="1:15" hidden="1">
      <c r="A102" s="591" t="s">
        <v>363</v>
      </c>
      <c r="B102" s="591" t="s">
        <v>420</v>
      </c>
      <c r="C102" s="591" t="s">
        <v>361</v>
      </c>
      <c r="D102" s="612" t="s">
        <v>711</v>
      </c>
      <c r="E102" s="612">
        <v>7</v>
      </c>
      <c r="F102" s="591">
        <v>0.9</v>
      </c>
      <c r="G102" s="591">
        <v>0.9</v>
      </c>
      <c r="H102" s="591">
        <v>0.9</v>
      </c>
      <c r="J102" s="591">
        <v>0.9</v>
      </c>
      <c r="K102" s="591">
        <v>0.9</v>
      </c>
      <c r="L102" s="591">
        <v>0.9</v>
      </c>
      <c r="M102" s="615"/>
      <c r="N102" s="614">
        <f t="shared" ca="1" si="9"/>
        <v>0.9</v>
      </c>
      <c r="O102" s="614">
        <f t="shared" ca="1" si="10"/>
        <v>0.9</v>
      </c>
    </row>
    <row r="103" spans="1:15" hidden="1">
      <c r="A103" s="591" t="s">
        <v>364</v>
      </c>
      <c r="B103" s="591" t="s">
        <v>420</v>
      </c>
      <c r="C103" s="591" t="s">
        <v>361</v>
      </c>
      <c r="D103" s="612" t="s">
        <v>711</v>
      </c>
      <c r="E103" s="612">
        <v>8</v>
      </c>
      <c r="F103" s="591">
        <v>0.05</v>
      </c>
      <c r="G103" s="591">
        <v>0.05</v>
      </c>
      <c r="H103" s="591">
        <v>0.05</v>
      </c>
      <c r="J103" s="591">
        <v>0.05</v>
      </c>
      <c r="K103" s="591">
        <v>0.05</v>
      </c>
      <c r="L103" s="591">
        <v>0.05</v>
      </c>
      <c r="M103" s="615"/>
      <c r="N103" s="614">
        <f t="shared" ca="1" si="9"/>
        <v>0.05</v>
      </c>
      <c r="O103" s="614">
        <f t="shared" ca="1" si="10"/>
        <v>0.05</v>
      </c>
    </row>
    <row r="104" spans="1:15" hidden="1">
      <c r="A104" s="591" t="s">
        <v>365</v>
      </c>
      <c r="B104" s="591" t="s">
        <v>420</v>
      </c>
      <c r="C104" s="591" t="s">
        <v>361</v>
      </c>
      <c r="D104" s="612" t="s">
        <v>711</v>
      </c>
      <c r="E104" s="612">
        <v>9</v>
      </c>
      <c r="F104" s="591">
        <v>0.05</v>
      </c>
      <c r="G104" s="591">
        <v>0.05</v>
      </c>
      <c r="H104" s="591">
        <v>0.05</v>
      </c>
      <c r="J104" s="591">
        <v>0.05</v>
      </c>
      <c r="K104" s="591">
        <v>0.05</v>
      </c>
      <c r="L104" s="591">
        <v>0.05</v>
      </c>
      <c r="M104" s="615"/>
      <c r="N104" s="614">
        <f t="shared" ca="1" si="9"/>
        <v>0.05</v>
      </c>
      <c r="O104" s="614">
        <f t="shared" ca="1" si="10"/>
        <v>0.05</v>
      </c>
    </row>
    <row r="105" spans="1:15" hidden="1">
      <c r="A105" s="591" t="s">
        <v>555</v>
      </c>
      <c r="B105" s="591" t="s">
        <v>420</v>
      </c>
      <c r="C105" s="591" t="s">
        <v>554</v>
      </c>
      <c r="D105" s="612" t="s">
        <v>711</v>
      </c>
      <c r="E105" s="612">
        <v>7</v>
      </c>
      <c r="F105" s="591">
        <v>0.9</v>
      </c>
      <c r="G105" s="591">
        <v>0.9</v>
      </c>
      <c r="H105" s="591">
        <v>0.9</v>
      </c>
      <c r="J105" s="591">
        <v>0.9</v>
      </c>
      <c r="K105" s="591">
        <v>0.9</v>
      </c>
      <c r="L105" s="591">
        <v>0.9</v>
      </c>
      <c r="M105" s="615"/>
      <c r="N105" s="614">
        <f t="shared" ca="1" si="9"/>
        <v>0.9</v>
      </c>
      <c r="O105" s="614">
        <f t="shared" ca="1" si="10"/>
        <v>0.9</v>
      </c>
    </row>
    <row r="106" spans="1:15" hidden="1">
      <c r="A106" s="591" t="s">
        <v>556</v>
      </c>
      <c r="B106" s="591" t="s">
        <v>420</v>
      </c>
      <c r="C106" s="591" t="s">
        <v>554</v>
      </c>
      <c r="D106" s="612" t="s">
        <v>711</v>
      </c>
      <c r="E106" s="612">
        <v>8</v>
      </c>
      <c r="F106" s="591">
        <v>0.05</v>
      </c>
      <c r="G106" s="591">
        <v>0.05</v>
      </c>
      <c r="H106" s="591">
        <v>0.05</v>
      </c>
      <c r="J106" s="591">
        <v>0.05</v>
      </c>
      <c r="K106" s="591">
        <v>0.05</v>
      </c>
      <c r="L106" s="591">
        <v>0.05</v>
      </c>
      <c r="M106" s="615"/>
      <c r="N106" s="614">
        <f t="shared" ca="1" si="9"/>
        <v>0.05</v>
      </c>
      <c r="O106" s="614">
        <f t="shared" ca="1" si="10"/>
        <v>0.05</v>
      </c>
    </row>
    <row r="107" spans="1:15" hidden="1">
      <c r="A107" s="591" t="s">
        <v>557</v>
      </c>
      <c r="B107" s="591" t="s">
        <v>420</v>
      </c>
      <c r="C107" s="591" t="s">
        <v>554</v>
      </c>
      <c r="D107" s="612" t="s">
        <v>711</v>
      </c>
      <c r="E107" s="612">
        <v>9</v>
      </c>
      <c r="F107" s="591">
        <v>0.05</v>
      </c>
      <c r="G107" s="591">
        <v>0.05</v>
      </c>
      <c r="H107" s="591">
        <v>0.05</v>
      </c>
      <c r="J107" s="591">
        <v>0.05</v>
      </c>
      <c r="K107" s="591">
        <v>0.05</v>
      </c>
      <c r="L107" s="591">
        <v>0.05</v>
      </c>
      <c r="M107" s="615"/>
      <c r="N107" s="614">
        <f t="shared" ca="1" si="9"/>
        <v>0.05</v>
      </c>
      <c r="O107" s="614">
        <f t="shared" ca="1" si="10"/>
        <v>0.05</v>
      </c>
    </row>
    <row r="108" spans="1:15" hidden="1">
      <c r="A108" s="591" t="s">
        <v>613</v>
      </c>
      <c r="B108" s="591" t="s">
        <v>420</v>
      </c>
      <c r="C108" s="591" t="s">
        <v>612</v>
      </c>
      <c r="D108" s="612" t="s">
        <v>711</v>
      </c>
      <c r="E108" s="612">
        <v>7</v>
      </c>
      <c r="F108" s="591">
        <v>0.9</v>
      </c>
      <c r="G108" s="591">
        <v>0.9</v>
      </c>
      <c r="H108" s="591">
        <v>0.9</v>
      </c>
      <c r="J108" s="591">
        <v>0.9</v>
      </c>
      <c r="K108" s="591">
        <v>0.9</v>
      </c>
      <c r="L108" s="591">
        <v>0.9</v>
      </c>
      <c r="M108" s="615"/>
      <c r="N108" s="614">
        <f t="shared" ca="1" si="9"/>
        <v>0.9</v>
      </c>
      <c r="O108" s="614">
        <f t="shared" ca="1" si="10"/>
        <v>0.9</v>
      </c>
    </row>
    <row r="109" spans="1:15" hidden="1">
      <c r="A109" s="591" t="s">
        <v>614</v>
      </c>
      <c r="B109" s="591" t="s">
        <v>420</v>
      </c>
      <c r="C109" s="591" t="s">
        <v>612</v>
      </c>
      <c r="D109" s="612" t="s">
        <v>711</v>
      </c>
      <c r="E109" s="612">
        <v>8</v>
      </c>
      <c r="F109" s="591">
        <v>0.05</v>
      </c>
      <c r="G109" s="591">
        <v>0.05</v>
      </c>
      <c r="H109" s="591">
        <v>0.05</v>
      </c>
      <c r="J109" s="591">
        <v>0.05</v>
      </c>
      <c r="K109" s="591">
        <v>0.05</v>
      </c>
      <c r="L109" s="591">
        <v>0.05</v>
      </c>
      <c r="M109" s="615"/>
      <c r="N109" s="614">
        <f t="shared" ca="1" si="9"/>
        <v>0.05</v>
      </c>
      <c r="O109" s="614">
        <f t="shared" ca="1" si="10"/>
        <v>0.05</v>
      </c>
    </row>
    <row r="110" spans="1:15" hidden="1">
      <c r="A110" s="591" t="s">
        <v>342</v>
      </c>
      <c r="B110" s="591" t="s">
        <v>420</v>
      </c>
      <c r="C110" s="591" t="s">
        <v>612</v>
      </c>
      <c r="D110" s="612" t="s">
        <v>711</v>
      </c>
      <c r="E110" s="612">
        <v>9</v>
      </c>
      <c r="F110" s="591">
        <v>0.05</v>
      </c>
      <c r="G110" s="591">
        <v>0.05</v>
      </c>
      <c r="H110" s="591">
        <v>0.05</v>
      </c>
      <c r="J110" s="591">
        <v>0.05</v>
      </c>
      <c r="K110" s="591">
        <v>0.05</v>
      </c>
      <c r="L110" s="591">
        <v>0.05</v>
      </c>
      <c r="M110" s="615"/>
      <c r="N110" s="614">
        <f t="shared" ca="1" si="9"/>
        <v>0.05</v>
      </c>
      <c r="O110" s="614">
        <f t="shared" ca="1" si="10"/>
        <v>0.05</v>
      </c>
    </row>
    <row r="111" spans="1:15" hidden="1">
      <c r="A111" s="591" t="s">
        <v>74</v>
      </c>
      <c r="B111" s="591" t="s">
        <v>422</v>
      </c>
      <c r="C111" s="591" t="s">
        <v>237</v>
      </c>
      <c r="D111" s="612" t="s">
        <v>711</v>
      </c>
      <c r="E111" s="612">
        <v>6</v>
      </c>
      <c r="F111" s="591">
        <v>0.99990000000000001</v>
      </c>
      <c r="G111" s="591">
        <v>1</v>
      </c>
      <c r="H111" s="591">
        <v>0.999</v>
      </c>
      <c r="J111" s="591">
        <v>0.99990000000000001</v>
      </c>
      <c r="K111" s="591">
        <v>1</v>
      </c>
      <c r="L111" s="591">
        <v>1</v>
      </c>
      <c r="M111" s="615"/>
      <c r="N111" s="614">
        <f t="shared" ca="1" si="9"/>
        <v>0.999</v>
      </c>
      <c r="O111" s="614">
        <f t="shared" ca="1" si="10"/>
        <v>1</v>
      </c>
    </row>
    <row r="112" spans="1:15" hidden="1">
      <c r="A112" s="591" t="s">
        <v>73</v>
      </c>
      <c r="B112" s="591" t="s">
        <v>445</v>
      </c>
      <c r="C112" s="591" t="s">
        <v>237</v>
      </c>
      <c r="D112" s="612" t="s">
        <v>711</v>
      </c>
      <c r="E112" s="612">
        <v>14</v>
      </c>
      <c r="F112" s="591">
        <v>0.75</v>
      </c>
      <c r="G112" s="591">
        <v>0.97</v>
      </c>
      <c r="H112" s="591">
        <v>0.85</v>
      </c>
      <c r="J112" s="591">
        <v>0.75</v>
      </c>
      <c r="K112" s="618">
        <v>0.87841488941913348</v>
      </c>
      <c r="L112" s="591">
        <v>0.7308593749576735</v>
      </c>
      <c r="M112" s="615"/>
      <c r="N112" s="614">
        <f t="shared" ca="1" si="9"/>
        <v>0.85</v>
      </c>
      <c r="O112" s="614">
        <f t="shared" ca="1" si="10"/>
        <v>0.7308593749576735</v>
      </c>
    </row>
    <row r="113" spans="1:15" hidden="1">
      <c r="A113" s="591" t="s">
        <v>78</v>
      </c>
      <c r="B113" s="591" t="s">
        <v>422</v>
      </c>
      <c r="C113" s="591" t="s">
        <v>238</v>
      </c>
      <c r="D113" s="612" t="s">
        <v>711</v>
      </c>
      <c r="E113" s="612">
        <v>6</v>
      </c>
      <c r="F113" s="591">
        <v>1</v>
      </c>
      <c r="G113" s="591">
        <v>1</v>
      </c>
      <c r="H113" s="591">
        <v>1</v>
      </c>
      <c r="J113" s="591">
        <v>1</v>
      </c>
      <c r="K113" s="591">
        <v>1</v>
      </c>
      <c r="L113" s="591">
        <v>1</v>
      </c>
      <c r="M113" s="615"/>
      <c r="N113" s="614">
        <f t="shared" ca="1" si="9"/>
        <v>1</v>
      </c>
      <c r="O113" s="614">
        <f t="shared" ref="O113:O139" ca="1" si="11">OFFSET($I113,0,RegIndex)</f>
        <v>1</v>
      </c>
    </row>
    <row r="114" spans="1:15" hidden="1">
      <c r="A114" s="591" t="s">
        <v>81</v>
      </c>
      <c r="B114" s="591" t="s">
        <v>445</v>
      </c>
      <c r="C114" s="591" t="s">
        <v>238</v>
      </c>
      <c r="D114" s="612" t="s">
        <v>711</v>
      </c>
      <c r="E114" s="612">
        <v>14</v>
      </c>
      <c r="F114" s="591">
        <v>0.755</v>
      </c>
      <c r="G114" s="591">
        <v>0.755</v>
      </c>
      <c r="H114" s="591">
        <v>0.78280000000000005</v>
      </c>
      <c r="J114" s="591">
        <v>0.755</v>
      </c>
      <c r="K114" s="591">
        <v>0.755</v>
      </c>
      <c r="L114" s="591">
        <v>0.755</v>
      </c>
      <c r="M114" s="615"/>
      <c r="N114" s="614">
        <f t="shared" ca="1" si="9"/>
        <v>0.78280000000000005</v>
      </c>
      <c r="O114" s="614">
        <f t="shared" ca="1" si="11"/>
        <v>0.755</v>
      </c>
    </row>
    <row r="115" spans="1:15" hidden="1">
      <c r="A115" s="591" t="s">
        <v>80</v>
      </c>
      <c r="B115" s="591" t="s">
        <v>422</v>
      </c>
      <c r="C115" s="591" t="s">
        <v>239</v>
      </c>
      <c r="D115" s="612" t="s">
        <v>711</v>
      </c>
      <c r="E115" s="612">
        <v>6</v>
      </c>
      <c r="F115" s="591">
        <v>1</v>
      </c>
      <c r="G115" s="591">
        <v>1</v>
      </c>
      <c r="H115" s="591">
        <v>1</v>
      </c>
      <c r="J115" s="591">
        <v>1</v>
      </c>
      <c r="K115" s="591">
        <v>1</v>
      </c>
      <c r="L115" s="591">
        <v>1</v>
      </c>
      <c r="M115" s="615"/>
      <c r="N115" s="614">
        <f t="shared" ca="1" si="9"/>
        <v>1</v>
      </c>
      <c r="O115" s="614">
        <f t="shared" ca="1" si="11"/>
        <v>1</v>
      </c>
    </row>
    <row r="116" spans="1:15" hidden="1">
      <c r="A116" s="591" t="s">
        <v>82</v>
      </c>
      <c r="B116" s="591" t="s">
        <v>445</v>
      </c>
      <c r="C116" s="591" t="s">
        <v>239</v>
      </c>
      <c r="D116" s="612" t="s">
        <v>711</v>
      </c>
      <c r="E116" s="612">
        <v>14</v>
      </c>
      <c r="F116" s="591">
        <v>0.755</v>
      </c>
      <c r="G116" s="591">
        <v>0.755</v>
      </c>
      <c r="H116" s="591">
        <v>0.72499999999999998</v>
      </c>
      <c r="J116" s="591">
        <v>0.755</v>
      </c>
      <c r="K116" s="591">
        <v>0.755</v>
      </c>
      <c r="L116" s="591">
        <v>0.755</v>
      </c>
      <c r="M116" s="615"/>
      <c r="N116" s="614">
        <f t="shared" ca="1" si="9"/>
        <v>0.72499999999999998</v>
      </c>
      <c r="O116" s="614">
        <f t="shared" ca="1" si="11"/>
        <v>0.755</v>
      </c>
    </row>
    <row r="117" spans="1:15" hidden="1">
      <c r="A117" s="591" t="s">
        <v>84</v>
      </c>
      <c r="B117" s="591" t="s">
        <v>422</v>
      </c>
      <c r="C117" s="591" t="s">
        <v>107</v>
      </c>
      <c r="D117" s="612" t="s">
        <v>711</v>
      </c>
      <c r="E117" s="612">
        <v>6</v>
      </c>
      <c r="F117" s="591">
        <v>1</v>
      </c>
      <c r="G117" s="591">
        <v>1</v>
      </c>
      <c r="H117" s="591">
        <v>1</v>
      </c>
      <c r="J117" s="591">
        <v>1</v>
      </c>
      <c r="K117" s="591">
        <v>1</v>
      </c>
      <c r="L117" s="591">
        <v>1</v>
      </c>
      <c r="M117" s="615"/>
      <c r="N117" s="614">
        <f t="shared" ca="1" si="9"/>
        <v>1</v>
      </c>
      <c r="O117" s="614">
        <f t="shared" ca="1" si="11"/>
        <v>1</v>
      </c>
    </row>
    <row r="118" spans="1:15" hidden="1">
      <c r="A118" s="591" t="s">
        <v>83</v>
      </c>
      <c r="B118" s="591" t="s">
        <v>445</v>
      </c>
      <c r="C118" s="591" t="s">
        <v>107</v>
      </c>
      <c r="D118" s="612" t="s">
        <v>711</v>
      </c>
      <c r="E118" s="612">
        <v>14</v>
      </c>
      <c r="F118" s="591">
        <v>0.755</v>
      </c>
      <c r="G118" s="591">
        <v>0.755</v>
      </c>
      <c r="H118" s="591">
        <v>6.3500000000000001E-2</v>
      </c>
      <c r="J118" s="591">
        <v>0.755</v>
      </c>
      <c r="K118" s="591">
        <v>0.755</v>
      </c>
      <c r="L118" s="591">
        <v>0.755</v>
      </c>
      <c r="M118" s="615"/>
      <c r="N118" s="614">
        <f t="shared" ca="1" si="9"/>
        <v>6.3500000000000001E-2</v>
      </c>
      <c r="O118" s="614">
        <f t="shared" ca="1" si="11"/>
        <v>0.755</v>
      </c>
    </row>
    <row r="119" spans="1:15" hidden="1">
      <c r="A119" s="604" t="s">
        <v>116</v>
      </c>
      <c r="B119" s="604" t="s">
        <v>445</v>
      </c>
      <c r="C119" s="604" t="s">
        <v>240</v>
      </c>
      <c r="D119" s="605" t="s">
        <v>711</v>
      </c>
      <c r="E119" s="605">
        <v>9</v>
      </c>
      <c r="F119" s="604">
        <v>0.54410000000000003</v>
      </c>
      <c r="G119" s="604">
        <v>0.54410000000000003</v>
      </c>
      <c r="H119" s="604">
        <v>0.54410000000000003</v>
      </c>
      <c r="I119" s="604"/>
      <c r="J119" s="604">
        <v>0.54410000000000003</v>
      </c>
      <c r="K119" s="604">
        <v>0.54410000000000003</v>
      </c>
      <c r="L119" s="604">
        <v>0.54410000000000003</v>
      </c>
      <c r="M119" s="615"/>
      <c r="N119" s="614">
        <f t="shared" ca="1" si="9"/>
        <v>0.54410000000000003</v>
      </c>
      <c r="O119" s="614">
        <f t="shared" ca="1" si="11"/>
        <v>0.54410000000000003</v>
      </c>
    </row>
    <row r="120" spans="1:15" hidden="1">
      <c r="A120" s="604" t="s">
        <v>85</v>
      </c>
      <c r="B120" s="604" t="s">
        <v>445</v>
      </c>
      <c r="C120" s="604" t="s">
        <v>240</v>
      </c>
      <c r="D120" s="605" t="s">
        <v>711</v>
      </c>
      <c r="E120" s="605">
        <v>10</v>
      </c>
      <c r="F120" s="604">
        <v>3.3E-3</v>
      </c>
      <c r="G120" s="604">
        <v>3.3E-3</v>
      </c>
      <c r="H120" s="604">
        <v>3.3E-3</v>
      </c>
      <c r="I120" s="604"/>
      <c r="J120" s="604">
        <v>3.3E-3</v>
      </c>
      <c r="K120" s="604">
        <v>3.3E-3</v>
      </c>
      <c r="L120" s="604">
        <v>3.3E-3</v>
      </c>
      <c r="M120" s="615"/>
      <c r="N120" s="614">
        <f t="shared" ca="1" si="9"/>
        <v>3.3E-3</v>
      </c>
      <c r="O120" s="614">
        <f t="shared" ca="1" si="11"/>
        <v>3.3E-3</v>
      </c>
    </row>
    <row r="121" spans="1:15" hidden="1">
      <c r="A121" s="604" t="s">
        <v>118</v>
      </c>
      <c r="B121" s="604" t="s">
        <v>445</v>
      </c>
      <c r="C121" s="604" t="s">
        <v>241</v>
      </c>
      <c r="D121" s="605" t="s">
        <v>711</v>
      </c>
      <c r="E121" s="605">
        <v>9</v>
      </c>
      <c r="F121" s="604">
        <v>0.54410000000000003</v>
      </c>
      <c r="G121" s="604">
        <v>0.54410000000000003</v>
      </c>
      <c r="H121" s="604">
        <v>0.56510000000000005</v>
      </c>
      <c r="I121" s="604"/>
      <c r="J121" s="604">
        <v>0.54410000000000003</v>
      </c>
      <c r="K121" s="604">
        <v>0.54410000000000003</v>
      </c>
      <c r="L121" s="604">
        <v>0.54410000000000003</v>
      </c>
      <c r="M121" s="615"/>
      <c r="N121" s="614">
        <f t="shared" ca="1" si="9"/>
        <v>0.56510000000000005</v>
      </c>
      <c r="O121" s="614">
        <f t="shared" ca="1" si="11"/>
        <v>0.54410000000000003</v>
      </c>
    </row>
    <row r="122" spans="1:15" hidden="1">
      <c r="A122" s="604" t="s">
        <v>258</v>
      </c>
      <c r="B122" s="604" t="s">
        <v>445</v>
      </c>
      <c r="C122" s="604" t="s">
        <v>241</v>
      </c>
      <c r="D122" s="605" t="s">
        <v>711</v>
      </c>
      <c r="E122" s="605">
        <v>10</v>
      </c>
      <c r="F122" s="604">
        <v>3.3E-3</v>
      </c>
      <c r="G122" s="604">
        <v>3.3E-3</v>
      </c>
      <c r="H122" s="604">
        <v>3.3999999999999998E-3</v>
      </c>
      <c r="I122" s="604"/>
      <c r="J122" s="604">
        <v>3.3E-3</v>
      </c>
      <c r="K122" s="604">
        <v>3.3E-3</v>
      </c>
      <c r="L122" s="604">
        <v>3.3E-3</v>
      </c>
      <c r="M122" s="615"/>
      <c r="N122" s="614">
        <f t="shared" ca="1" si="9"/>
        <v>3.3999999999999998E-3</v>
      </c>
      <c r="O122" s="614">
        <f t="shared" ca="1" si="11"/>
        <v>3.3E-3</v>
      </c>
    </row>
    <row r="123" spans="1:15" hidden="1">
      <c r="A123" s="604" t="s">
        <v>111</v>
      </c>
      <c r="B123" s="604" t="s">
        <v>445</v>
      </c>
      <c r="C123" s="604" t="s">
        <v>242</v>
      </c>
      <c r="D123" s="605" t="s">
        <v>711</v>
      </c>
      <c r="E123" s="605">
        <v>9</v>
      </c>
      <c r="F123" s="604">
        <v>0.54410000000000003</v>
      </c>
      <c r="G123" s="604">
        <v>0.54410000000000003</v>
      </c>
      <c r="H123" s="604">
        <v>0.56699999999999995</v>
      </c>
      <c r="I123" s="604"/>
      <c r="J123" s="604">
        <v>0.54410000000000003</v>
      </c>
      <c r="K123" s="604">
        <v>0.54410000000000003</v>
      </c>
      <c r="L123" s="604">
        <v>0.54410000000000003</v>
      </c>
      <c r="M123" s="615"/>
      <c r="N123" s="614">
        <f t="shared" ca="1" si="9"/>
        <v>0.56699999999999995</v>
      </c>
      <c r="O123" s="614">
        <f t="shared" ca="1" si="11"/>
        <v>0.54410000000000003</v>
      </c>
    </row>
    <row r="124" spans="1:15" hidden="1">
      <c r="A124" s="604" t="s">
        <v>259</v>
      </c>
      <c r="B124" s="604" t="s">
        <v>445</v>
      </c>
      <c r="C124" s="604" t="s">
        <v>242</v>
      </c>
      <c r="D124" s="605" t="s">
        <v>711</v>
      </c>
      <c r="E124" s="605">
        <v>10</v>
      </c>
      <c r="F124" s="604">
        <v>3.3E-3</v>
      </c>
      <c r="G124" s="604">
        <v>3.3E-3</v>
      </c>
      <c r="H124" s="604">
        <v>1.67E-2</v>
      </c>
      <c r="I124" s="604"/>
      <c r="J124" s="604">
        <v>3.3E-3</v>
      </c>
      <c r="K124" s="604">
        <v>3.3E-3</v>
      </c>
      <c r="L124" s="604">
        <v>3.3E-3</v>
      </c>
      <c r="M124" s="615"/>
      <c r="N124" s="614">
        <f t="shared" ca="1" si="9"/>
        <v>1.67E-2</v>
      </c>
      <c r="O124" s="614">
        <f t="shared" ca="1" si="11"/>
        <v>3.3E-3</v>
      </c>
    </row>
    <row r="125" spans="1:15" hidden="1">
      <c r="A125" s="604" t="s">
        <v>112</v>
      </c>
      <c r="B125" s="604" t="s">
        <v>445</v>
      </c>
      <c r="C125" s="604" t="s">
        <v>142</v>
      </c>
      <c r="D125" s="605" t="s">
        <v>711</v>
      </c>
      <c r="E125" s="605">
        <v>9</v>
      </c>
      <c r="F125" s="604">
        <v>0.54410000000000003</v>
      </c>
      <c r="G125" s="604">
        <v>0.54410000000000003</v>
      </c>
      <c r="H125" s="604">
        <v>0.56699999999999995</v>
      </c>
      <c r="I125" s="604"/>
      <c r="J125" s="604">
        <v>0.54410000000000003</v>
      </c>
      <c r="K125" s="604">
        <v>0.54410000000000003</v>
      </c>
      <c r="L125" s="604">
        <v>0.54410000000000003</v>
      </c>
      <c r="M125" s="615"/>
      <c r="N125" s="614">
        <f t="shared" ca="1" si="9"/>
        <v>0.56699999999999995</v>
      </c>
      <c r="O125" s="614">
        <f t="shared" ca="1" si="11"/>
        <v>0.54410000000000003</v>
      </c>
    </row>
    <row r="126" spans="1:15" hidden="1">
      <c r="A126" s="604" t="s">
        <v>260</v>
      </c>
      <c r="B126" s="604" t="s">
        <v>445</v>
      </c>
      <c r="C126" s="604" t="s">
        <v>142</v>
      </c>
      <c r="D126" s="605" t="s">
        <v>711</v>
      </c>
      <c r="E126" s="605">
        <v>10</v>
      </c>
      <c r="F126" s="604">
        <v>3.3E-3</v>
      </c>
      <c r="G126" s="604">
        <v>3.3E-3</v>
      </c>
      <c r="H126" s="604">
        <v>1.67E-2</v>
      </c>
      <c r="I126" s="604"/>
      <c r="J126" s="604">
        <v>3.3E-3</v>
      </c>
      <c r="K126" s="604">
        <v>3.3E-3</v>
      </c>
      <c r="L126" s="604">
        <v>3.3E-3</v>
      </c>
      <c r="M126" s="615"/>
      <c r="N126" s="614">
        <f t="shared" ca="1" si="9"/>
        <v>1.67E-2</v>
      </c>
      <c r="O126" s="614">
        <f t="shared" ca="1" si="11"/>
        <v>3.3E-3</v>
      </c>
    </row>
    <row r="127" spans="1:15" hidden="1">
      <c r="A127" s="591" t="s">
        <v>145</v>
      </c>
      <c r="B127" s="591" t="s">
        <v>445</v>
      </c>
      <c r="C127" s="591" t="s">
        <v>103</v>
      </c>
      <c r="D127" s="612" t="s">
        <v>711</v>
      </c>
      <c r="E127" s="612">
        <v>7</v>
      </c>
      <c r="F127" s="591">
        <v>0.05</v>
      </c>
      <c r="G127" s="591">
        <v>0.06</v>
      </c>
      <c r="H127" s="591">
        <v>0.3</v>
      </c>
      <c r="J127" s="591">
        <v>0.05</v>
      </c>
      <c r="K127" s="591">
        <v>0.04</v>
      </c>
      <c r="L127" s="591">
        <v>0.04</v>
      </c>
      <c r="M127" s="615"/>
      <c r="N127" s="614">
        <f t="shared" ca="1" si="9"/>
        <v>0.3</v>
      </c>
      <c r="O127" s="614">
        <f t="shared" ca="1" si="11"/>
        <v>0.04</v>
      </c>
    </row>
    <row r="128" spans="1:15" hidden="1">
      <c r="A128" s="591" t="s">
        <v>146</v>
      </c>
      <c r="B128" s="591" t="s">
        <v>445</v>
      </c>
      <c r="C128" s="591" t="s">
        <v>103</v>
      </c>
      <c r="D128" s="612" t="s">
        <v>711</v>
      </c>
      <c r="E128" s="612">
        <v>8</v>
      </c>
      <c r="F128" s="591">
        <v>0.01</v>
      </c>
      <c r="G128" s="591">
        <v>0.01</v>
      </c>
      <c r="H128" s="591">
        <v>0.02</v>
      </c>
      <c r="J128" s="591">
        <v>0.01</v>
      </c>
      <c r="K128" s="591">
        <v>0.02</v>
      </c>
      <c r="L128" s="591">
        <v>0.02</v>
      </c>
      <c r="M128" s="615"/>
      <c r="N128" s="614">
        <f t="shared" ca="1" si="9"/>
        <v>0.02</v>
      </c>
      <c r="O128" s="614">
        <f t="shared" ca="1" si="11"/>
        <v>0.02</v>
      </c>
    </row>
    <row r="129" spans="1:15" hidden="1">
      <c r="A129" s="591" t="s">
        <v>261</v>
      </c>
      <c r="B129" s="591" t="s">
        <v>445</v>
      </c>
      <c r="C129" s="591" t="s">
        <v>103</v>
      </c>
      <c r="D129" s="612" t="s">
        <v>711</v>
      </c>
      <c r="E129" s="612">
        <v>9</v>
      </c>
      <c r="F129" s="591">
        <v>0.08</v>
      </c>
      <c r="G129" s="591">
        <v>0.05</v>
      </c>
      <c r="H129" s="591">
        <v>0.05</v>
      </c>
      <c r="J129" s="591">
        <v>0.08</v>
      </c>
      <c r="K129" s="591">
        <v>0.05</v>
      </c>
      <c r="L129" s="591">
        <v>0.05</v>
      </c>
      <c r="M129" s="615"/>
      <c r="N129" s="614">
        <f t="shared" ca="1" si="9"/>
        <v>0.05</v>
      </c>
      <c r="O129" s="614">
        <f t="shared" ca="1" si="11"/>
        <v>0.05</v>
      </c>
    </row>
    <row r="130" spans="1:15" hidden="1">
      <c r="A130" s="591" t="s">
        <v>147</v>
      </c>
      <c r="B130" s="591" t="s">
        <v>445</v>
      </c>
      <c r="C130" s="591" t="s">
        <v>103</v>
      </c>
      <c r="D130" s="612" t="s">
        <v>711</v>
      </c>
      <c r="E130" s="612">
        <v>10</v>
      </c>
      <c r="F130" s="591">
        <v>0.79</v>
      </c>
      <c r="G130" s="591">
        <v>0.79</v>
      </c>
      <c r="H130" s="591">
        <v>0.6</v>
      </c>
      <c r="J130" s="591">
        <v>0.79</v>
      </c>
      <c r="K130" s="591">
        <v>0.75</v>
      </c>
      <c r="L130" s="591">
        <v>0.75</v>
      </c>
      <c r="M130" s="615"/>
      <c r="N130" s="614">
        <f t="shared" ca="1" si="9"/>
        <v>0.6</v>
      </c>
      <c r="O130" s="614">
        <f t="shared" ca="1" si="11"/>
        <v>0.75</v>
      </c>
    </row>
    <row r="131" spans="1:15" hidden="1">
      <c r="A131" s="591" t="s">
        <v>226</v>
      </c>
      <c r="B131" s="591" t="s">
        <v>419</v>
      </c>
      <c r="C131" s="591" t="s">
        <v>774</v>
      </c>
      <c r="D131" s="612" t="s">
        <v>775</v>
      </c>
      <c r="E131" s="612" t="s">
        <v>775</v>
      </c>
      <c r="F131" s="591">
        <v>1</v>
      </c>
      <c r="G131" s="591">
        <v>0.91</v>
      </c>
      <c r="H131" s="591">
        <v>0.9</v>
      </c>
      <c r="J131" s="591">
        <v>1</v>
      </c>
      <c r="K131" s="591">
        <v>0.91</v>
      </c>
      <c r="L131" s="591">
        <v>0.9</v>
      </c>
      <c r="N131" s="614">
        <f t="shared" ref="N131:N139" ca="1" si="12">OFFSET($E131,0,RegIndex)</f>
        <v>0.9</v>
      </c>
      <c r="O131" s="614">
        <f t="shared" ca="1" si="11"/>
        <v>0.9</v>
      </c>
    </row>
    <row r="132" spans="1:15" hidden="1">
      <c r="A132" s="591" t="s">
        <v>865</v>
      </c>
      <c r="B132" s="591" t="s">
        <v>866</v>
      </c>
      <c r="C132" s="591" t="s">
        <v>866</v>
      </c>
      <c r="F132" s="591">
        <v>1.05</v>
      </c>
      <c r="G132" s="619">
        <f>1/0.92</f>
        <v>1.0869565217391304</v>
      </c>
      <c r="H132" s="619">
        <f>1/0.92</f>
        <v>1.0869565217391304</v>
      </c>
      <c r="J132" s="591">
        <v>0.98</v>
      </c>
      <c r="K132" s="619">
        <v>0.94</v>
      </c>
      <c r="L132" s="619">
        <v>0.94</v>
      </c>
      <c r="N132" s="614">
        <f t="shared" ca="1" si="12"/>
        <v>1.0869565217391304</v>
      </c>
      <c r="O132" s="614">
        <f t="shared" ca="1" si="11"/>
        <v>0.94</v>
      </c>
    </row>
    <row r="133" spans="1:15" hidden="1">
      <c r="A133" s="591" t="s">
        <v>859</v>
      </c>
      <c r="B133" s="591" t="s">
        <v>836</v>
      </c>
      <c r="C133" s="591" t="s">
        <v>877</v>
      </c>
      <c r="F133" s="591">
        <v>0.6</v>
      </c>
      <c r="G133" s="591">
        <v>0.6</v>
      </c>
      <c r="H133" s="591">
        <v>0.6</v>
      </c>
      <c r="J133" s="591">
        <v>0.6</v>
      </c>
      <c r="K133" s="591">
        <v>0.6</v>
      </c>
      <c r="L133" s="591">
        <v>0.6</v>
      </c>
      <c r="N133" s="614">
        <f t="shared" ca="1" si="12"/>
        <v>0.6</v>
      </c>
      <c r="O133" s="614">
        <f t="shared" ca="1" si="11"/>
        <v>0.6</v>
      </c>
    </row>
    <row r="134" spans="1:15" hidden="1">
      <c r="A134" s="591" t="s">
        <v>859</v>
      </c>
      <c r="B134" s="591" t="s">
        <v>837</v>
      </c>
      <c r="C134" s="591" t="s">
        <v>877</v>
      </c>
      <c r="F134" s="591">
        <v>0.4</v>
      </c>
      <c r="G134" s="591">
        <v>0.4</v>
      </c>
      <c r="H134" s="591">
        <v>0.4</v>
      </c>
      <c r="J134" s="591">
        <v>0.4</v>
      </c>
      <c r="K134" s="591">
        <v>0.4</v>
      </c>
      <c r="L134" s="591">
        <v>0.4</v>
      </c>
      <c r="N134" s="614">
        <f t="shared" ca="1" si="12"/>
        <v>0.4</v>
      </c>
      <c r="O134" s="614">
        <f t="shared" ca="1" si="11"/>
        <v>0.4</v>
      </c>
    </row>
    <row r="135" spans="1:15" hidden="1">
      <c r="A135" s="591" t="s">
        <v>859</v>
      </c>
      <c r="B135" s="591" t="s">
        <v>838</v>
      </c>
      <c r="C135" s="591" t="s">
        <v>877</v>
      </c>
      <c r="F135" s="591">
        <v>0.25</v>
      </c>
      <c r="G135" s="591">
        <v>0.25</v>
      </c>
      <c r="H135" s="591">
        <v>0.25</v>
      </c>
      <c r="J135" s="591">
        <v>0.25</v>
      </c>
      <c r="K135" s="591">
        <v>0.25</v>
      </c>
      <c r="L135" s="591">
        <v>0.25</v>
      </c>
      <c r="N135" s="614">
        <f t="shared" ca="1" si="12"/>
        <v>0.25</v>
      </c>
      <c r="O135" s="614">
        <f t="shared" ca="1" si="11"/>
        <v>0.25</v>
      </c>
    </row>
    <row r="136" spans="1:15" hidden="1">
      <c r="A136" s="591" t="s">
        <v>860</v>
      </c>
      <c r="B136" s="591" t="s">
        <v>832</v>
      </c>
      <c r="C136" s="591" t="s">
        <v>878</v>
      </c>
      <c r="F136" s="591">
        <v>0.52</v>
      </c>
      <c r="G136" s="591">
        <v>0.52</v>
      </c>
      <c r="H136" s="591">
        <v>0.52</v>
      </c>
      <c r="J136" s="591">
        <v>0.52</v>
      </c>
      <c r="K136" s="591">
        <v>0.52</v>
      </c>
      <c r="L136" s="591">
        <v>0.52</v>
      </c>
      <c r="N136" s="614">
        <f t="shared" ca="1" si="12"/>
        <v>0.52</v>
      </c>
      <c r="O136" s="614">
        <f t="shared" ca="1" si="11"/>
        <v>0.52</v>
      </c>
    </row>
    <row r="137" spans="1:15" hidden="1">
      <c r="A137" s="591" t="s">
        <v>860</v>
      </c>
      <c r="B137" s="591" t="s">
        <v>833</v>
      </c>
      <c r="C137" s="591" t="s">
        <v>878</v>
      </c>
      <c r="F137" s="591">
        <v>0.4</v>
      </c>
      <c r="G137" s="591">
        <v>0.4</v>
      </c>
      <c r="H137" s="591">
        <v>0.4</v>
      </c>
      <c r="J137" s="591">
        <v>0.4</v>
      </c>
      <c r="K137" s="591">
        <v>0.4</v>
      </c>
      <c r="L137" s="591">
        <v>0.4</v>
      </c>
      <c r="N137" s="614">
        <f t="shared" ca="1" si="12"/>
        <v>0.4</v>
      </c>
      <c r="O137" s="614">
        <f t="shared" ca="1" si="11"/>
        <v>0.4</v>
      </c>
    </row>
    <row r="138" spans="1:15" hidden="1">
      <c r="A138" s="591" t="s">
        <v>860</v>
      </c>
      <c r="B138" s="591" t="s">
        <v>834</v>
      </c>
      <c r="C138" s="591" t="s">
        <v>878</v>
      </c>
      <c r="F138" s="591">
        <v>0.21</v>
      </c>
      <c r="G138" s="591">
        <v>0.21</v>
      </c>
      <c r="H138" s="591">
        <v>0.21</v>
      </c>
      <c r="J138" s="591">
        <v>0.21</v>
      </c>
      <c r="K138" s="591">
        <v>0.21</v>
      </c>
      <c r="L138" s="591">
        <v>0.21</v>
      </c>
      <c r="N138" s="614">
        <f t="shared" ca="1" si="12"/>
        <v>0.21</v>
      </c>
      <c r="O138" s="614">
        <f t="shared" ca="1" si="11"/>
        <v>0.21</v>
      </c>
    </row>
    <row r="139" spans="1:15" hidden="1">
      <c r="A139" s="591" t="s">
        <v>867</v>
      </c>
      <c r="B139" s="591" t="s">
        <v>948</v>
      </c>
      <c r="C139" s="591" t="s">
        <v>878</v>
      </c>
      <c r="F139" s="603">
        <v>0.65</v>
      </c>
      <c r="G139" s="603">
        <v>0.7</v>
      </c>
      <c r="H139" s="603">
        <v>1</v>
      </c>
      <c r="J139" s="603">
        <v>0.65</v>
      </c>
      <c r="K139" s="603">
        <v>0.7</v>
      </c>
      <c r="L139" s="603">
        <v>1</v>
      </c>
      <c r="N139" s="614">
        <f t="shared" ca="1" si="12"/>
        <v>1</v>
      </c>
      <c r="O139" s="614">
        <f t="shared" ca="1" si="11"/>
        <v>1</v>
      </c>
    </row>
  </sheetData>
  <sheetProtection password="C14A" sheet="1" objects="1" selectLockedCells="1" selectUnlockedCells="1"/>
  <phoneticPr fontId="35"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sheetPr codeName="Sheet9"/>
  <dimension ref="B2:I141"/>
  <sheetViews>
    <sheetView zoomScale="75" workbookViewId="0">
      <selection activeCell="B1" sqref="B1"/>
    </sheetView>
  </sheetViews>
  <sheetFormatPr defaultColWidth="11.42578125" defaultRowHeight="12.75"/>
  <cols>
    <col min="1" max="1" width="9.140625" customWidth="1"/>
    <col min="2" max="2" width="12.140625" customWidth="1"/>
    <col min="3" max="3" width="10.7109375" customWidth="1"/>
    <col min="4" max="4" width="30.85546875" bestFit="1" customWidth="1"/>
    <col min="5" max="5" width="12.85546875" customWidth="1"/>
    <col min="6" max="6" width="10.7109375" customWidth="1"/>
  </cols>
  <sheetData>
    <row r="2" spans="2:9">
      <c r="B2" s="245" t="s">
        <v>382</v>
      </c>
    </row>
    <row r="3" spans="2:9">
      <c r="B3" s="275" t="s">
        <v>383</v>
      </c>
      <c r="C3" s="275" t="s">
        <v>384</v>
      </c>
      <c r="D3" s="275" t="s">
        <v>385</v>
      </c>
      <c r="E3" s="275" t="s">
        <v>386</v>
      </c>
      <c r="F3" s="276" t="s">
        <v>86</v>
      </c>
      <c r="G3" s="276" t="s">
        <v>274</v>
      </c>
      <c r="H3" s="276" t="s">
        <v>275</v>
      </c>
      <c r="I3" s="276" t="s">
        <v>276</v>
      </c>
    </row>
    <row r="4" spans="2:9">
      <c r="B4" s="494" t="s">
        <v>1005</v>
      </c>
      <c r="C4" s="436" t="s">
        <v>434</v>
      </c>
      <c r="D4" s="436" t="s">
        <v>301</v>
      </c>
      <c r="E4" s="436" t="s">
        <v>249</v>
      </c>
      <c r="F4" s="436"/>
      <c r="G4" s="436"/>
      <c r="H4" s="436"/>
      <c r="I4" s="436"/>
    </row>
    <row r="5" spans="2:9">
      <c r="B5" s="494" t="s">
        <v>1005</v>
      </c>
      <c r="C5" s="436" t="s">
        <v>240</v>
      </c>
      <c r="D5" s="436" t="s">
        <v>108</v>
      </c>
      <c r="E5" s="436" t="s">
        <v>249</v>
      </c>
      <c r="F5" s="436"/>
      <c r="G5" s="436"/>
      <c r="H5" s="436"/>
      <c r="I5" s="436"/>
    </row>
    <row r="6" spans="2:9">
      <c r="B6" s="494" t="s">
        <v>1005</v>
      </c>
      <c r="C6" s="436" t="s">
        <v>241</v>
      </c>
      <c r="D6" s="436" t="s">
        <v>109</v>
      </c>
      <c r="E6" s="436" t="s">
        <v>249</v>
      </c>
      <c r="F6" s="436"/>
      <c r="G6" s="436"/>
      <c r="H6" s="436"/>
      <c r="I6" s="436"/>
    </row>
    <row r="7" spans="2:9">
      <c r="B7" s="494" t="s">
        <v>1005</v>
      </c>
      <c r="C7" s="436" t="s">
        <v>71</v>
      </c>
      <c r="D7" s="436" t="s">
        <v>485</v>
      </c>
      <c r="E7" s="436" t="s">
        <v>249</v>
      </c>
      <c r="F7" s="436"/>
      <c r="G7" s="436"/>
      <c r="H7" s="436"/>
      <c r="I7" s="436"/>
    </row>
    <row r="8" spans="2:9">
      <c r="B8" s="494" t="s">
        <v>1005</v>
      </c>
      <c r="C8" s="436" t="s">
        <v>237</v>
      </c>
      <c r="D8" s="436" t="s">
        <v>387</v>
      </c>
      <c r="E8" s="436" t="s">
        <v>249</v>
      </c>
      <c r="F8" s="436"/>
      <c r="G8" s="436"/>
      <c r="H8" s="436"/>
      <c r="I8" s="436"/>
    </row>
    <row r="9" spans="2:9">
      <c r="B9" s="494" t="s">
        <v>1005</v>
      </c>
      <c r="C9" s="436" t="s">
        <v>238</v>
      </c>
      <c r="D9" s="436" t="s">
        <v>754</v>
      </c>
      <c r="E9" s="436" t="s">
        <v>249</v>
      </c>
      <c r="F9" s="436"/>
      <c r="G9" s="436"/>
      <c r="H9" s="436"/>
      <c r="I9" s="436"/>
    </row>
    <row r="10" spans="2:9">
      <c r="B10" s="494" t="s">
        <v>1005</v>
      </c>
      <c r="C10" s="436" t="s">
        <v>235</v>
      </c>
      <c r="D10" s="436" t="s">
        <v>234</v>
      </c>
      <c r="E10" s="436" t="s">
        <v>249</v>
      </c>
      <c r="F10" s="436"/>
      <c r="G10" s="436"/>
      <c r="H10" s="436"/>
      <c r="I10" s="436"/>
    </row>
    <row r="11" spans="2:9">
      <c r="B11" s="494" t="s">
        <v>1005</v>
      </c>
      <c r="C11" s="436" t="s">
        <v>1131</v>
      </c>
      <c r="D11" s="436" t="s">
        <v>1096</v>
      </c>
      <c r="E11" s="436" t="s">
        <v>249</v>
      </c>
      <c r="F11" s="436"/>
      <c r="G11" s="436"/>
      <c r="H11" s="436"/>
      <c r="I11" s="436"/>
    </row>
    <row r="12" spans="2:9">
      <c r="B12" s="494" t="s">
        <v>1005</v>
      </c>
      <c r="C12" s="436" t="s">
        <v>103</v>
      </c>
      <c r="D12" s="436" t="s">
        <v>102</v>
      </c>
      <c r="E12" s="436" t="s">
        <v>249</v>
      </c>
      <c r="F12" s="436"/>
      <c r="G12" s="436"/>
      <c r="H12" s="436"/>
      <c r="I12" s="436"/>
    </row>
    <row r="13" spans="2:9">
      <c r="B13" s="494" t="s">
        <v>1005</v>
      </c>
      <c r="C13" s="436" t="s">
        <v>482</v>
      </c>
      <c r="D13" s="436" t="s">
        <v>641</v>
      </c>
      <c r="E13" s="436" t="s">
        <v>249</v>
      </c>
      <c r="F13" s="436"/>
      <c r="G13" s="436"/>
      <c r="H13" s="436"/>
      <c r="I13" s="436"/>
    </row>
    <row r="14" spans="2:9">
      <c r="B14" s="494" t="s">
        <v>1005</v>
      </c>
      <c r="C14" s="436" t="s">
        <v>215</v>
      </c>
      <c r="D14" s="436" t="s">
        <v>216</v>
      </c>
      <c r="E14" s="436" t="s">
        <v>249</v>
      </c>
      <c r="F14" s="436"/>
      <c r="G14" s="436"/>
      <c r="H14" s="436"/>
      <c r="I14" s="436"/>
    </row>
    <row r="15" spans="2:9">
      <c r="B15" s="494" t="s">
        <v>1005</v>
      </c>
      <c r="C15" s="436" t="s">
        <v>70</v>
      </c>
      <c r="D15" s="436" t="s">
        <v>640</v>
      </c>
      <c r="E15" s="436" t="s">
        <v>249</v>
      </c>
      <c r="F15" s="436"/>
      <c r="G15" s="436"/>
      <c r="H15" s="436"/>
      <c r="I15" s="436"/>
    </row>
    <row r="16" spans="2:9">
      <c r="B16" s="494" t="s">
        <v>1005</v>
      </c>
      <c r="C16" s="436" t="s">
        <v>255</v>
      </c>
      <c r="D16" s="436" t="s">
        <v>599</v>
      </c>
      <c r="E16" s="436" t="s">
        <v>249</v>
      </c>
      <c r="F16" s="436"/>
      <c r="G16" s="436"/>
      <c r="H16" s="436"/>
      <c r="I16" s="436"/>
    </row>
    <row r="17" spans="2:9">
      <c r="B17" s="494" t="s">
        <v>1005</v>
      </c>
      <c r="C17" s="436" t="s">
        <v>254</v>
      </c>
      <c r="D17" s="436" t="s">
        <v>600</v>
      </c>
      <c r="E17" s="436" t="s">
        <v>249</v>
      </c>
      <c r="F17" s="436"/>
      <c r="G17" s="436"/>
      <c r="H17" s="436"/>
      <c r="I17" s="436"/>
    </row>
    <row r="18" spans="2:9">
      <c r="B18" s="494" t="s">
        <v>1005</v>
      </c>
      <c r="C18" s="436" t="s">
        <v>94</v>
      </c>
      <c r="D18" s="436" t="s">
        <v>99</v>
      </c>
      <c r="E18" s="436" t="s">
        <v>249</v>
      </c>
      <c r="F18" s="436"/>
      <c r="G18" s="436"/>
      <c r="H18" s="436"/>
      <c r="I18" s="436"/>
    </row>
    <row r="19" spans="2:9">
      <c r="B19" s="494" t="s">
        <v>1005</v>
      </c>
      <c r="C19" s="436" t="s">
        <v>96</v>
      </c>
      <c r="D19" s="436" t="s">
        <v>100</v>
      </c>
      <c r="E19" s="436" t="s">
        <v>249</v>
      </c>
      <c r="F19" s="436"/>
      <c r="G19" s="436"/>
      <c r="H19" s="436"/>
      <c r="I19" s="436"/>
    </row>
    <row r="20" spans="2:9">
      <c r="B20" s="494" t="s">
        <v>1005</v>
      </c>
      <c r="C20" s="436" t="s">
        <v>92</v>
      </c>
      <c r="D20" s="436" t="s">
        <v>101</v>
      </c>
      <c r="E20" s="436" t="s">
        <v>249</v>
      </c>
      <c r="F20" s="436"/>
      <c r="G20" s="436"/>
      <c r="H20" s="436"/>
      <c r="I20" s="436"/>
    </row>
    <row r="21" spans="2:9">
      <c r="B21" s="494" t="s">
        <v>1005</v>
      </c>
      <c r="C21" s="436" t="s">
        <v>639</v>
      </c>
      <c r="D21" s="436" t="s">
        <v>638</v>
      </c>
      <c r="E21" s="436" t="s">
        <v>249</v>
      </c>
      <c r="F21" s="436"/>
      <c r="G21" s="436"/>
      <c r="H21" s="436"/>
      <c r="I21" s="436"/>
    </row>
    <row r="22" spans="2:9">
      <c r="B22" s="494" t="s">
        <v>1005</v>
      </c>
      <c r="C22" s="436" t="s">
        <v>253</v>
      </c>
      <c r="D22" s="436" t="s">
        <v>388</v>
      </c>
      <c r="E22" s="436" t="s">
        <v>249</v>
      </c>
      <c r="F22" s="436"/>
      <c r="G22" s="436"/>
      <c r="H22" s="436"/>
      <c r="I22" s="436"/>
    </row>
    <row r="23" spans="2:9">
      <c r="B23" s="494" t="s">
        <v>1005</v>
      </c>
      <c r="C23" s="436" t="s">
        <v>252</v>
      </c>
      <c r="D23" s="436" t="s">
        <v>755</v>
      </c>
      <c r="E23" s="436" t="s">
        <v>249</v>
      </c>
      <c r="F23" s="436"/>
      <c r="G23" s="436"/>
      <c r="H23" s="436"/>
      <c r="I23" s="436"/>
    </row>
    <row r="24" spans="2:9">
      <c r="B24" s="494" t="s">
        <v>1005</v>
      </c>
      <c r="C24" s="436" t="s">
        <v>909</v>
      </c>
      <c r="D24" s="436" t="s">
        <v>908</v>
      </c>
      <c r="E24" s="436" t="s">
        <v>249</v>
      </c>
      <c r="F24" s="436"/>
      <c r="G24" s="436"/>
      <c r="H24" s="436"/>
      <c r="I24" s="436"/>
    </row>
    <row r="25" spans="2:9">
      <c r="B25" s="494" t="s">
        <v>1005</v>
      </c>
      <c r="C25" s="436" t="s">
        <v>906</v>
      </c>
      <c r="D25" s="436" t="s">
        <v>907</v>
      </c>
      <c r="E25" s="436" t="s">
        <v>249</v>
      </c>
      <c r="F25" s="436"/>
      <c r="G25" s="436"/>
      <c r="H25" s="436"/>
      <c r="I25" s="436"/>
    </row>
    <row r="26" spans="2:9">
      <c r="B26" s="494" t="s">
        <v>1005</v>
      </c>
      <c r="C26" s="436" t="s">
        <v>44</v>
      </c>
      <c r="D26" s="436" t="s">
        <v>89</v>
      </c>
      <c r="E26" s="436" t="s">
        <v>249</v>
      </c>
      <c r="F26" s="436"/>
      <c r="G26" s="436"/>
      <c r="H26" s="436"/>
      <c r="I26" s="436"/>
    </row>
    <row r="27" spans="2:9">
      <c r="B27" s="494" t="s">
        <v>1005</v>
      </c>
      <c r="C27" s="436" t="s">
        <v>1132</v>
      </c>
      <c r="D27" s="436" t="s">
        <v>1095</v>
      </c>
      <c r="E27" s="436" t="s">
        <v>249</v>
      </c>
      <c r="F27" s="436"/>
      <c r="G27" s="436"/>
      <c r="H27" s="436"/>
      <c r="I27" s="436"/>
    </row>
    <row r="28" spans="2:9">
      <c r="B28" s="494" t="s">
        <v>1005</v>
      </c>
      <c r="C28" s="436" t="s">
        <v>303</v>
      </c>
      <c r="D28" s="436" t="s">
        <v>389</v>
      </c>
      <c r="E28" s="436" t="s">
        <v>249</v>
      </c>
      <c r="F28" s="436"/>
      <c r="G28" s="436"/>
      <c r="H28" s="436"/>
      <c r="I28" s="436"/>
    </row>
    <row r="29" spans="2:9">
      <c r="B29" s="494" t="s">
        <v>1005</v>
      </c>
      <c r="C29" s="436" t="s">
        <v>308</v>
      </c>
      <c r="D29" s="436" t="s">
        <v>756</v>
      </c>
      <c r="E29" s="436" t="s">
        <v>249</v>
      </c>
      <c r="F29" s="436"/>
      <c r="G29" s="436"/>
      <c r="H29" s="436"/>
      <c r="I29" s="436"/>
    </row>
    <row r="30" spans="2:9">
      <c r="B30" s="494" t="s">
        <v>1005</v>
      </c>
      <c r="C30" s="436" t="s">
        <v>504</v>
      </c>
      <c r="D30" s="436" t="s">
        <v>390</v>
      </c>
      <c r="E30" s="436" t="s">
        <v>249</v>
      </c>
      <c r="F30" s="436"/>
      <c r="G30" s="436"/>
      <c r="H30" s="436"/>
      <c r="I30" s="436"/>
    </row>
    <row r="31" spans="2:9">
      <c r="B31" s="494" t="s">
        <v>1005</v>
      </c>
      <c r="C31" s="436" t="s">
        <v>361</v>
      </c>
      <c r="D31" s="436" t="s">
        <v>757</v>
      </c>
      <c r="E31" s="436" t="s">
        <v>249</v>
      </c>
      <c r="F31" s="436"/>
      <c r="G31" s="436"/>
      <c r="H31" s="436"/>
      <c r="I31" s="436"/>
    </row>
    <row r="32" spans="2:9">
      <c r="B32" s="494" t="s">
        <v>1005</v>
      </c>
      <c r="C32" s="436" t="s">
        <v>637</v>
      </c>
      <c r="D32" s="436" t="s">
        <v>609</v>
      </c>
      <c r="E32" s="436" t="s">
        <v>249</v>
      </c>
      <c r="F32" s="436"/>
      <c r="G32" s="436"/>
      <c r="H32" s="436"/>
      <c r="I32" s="436"/>
    </row>
    <row r="33" spans="2:9">
      <c r="B33" s="494" t="s">
        <v>1005</v>
      </c>
      <c r="C33" s="436" t="s">
        <v>91</v>
      </c>
      <c r="D33" s="436" t="s">
        <v>98</v>
      </c>
      <c r="E33" s="436" t="s">
        <v>249</v>
      </c>
      <c r="F33" s="436"/>
      <c r="G33" s="436"/>
      <c r="H33" s="436"/>
      <c r="I33" s="436"/>
    </row>
    <row r="34" spans="2:9">
      <c r="B34" s="494" t="s">
        <v>1005</v>
      </c>
      <c r="C34" s="436" t="s">
        <v>1128</v>
      </c>
      <c r="D34" s="436" t="s">
        <v>388</v>
      </c>
      <c r="E34" s="436" t="s">
        <v>249</v>
      </c>
      <c r="F34" s="436"/>
      <c r="G34" s="436"/>
      <c r="H34" s="436"/>
      <c r="I34" s="436"/>
    </row>
    <row r="35" spans="2:9">
      <c r="B35" s="494" t="s">
        <v>1005</v>
      </c>
      <c r="C35" s="436" t="s">
        <v>1129</v>
      </c>
      <c r="D35" s="436" t="s">
        <v>755</v>
      </c>
      <c r="E35" s="436" t="s">
        <v>249</v>
      </c>
      <c r="F35" s="436"/>
      <c r="G35" s="436"/>
      <c r="H35" s="436"/>
      <c r="I35" s="436"/>
    </row>
    <row r="36" spans="2:9">
      <c r="B36" s="494" t="s">
        <v>1005</v>
      </c>
      <c r="C36" s="436" t="s">
        <v>1130</v>
      </c>
      <c r="D36" s="436" t="s">
        <v>387</v>
      </c>
      <c r="E36" s="436" t="s">
        <v>249</v>
      </c>
      <c r="F36" s="436"/>
      <c r="G36" s="436"/>
      <c r="H36" s="436"/>
      <c r="I36" s="436"/>
    </row>
    <row r="37" spans="2:9">
      <c r="B37" s="495" t="s">
        <v>744</v>
      </c>
      <c r="C37" s="12" t="s">
        <v>432</v>
      </c>
      <c r="D37" s="12" t="s">
        <v>199</v>
      </c>
      <c r="E37" s="12" t="s">
        <v>249</v>
      </c>
      <c r="F37" s="12"/>
      <c r="G37" s="12" t="s">
        <v>277</v>
      </c>
      <c r="H37" s="12"/>
      <c r="I37" s="12" t="s">
        <v>106</v>
      </c>
    </row>
    <row r="38" spans="2:9">
      <c r="B38" s="495" t="s">
        <v>744</v>
      </c>
      <c r="C38" s="12" t="s">
        <v>445</v>
      </c>
      <c r="D38" s="12" t="s">
        <v>175</v>
      </c>
      <c r="E38" s="12" t="s">
        <v>249</v>
      </c>
      <c r="F38" s="12"/>
      <c r="G38" s="12" t="s">
        <v>277</v>
      </c>
      <c r="H38" s="12"/>
      <c r="I38" s="12" t="s">
        <v>106</v>
      </c>
    </row>
    <row r="39" spans="2:9">
      <c r="B39" s="495" t="s">
        <v>744</v>
      </c>
      <c r="C39" s="12" t="s">
        <v>420</v>
      </c>
      <c r="D39" s="12" t="s">
        <v>42</v>
      </c>
      <c r="E39" s="12" t="s">
        <v>249</v>
      </c>
      <c r="F39" s="12"/>
      <c r="G39" s="12" t="s">
        <v>277</v>
      </c>
      <c r="H39" s="12"/>
      <c r="I39" s="12" t="s">
        <v>106</v>
      </c>
    </row>
    <row r="40" spans="2:9">
      <c r="B40" s="495" t="s">
        <v>744</v>
      </c>
      <c r="C40" s="12" t="s">
        <v>1257</v>
      </c>
      <c r="D40" s="12" t="s">
        <v>1258</v>
      </c>
      <c r="E40" s="12" t="s">
        <v>249</v>
      </c>
      <c r="F40" s="12"/>
      <c r="G40" s="12" t="s">
        <v>812</v>
      </c>
      <c r="H40" s="12"/>
      <c r="I40" s="12" t="s">
        <v>106</v>
      </c>
    </row>
    <row r="41" spans="2:9">
      <c r="B41" s="495" t="s">
        <v>744</v>
      </c>
      <c r="C41" s="12" t="s">
        <v>831</v>
      </c>
      <c r="D41" s="12" t="s">
        <v>845</v>
      </c>
      <c r="E41" s="12" t="s">
        <v>249</v>
      </c>
      <c r="F41" s="12" t="s">
        <v>924</v>
      </c>
      <c r="G41" s="12" t="s">
        <v>812</v>
      </c>
      <c r="H41" s="12"/>
      <c r="I41" s="12" t="s">
        <v>106</v>
      </c>
    </row>
    <row r="42" spans="2:9">
      <c r="B42" s="495" t="s">
        <v>744</v>
      </c>
      <c r="C42" s="12" t="s">
        <v>832</v>
      </c>
      <c r="D42" s="12" t="s">
        <v>846</v>
      </c>
      <c r="E42" s="12" t="s">
        <v>249</v>
      </c>
      <c r="F42" s="12" t="s">
        <v>924</v>
      </c>
      <c r="G42" s="12" t="s">
        <v>812</v>
      </c>
      <c r="H42" s="12"/>
      <c r="I42" s="12" t="s">
        <v>106</v>
      </c>
    </row>
    <row r="43" spans="2:9">
      <c r="B43" s="495" t="s">
        <v>744</v>
      </c>
      <c r="C43" s="12" t="s">
        <v>833</v>
      </c>
      <c r="D43" s="12" t="s">
        <v>847</v>
      </c>
      <c r="E43" s="12" t="s">
        <v>249</v>
      </c>
      <c r="F43" s="12" t="s">
        <v>924</v>
      </c>
      <c r="G43" s="12" t="s">
        <v>812</v>
      </c>
      <c r="H43" s="12"/>
      <c r="I43" s="12" t="s">
        <v>106</v>
      </c>
    </row>
    <row r="44" spans="2:9">
      <c r="B44" s="495" t="s">
        <v>744</v>
      </c>
      <c r="C44" s="12" t="s">
        <v>834</v>
      </c>
      <c r="D44" s="12" t="s">
        <v>848</v>
      </c>
      <c r="E44" s="12" t="s">
        <v>249</v>
      </c>
      <c r="F44" s="12" t="s">
        <v>924</v>
      </c>
      <c r="G44" s="12" t="s">
        <v>812</v>
      </c>
      <c r="H44" s="12"/>
      <c r="I44" s="12" t="s">
        <v>106</v>
      </c>
    </row>
    <row r="45" spans="2:9">
      <c r="B45" s="495" t="s">
        <v>744</v>
      </c>
      <c r="C45" s="12" t="s">
        <v>835</v>
      </c>
      <c r="D45" s="12" t="s">
        <v>849</v>
      </c>
      <c r="E45" s="12" t="s">
        <v>249</v>
      </c>
      <c r="F45" s="12" t="s">
        <v>924</v>
      </c>
      <c r="G45" s="12" t="s">
        <v>812</v>
      </c>
      <c r="H45" s="12"/>
      <c r="I45" s="12" t="s">
        <v>106</v>
      </c>
    </row>
    <row r="46" spans="2:9">
      <c r="B46" s="495" t="s">
        <v>744</v>
      </c>
      <c r="C46" s="12" t="s">
        <v>836</v>
      </c>
      <c r="D46" s="12" t="s">
        <v>850</v>
      </c>
      <c r="E46" s="12" t="s">
        <v>249</v>
      </c>
      <c r="F46" s="12" t="s">
        <v>924</v>
      </c>
      <c r="G46" s="12" t="s">
        <v>812</v>
      </c>
      <c r="H46" s="12"/>
      <c r="I46" s="12" t="s">
        <v>106</v>
      </c>
    </row>
    <row r="47" spans="2:9">
      <c r="B47" s="495" t="s">
        <v>744</v>
      </c>
      <c r="C47" s="12" t="s">
        <v>837</v>
      </c>
      <c r="D47" s="12" t="s">
        <v>851</v>
      </c>
      <c r="E47" s="12" t="s">
        <v>249</v>
      </c>
      <c r="F47" s="12" t="s">
        <v>924</v>
      </c>
      <c r="G47" s="12" t="s">
        <v>812</v>
      </c>
      <c r="H47" s="12"/>
      <c r="I47" s="12" t="s">
        <v>106</v>
      </c>
    </row>
    <row r="48" spans="2:9">
      <c r="B48" s="495" t="s">
        <v>744</v>
      </c>
      <c r="C48" s="12" t="s">
        <v>838</v>
      </c>
      <c r="D48" s="12" t="s">
        <v>852</v>
      </c>
      <c r="E48" s="12" t="s">
        <v>249</v>
      </c>
      <c r="F48" s="12" t="s">
        <v>924</v>
      </c>
      <c r="G48" s="12" t="s">
        <v>812</v>
      </c>
      <c r="H48" s="12"/>
      <c r="I48" s="12" t="s">
        <v>106</v>
      </c>
    </row>
    <row r="49" spans="2:9">
      <c r="B49" s="495" t="s">
        <v>744</v>
      </c>
      <c r="C49" s="12" t="s">
        <v>839</v>
      </c>
      <c r="D49" s="12" t="s">
        <v>853</v>
      </c>
      <c r="E49" s="12" t="s">
        <v>249</v>
      </c>
      <c r="F49" s="12"/>
      <c r="G49" s="12" t="s">
        <v>812</v>
      </c>
      <c r="H49" s="12"/>
      <c r="I49" s="12" t="s">
        <v>106</v>
      </c>
    </row>
    <row r="50" spans="2:9">
      <c r="B50" s="495" t="s">
        <v>744</v>
      </c>
      <c r="C50" s="12" t="s">
        <v>926</v>
      </c>
      <c r="D50" s="12" t="s">
        <v>955</v>
      </c>
      <c r="E50" s="12" t="s">
        <v>249</v>
      </c>
      <c r="F50" s="12"/>
      <c r="G50" s="12" t="s">
        <v>812</v>
      </c>
      <c r="H50" s="12"/>
      <c r="I50" s="12" t="s">
        <v>106</v>
      </c>
    </row>
    <row r="51" spans="2:9">
      <c r="B51" s="495" t="s">
        <v>744</v>
      </c>
      <c r="C51" s="12" t="s">
        <v>840</v>
      </c>
      <c r="D51" s="12" t="s">
        <v>854</v>
      </c>
      <c r="E51" s="12" t="s">
        <v>249</v>
      </c>
      <c r="F51" s="12"/>
      <c r="G51" s="12" t="s">
        <v>812</v>
      </c>
      <c r="H51" s="12"/>
      <c r="I51" s="12" t="s">
        <v>106</v>
      </c>
    </row>
    <row r="52" spans="2:9">
      <c r="B52" s="495" t="s">
        <v>744</v>
      </c>
      <c r="C52" s="12" t="s">
        <v>951</v>
      </c>
      <c r="D52" s="12" t="s">
        <v>954</v>
      </c>
      <c r="E52" s="12" t="s">
        <v>249</v>
      </c>
      <c r="F52" s="12"/>
      <c r="G52" s="12" t="s">
        <v>812</v>
      </c>
      <c r="H52" s="12"/>
      <c r="I52" s="12" t="s">
        <v>106</v>
      </c>
    </row>
    <row r="53" spans="2:9">
      <c r="B53" s="495" t="s">
        <v>744</v>
      </c>
      <c r="C53" s="12" t="s">
        <v>841</v>
      </c>
      <c r="D53" s="12" t="s">
        <v>855</v>
      </c>
      <c r="E53" s="12" t="s">
        <v>249</v>
      </c>
      <c r="F53" s="12"/>
      <c r="G53" s="12" t="s">
        <v>812</v>
      </c>
      <c r="H53" s="12"/>
      <c r="I53" s="12" t="s">
        <v>106</v>
      </c>
    </row>
    <row r="54" spans="2:9">
      <c r="B54" s="495" t="s">
        <v>744</v>
      </c>
      <c r="C54" s="12" t="s">
        <v>952</v>
      </c>
      <c r="D54" s="12" t="s">
        <v>953</v>
      </c>
      <c r="E54" s="12" t="s">
        <v>249</v>
      </c>
      <c r="F54" s="12"/>
      <c r="G54" s="12" t="s">
        <v>812</v>
      </c>
      <c r="H54" s="12"/>
      <c r="I54" s="12" t="s">
        <v>106</v>
      </c>
    </row>
    <row r="55" spans="2:9">
      <c r="B55" s="495" t="s">
        <v>744</v>
      </c>
      <c r="C55" s="12" t="s">
        <v>842</v>
      </c>
      <c r="D55" s="12" t="s">
        <v>856</v>
      </c>
      <c r="E55" s="12" t="s">
        <v>249</v>
      </c>
      <c r="F55" s="12"/>
      <c r="G55" s="12" t="s">
        <v>812</v>
      </c>
      <c r="H55" s="12"/>
      <c r="I55" s="12" t="s">
        <v>106</v>
      </c>
    </row>
    <row r="56" spans="2:9">
      <c r="B56" s="495" t="s">
        <v>744</v>
      </c>
      <c r="C56" s="12" t="s">
        <v>843</v>
      </c>
      <c r="D56" s="12" t="s">
        <v>857</v>
      </c>
      <c r="E56" s="12" t="s">
        <v>249</v>
      </c>
      <c r="F56" s="12"/>
      <c r="G56" s="12" t="s">
        <v>812</v>
      </c>
      <c r="H56" s="12"/>
      <c r="I56" s="12" t="s">
        <v>106</v>
      </c>
    </row>
    <row r="57" spans="2:9">
      <c r="B57" s="495" t="s">
        <v>744</v>
      </c>
      <c r="C57" s="12" t="s">
        <v>844</v>
      </c>
      <c r="D57" s="12" t="s">
        <v>858</v>
      </c>
      <c r="E57" s="12" t="s">
        <v>249</v>
      </c>
      <c r="F57" s="12"/>
      <c r="G57" s="12" t="s">
        <v>812</v>
      </c>
      <c r="H57" s="12"/>
      <c r="I57" s="12" t="s">
        <v>106</v>
      </c>
    </row>
    <row r="58" spans="2:9">
      <c r="B58" s="492" t="s">
        <v>744</v>
      </c>
      <c r="C58" s="293" t="s">
        <v>1231</v>
      </c>
      <c r="D58" s="293" t="s">
        <v>1229</v>
      </c>
      <c r="E58" s="293" t="s">
        <v>249</v>
      </c>
      <c r="F58" s="293"/>
      <c r="G58" s="293"/>
      <c r="H58" s="293"/>
      <c r="I58" s="293"/>
    </row>
    <row r="59" spans="2:9">
      <c r="B59" s="492" t="s">
        <v>744</v>
      </c>
      <c r="C59" s="293" t="s">
        <v>431</v>
      </c>
      <c r="D59" s="293" t="s">
        <v>193</v>
      </c>
      <c r="E59" s="293" t="s">
        <v>249</v>
      </c>
      <c r="F59" s="293"/>
      <c r="G59" s="293"/>
      <c r="H59" s="293"/>
      <c r="I59" s="293"/>
    </row>
    <row r="60" spans="2:9">
      <c r="B60" s="492" t="s">
        <v>744</v>
      </c>
      <c r="C60" s="293" t="s">
        <v>1046</v>
      </c>
      <c r="D60" s="293" t="s">
        <v>1047</v>
      </c>
      <c r="E60" s="293" t="s">
        <v>249</v>
      </c>
      <c r="F60" s="293"/>
      <c r="G60" s="293"/>
      <c r="H60" s="293"/>
      <c r="I60" s="293"/>
    </row>
    <row r="61" spans="2:9">
      <c r="B61" s="492" t="s">
        <v>744</v>
      </c>
      <c r="C61" s="293" t="s">
        <v>1018</v>
      </c>
      <c r="D61" s="293" t="s">
        <v>189</v>
      </c>
      <c r="E61" s="293" t="s">
        <v>249</v>
      </c>
      <c r="F61" s="293"/>
      <c r="G61" s="293"/>
      <c r="H61" s="293"/>
      <c r="I61" s="293"/>
    </row>
    <row r="62" spans="2:9">
      <c r="B62" s="492" t="s">
        <v>744</v>
      </c>
      <c r="C62" s="293" t="s">
        <v>428</v>
      </c>
      <c r="D62" s="293" t="s">
        <v>134</v>
      </c>
      <c r="E62" s="293" t="s">
        <v>249</v>
      </c>
      <c r="F62" s="293"/>
      <c r="G62" s="293"/>
      <c r="H62" s="293"/>
      <c r="I62" s="293"/>
    </row>
    <row r="63" spans="2:9">
      <c r="B63" s="492" t="s">
        <v>744</v>
      </c>
      <c r="C63" s="293" t="s">
        <v>150</v>
      </c>
      <c r="D63" s="293" t="s">
        <v>195</v>
      </c>
      <c r="E63" s="293" t="s">
        <v>249</v>
      </c>
      <c r="F63" s="293"/>
      <c r="G63" s="293"/>
      <c r="H63" s="293"/>
      <c r="I63" s="293"/>
    </row>
    <row r="64" spans="2:9">
      <c r="B64" s="492" t="s">
        <v>744</v>
      </c>
      <c r="C64" s="293" t="s">
        <v>137</v>
      </c>
      <c r="D64" s="293" t="s">
        <v>136</v>
      </c>
      <c r="E64" s="293" t="s">
        <v>249</v>
      </c>
      <c r="F64" s="293"/>
      <c r="G64" s="293"/>
      <c r="H64" s="293"/>
      <c r="I64" s="293"/>
    </row>
    <row r="65" spans="2:9">
      <c r="B65" s="492" t="s">
        <v>744</v>
      </c>
      <c r="C65" s="293" t="s">
        <v>583</v>
      </c>
      <c r="D65" s="293" t="s">
        <v>186</v>
      </c>
      <c r="E65" s="293" t="s">
        <v>249</v>
      </c>
      <c r="F65" s="293"/>
      <c r="G65" s="293"/>
      <c r="H65" s="293"/>
      <c r="I65" s="293"/>
    </row>
    <row r="66" spans="2:9">
      <c r="B66" s="492" t="s">
        <v>744</v>
      </c>
      <c r="C66" s="293" t="s">
        <v>584</v>
      </c>
      <c r="D66" s="293" t="s">
        <v>188</v>
      </c>
      <c r="E66" s="293" t="s">
        <v>249</v>
      </c>
      <c r="F66" s="293"/>
      <c r="G66" s="293"/>
      <c r="H66" s="293"/>
      <c r="I66" s="293"/>
    </row>
    <row r="67" spans="2:9">
      <c r="B67" s="492" t="s">
        <v>744</v>
      </c>
      <c r="C67" s="293" t="s">
        <v>430</v>
      </c>
      <c r="D67" s="293" t="s">
        <v>191</v>
      </c>
      <c r="E67" s="293" t="s">
        <v>249</v>
      </c>
      <c r="F67" s="293"/>
      <c r="G67" s="293"/>
      <c r="H67" s="293"/>
      <c r="I67" s="293"/>
    </row>
    <row r="68" spans="2:9">
      <c r="B68" s="492" t="s">
        <v>744</v>
      </c>
      <c r="C68" s="293" t="s">
        <v>427</v>
      </c>
      <c r="D68" s="293" t="s">
        <v>126</v>
      </c>
      <c r="E68" s="293" t="s">
        <v>249</v>
      </c>
      <c r="F68" s="293"/>
      <c r="G68" s="293"/>
      <c r="H68" s="293"/>
      <c r="I68" s="293"/>
    </row>
    <row r="69" spans="2:9">
      <c r="B69" s="492" t="s">
        <v>744</v>
      </c>
      <c r="C69" s="293" t="s">
        <v>151</v>
      </c>
      <c r="D69" s="293" t="s">
        <v>197</v>
      </c>
      <c r="E69" s="293" t="s">
        <v>249</v>
      </c>
      <c r="F69" s="293"/>
      <c r="G69" s="293"/>
      <c r="H69" s="293"/>
      <c r="I69" s="293"/>
    </row>
    <row r="70" spans="2:9">
      <c r="B70" s="492" t="s">
        <v>744</v>
      </c>
      <c r="C70" s="293" t="s">
        <v>1250</v>
      </c>
      <c r="D70" s="293" t="s">
        <v>1251</v>
      </c>
      <c r="E70" s="293" t="s">
        <v>249</v>
      </c>
      <c r="F70" s="293"/>
      <c r="G70" s="293"/>
      <c r="H70" s="293"/>
      <c r="I70" s="293"/>
    </row>
    <row r="71" spans="2:9">
      <c r="B71" s="492" t="s">
        <v>744</v>
      </c>
      <c r="C71" s="293" t="s">
        <v>444</v>
      </c>
      <c r="D71" s="293" t="s">
        <v>169</v>
      </c>
      <c r="E71" s="293" t="s">
        <v>249</v>
      </c>
      <c r="F71" s="293"/>
      <c r="G71" s="293"/>
      <c r="H71" s="293"/>
      <c r="I71" s="293"/>
    </row>
    <row r="72" spans="2:9">
      <c r="B72" s="492" t="s">
        <v>744</v>
      </c>
      <c r="C72" s="293" t="s">
        <v>1243</v>
      </c>
      <c r="D72" s="293" t="s">
        <v>1247</v>
      </c>
      <c r="E72" s="293" t="s">
        <v>249</v>
      </c>
      <c r="F72" s="293"/>
      <c r="G72" s="293"/>
      <c r="H72" s="293"/>
      <c r="I72" s="293"/>
    </row>
    <row r="73" spans="2:9">
      <c r="B73" s="492" t="s">
        <v>744</v>
      </c>
      <c r="C73" s="293" t="s">
        <v>932</v>
      </c>
      <c r="D73" s="293" t="s">
        <v>933</v>
      </c>
      <c r="E73" s="293" t="s">
        <v>249</v>
      </c>
      <c r="F73" s="293"/>
      <c r="G73" s="293"/>
      <c r="H73" s="293"/>
      <c r="I73" s="293"/>
    </row>
    <row r="74" spans="2:9">
      <c r="B74" s="492" t="s">
        <v>744</v>
      </c>
      <c r="C74" s="293" t="s">
        <v>1017</v>
      </c>
      <c r="D74" s="293" t="s">
        <v>165</v>
      </c>
      <c r="E74" s="293" t="s">
        <v>249</v>
      </c>
      <c r="F74" s="293"/>
      <c r="G74" s="293"/>
      <c r="H74" s="293"/>
      <c r="I74" s="293"/>
    </row>
    <row r="75" spans="2:9">
      <c r="B75" s="492" t="s">
        <v>744</v>
      </c>
      <c r="C75" s="293" t="s">
        <v>423</v>
      </c>
      <c r="D75" s="293" t="s">
        <v>160</v>
      </c>
      <c r="E75" s="293" t="s">
        <v>249</v>
      </c>
      <c r="F75" s="293"/>
      <c r="G75" s="293"/>
      <c r="H75" s="293"/>
      <c r="I75" s="293"/>
    </row>
    <row r="76" spans="2:9">
      <c r="B76" s="492" t="s">
        <v>744</v>
      </c>
      <c r="C76" s="293" t="s">
        <v>148</v>
      </c>
      <c r="D76" s="293" t="s">
        <v>171</v>
      </c>
      <c r="E76" s="293" t="s">
        <v>249</v>
      </c>
      <c r="F76" s="293"/>
      <c r="G76" s="293"/>
      <c r="H76" s="293"/>
      <c r="I76" s="293"/>
    </row>
    <row r="77" spans="2:9">
      <c r="B77" s="492" t="s">
        <v>744</v>
      </c>
      <c r="C77" s="293" t="s">
        <v>596</v>
      </c>
      <c r="D77" s="293" t="s">
        <v>162</v>
      </c>
      <c r="E77" s="293" t="s">
        <v>249</v>
      </c>
      <c r="F77" s="293"/>
      <c r="G77" s="293"/>
      <c r="H77" s="293"/>
      <c r="I77" s="293"/>
    </row>
    <row r="78" spans="2:9">
      <c r="B78" s="492" t="s">
        <v>744</v>
      </c>
      <c r="C78" s="293" t="s">
        <v>597</v>
      </c>
      <c r="D78" s="293" t="s">
        <v>164</v>
      </c>
      <c r="E78" s="293" t="s">
        <v>249</v>
      </c>
      <c r="F78" s="293"/>
      <c r="G78" s="293"/>
      <c r="H78" s="293"/>
      <c r="I78" s="293"/>
    </row>
    <row r="79" spans="2:9">
      <c r="B79" s="492" t="s">
        <v>744</v>
      </c>
      <c r="C79" s="293" t="s">
        <v>443</v>
      </c>
      <c r="D79" s="293" t="s">
        <v>167</v>
      </c>
      <c r="E79" s="293" t="s">
        <v>249</v>
      </c>
      <c r="F79" s="293"/>
      <c r="G79" s="293"/>
      <c r="H79" s="293"/>
      <c r="I79" s="293"/>
    </row>
    <row r="80" spans="2:9">
      <c r="B80" s="492" t="s">
        <v>744</v>
      </c>
      <c r="C80" s="293" t="s">
        <v>422</v>
      </c>
      <c r="D80" s="293" t="s">
        <v>158</v>
      </c>
      <c r="E80" s="293" t="s">
        <v>249</v>
      </c>
      <c r="F80" s="293"/>
      <c r="G80" s="293"/>
      <c r="H80" s="293"/>
      <c r="I80" s="293"/>
    </row>
    <row r="81" spans="2:9">
      <c r="B81" s="492" t="s">
        <v>744</v>
      </c>
      <c r="C81" s="293" t="s">
        <v>149</v>
      </c>
      <c r="D81" s="293" t="s">
        <v>173</v>
      </c>
      <c r="E81" s="293" t="s">
        <v>249</v>
      </c>
      <c r="F81" s="293"/>
      <c r="G81" s="293"/>
      <c r="H81" s="293"/>
      <c r="I81" s="293"/>
    </row>
    <row r="82" spans="2:9">
      <c r="B82" s="492" t="s">
        <v>744</v>
      </c>
      <c r="C82" s="293" t="s">
        <v>1228</v>
      </c>
      <c r="D82" s="293" t="s">
        <v>1229</v>
      </c>
      <c r="E82" s="293" t="s">
        <v>249</v>
      </c>
      <c r="F82" s="293"/>
      <c r="G82" s="293"/>
      <c r="H82" s="293"/>
      <c r="I82" s="293"/>
    </row>
    <row r="83" spans="2:9">
      <c r="B83" s="492" t="s">
        <v>744</v>
      </c>
      <c r="C83" s="293" t="s">
        <v>1239</v>
      </c>
      <c r="D83" s="293" t="s">
        <v>1246</v>
      </c>
      <c r="E83" s="293" t="s">
        <v>249</v>
      </c>
      <c r="F83" s="293"/>
      <c r="G83" s="293"/>
      <c r="H83" s="293"/>
      <c r="I83" s="293"/>
    </row>
    <row r="84" spans="2:9">
      <c r="B84" s="492" t="s">
        <v>744</v>
      </c>
      <c r="C84" s="293" t="s">
        <v>419</v>
      </c>
      <c r="D84" s="293" t="s">
        <v>449</v>
      </c>
      <c r="E84" s="293" t="s">
        <v>249</v>
      </c>
      <c r="F84" s="293"/>
      <c r="G84" s="293"/>
      <c r="H84" s="293"/>
      <c r="I84" s="293"/>
    </row>
    <row r="85" spans="2:9">
      <c r="B85" s="492" t="s">
        <v>744</v>
      </c>
      <c r="C85" s="293" t="s">
        <v>931</v>
      </c>
      <c r="D85" s="293" t="s">
        <v>934</v>
      </c>
      <c r="E85" s="293" t="s">
        <v>249</v>
      </c>
      <c r="F85" s="293"/>
      <c r="G85" s="293"/>
      <c r="H85" s="293"/>
      <c r="I85" s="293"/>
    </row>
    <row r="86" spans="2:9">
      <c r="B86" s="492" t="s">
        <v>744</v>
      </c>
      <c r="C86" s="293" t="s">
        <v>1016</v>
      </c>
      <c r="D86" s="293" t="s">
        <v>209</v>
      </c>
      <c r="E86" s="293" t="s">
        <v>249</v>
      </c>
      <c r="F86" s="293"/>
      <c r="G86" s="293"/>
      <c r="H86" s="293"/>
      <c r="I86" s="293"/>
    </row>
    <row r="87" spans="2:9">
      <c r="B87" s="492" t="s">
        <v>744</v>
      </c>
      <c r="C87" s="293" t="s">
        <v>416</v>
      </c>
      <c r="D87" s="293" t="s">
        <v>204</v>
      </c>
      <c r="E87" s="293" t="s">
        <v>249</v>
      </c>
      <c r="F87" s="293"/>
      <c r="G87" s="293"/>
      <c r="H87" s="293"/>
      <c r="I87" s="293"/>
    </row>
    <row r="88" spans="2:9">
      <c r="B88" s="492" t="s">
        <v>744</v>
      </c>
      <c r="C88" s="293" t="s">
        <v>581</v>
      </c>
      <c r="D88" s="293" t="s">
        <v>451</v>
      </c>
      <c r="E88" s="293" t="s">
        <v>249</v>
      </c>
      <c r="F88" s="293"/>
      <c r="G88" s="293"/>
      <c r="H88" s="293"/>
      <c r="I88" s="293"/>
    </row>
    <row r="89" spans="2:9">
      <c r="B89" s="492" t="s">
        <v>744</v>
      </c>
      <c r="C89" s="293" t="s">
        <v>575</v>
      </c>
      <c r="D89" s="293" t="s">
        <v>206</v>
      </c>
      <c r="E89" s="293" t="s">
        <v>249</v>
      </c>
      <c r="F89" s="293"/>
      <c r="G89" s="293"/>
      <c r="H89" s="293"/>
      <c r="I89" s="293"/>
    </row>
    <row r="90" spans="2:9">
      <c r="B90" s="492" t="s">
        <v>744</v>
      </c>
      <c r="C90" s="293" t="s">
        <v>577</v>
      </c>
      <c r="D90" s="293" t="s">
        <v>208</v>
      </c>
      <c r="E90" s="293" t="s">
        <v>249</v>
      </c>
      <c r="F90" s="293"/>
      <c r="G90" s="293"/>
      <c r="H90" s="293"/>
      <c r="I90" s="293"/>
    </row>
    <row r="91" spans="2:9">
      <c r="B91" s="492" t="s">
        <v>744</v>
      </c>
      <c r="C91" s="293" t="s">
        <v>418</v>
      </c>
      <c r="D91" s="293" t="s">
        <v>211</v>
      </c>
      <c r="E91" s="293" t="s">
        <v>249</v>
      </c>
      <c r="F91" s="293"/>
      <c r="G91" s="293"/>
      <c r="H91" s="293"/>
      <c r="I91" s="293"/>
    </row>
    <row r="92" spans="2:9">
      <c r="B92" s="492" t="s">
        <v>744</v>
      </c>
      <c r="C92" s="293" t="s">
        <v>415</v>
      </c>
      <c r="D92" s="293" t="s">
        <v>202</v>
      </c>
      <c r="E92" s="293" t="s">
        <v>249</v>
      </c>
      <c r="F92" s="293"/>
      <c r="G92" s="293"/>
      <c r="H92" s="293"/>
      <c r="I92" s="293"/>
    </row>
    <row r="93" spans="2:9">
      <c r="B93" s="492" t="s">
        <v>744</v>
      </c>
      <c r="C93" s="293" t="s">
        <v>582</v>
      </c>
      <c r="D93" s="293" t="s">
        <v>453</v>
      </c>
      <c r="E93" s="293" t="s">
        <v>249</v>
      </c>
      <c r="F93" s="293"/>
      <c r="G93" s="293"/>
      <c r="H93" s="293"/>
      <c r="I93" s="293"/>
    </row>
    <row r="94" spans="2:9">
      <c r="B94" s="495" t="s">
        <v>744</v>
      </c>
      <c r="C94" s="12" t="s">
        <v>433</v>
      </c>
      <c r="D94" s="12" t="s">
        <v>201</v>
      </c>
      <c r="E94" s="12" t="s">
        <v>249</v>
      </c>
      <c r="F94" s="12"/>
      <c r="G94" s="36" t="s">
        <v>812</v>
      </c>
      <c r="H94" s="36"/>
      <c r="I94" s="36" t="s">
        <v>278</v>
      </c>
    </row>
    <row r="95" spans="2:9">
      <c r="B95" s="495" t="s">
        <v>744</v>
      </c>
      <c r="C95" s="12" t="s">
        <v>446</v>
      </c>
      <c r="D95" s="12" t="s">
        <v>177</v>
      </c>
      <c r="E95" s="12" t="s">
        <v>249</v>
      </c>
      <c r="F95" s="12"/>
      <c r="G95" s="36" t="s">
        <v>812</v>
      </c>
      <c r="H95" s="36"/>
      <c r="I95" s="36" t="s">
        <v>278</v>
      </c>
    </row>
    <row r="96" spans="2:9">
      <c r="B96" s="495" t="s">
        <v>744</v>
      </c>
      <c r="C96" s="12" t="s">
        <v>867</v>
      </c>
      <c r="D96" s="12" t="s">
        <v>862</v>
      </c>
      <c r="E96" s="12" t="s">
        <v>249</v>
      </c>
      <c r="F96" s="43" t="s">
        <v>924</v>
      </c>
      <c r="G96" s="36" t="s">
        <v>812</v>
      </c>
      <c r="H96" s="36"/>
      <c r="I96" s="36" t="s">
        <v>278</v>
      </c>
    </row>
    <row r="97" spans="2:9">
      <c r="B97" s="495" t="s">
        <v>744</v>
      </c>
      <c r="C97" s="12" t="s">
        <v>421</v>
      </c>
      <c r="D97" s="12" t="s">
        <v>157</v>
      </c>
      <c r="E97" s="12" t="s">
        <v>249</v>
      </c>
      <c r="F97" s="12"/>
      <c r="G97" s="36" t="s">
        <v>812</v>
      </c>
      <c r="H97" s="36"/>
      <c r="I97" s="36" t="s">
        <v>278</v>
      </c>
    </row>
    <row r="98" spans="2:9">
      <c r="B98" s="495" t="s">
        <v>744</v>
      </c>
      <c r="C98" s="12" t="s">
        <v>808</v>
      </c>
      <c r="D98" s="12" t="s">
        <v>811</v>
      </c>
      <c r="E98" s="12" t="s">
        <v>249</v>
      </c>
      <c r="F98" s="12"/>
      <c r="G98" s="36" t="s">
        <v>812</v>
      </c>
      <c r="H98" s="36"/>
      <c r="I98" s="36" t="s">
        <v>278</v>
      </c>
    </row>
    <row r="99" spans="2:9">
      <c r="B99" s="495" t="s">
        <v>744</v>
      </c>
      <c r="C99" s="12" t="s">
        <v>1062</v>
      </c>
      <c r="D99" s="12" t="s">
        <v>1099</v>
      </c>
      <c r="E99" s="12" t="s">
        <v>249</v>
      </c>
      <c r="F99" s="12"/>
      <c r="G99" s="36"/>
      <c r="H99" s="36"/>
      <c r="I99" s="36"/>
    </row>
    <row r="100" spans="2:9">
      <c r="B100" s="495" t="s">
        <v>744</v>
      </c>
      <c r="C100" s="12" t="s">
        <v>1076</v>
      </c>
      <c r="D100" s="12" t="s">
        <v>1099</v>
      </c>
      <c r="E100" s="12" t="s">
        <v>249</v>
      </c>
      <c r="F100" s="12"/>
      <c r="G100" s="36"/>
      <c r="H100" s="36"/>
      <c r="I100" s="36"/>
    </row>
    <row r="101" spans="2:9">
      <c r="B101" s="495" t="s">
        <v>744</v>
      </c>
      <c r="C101" s="12" t="s">
        <v>1159</v>
      </c>
      <c r="D101" s="12" t="s">
        <v>1100</v>
      </c>
      <c r="E101" s="12" t="s">
        <v>249</v>
      </c>
      <c r="F101" s="12"/>
      <c r="G101" s="36"/>
      <c r="H101" s="36"/>
      <c r="I101" s="36"/>
    </row>
    <row r="102" spans="2:9">
      <c r="B102" s="495" t="s">
        <v>744</v>
      </c>
      <c r="C102" s="12" t="s">
        <v>1115</v>
      </c>
      <c r="D102" s="12" t="s">
        <v>1118</v>
      </c>
      <c r="E102" s="12" t="s">
        <v>249</v>
      </c>
      <c r="F102" s="12"/>
      <c r="G102" s="36"/>
      <c r="H102" s="36"/>
      <c r="I102" s="36"/>
    </row>
    <row r="103" spans="2:9">
      <c r="B103" s="495" t="s">
        <v>744</v>
      </c>
      <c r="C103" s="12" t="s">
        <v>1116</v>
      </c>
      <c r="D103" s="12" t="s">
        <v>1118</v>
      </c>
      <c r="E103" s="12" t="s">
        <v>249</v>
      </c>
      <c r="F103" s="12"/>
      <c r="G103" s="36"/>
      <c r="H103" s="36"/>
      <c r="I103" s="36"/>
    </row>
    <row r="104" spans="2:9">
      <c r="B104" s="495" t="s">
        <v>744</v>
      </c>
      <c r="C104" s="12" t="s">
        <v>1117</v>
      </c>
      <c r="D104" s="12" t="s">
        <v>1119</v>
      </c>
      <c r="E104" s="12" t="s">
        <v>249</v>
      </c>
      <c r="F104" s="12"/>
      <c r="G104" s="36"/>
      <c r="H104" s="36"/>
      <c r="I104" s="36"/>
    </row>
    <row r="105" spans="2:9">
      <c r="B105" s="492" t="s">
        <v>391</v>
      </c>
      <c r="C105" s="293" t="s">
        <v>1066</v>
      </c>
      <c r="D105" s="293" t="s">
        <v>1101</v>
      </c>
      <c r="E105" s="293" t="s">
        <v>249</v>
      </c>
      <c r="F105" s="293"/>
      <c r="G105" s="528"/>
      <c r="H105" s="528"/>
      <c r="I105" s="528"/>
    </row>
    <row r="106" spans="2:9">
      <c r="B106" s="492" t="s">
        <v>391</v>
      </c>
      <c r="C106" s="293" t="s">
        <v>1075</v>
      </c>
      <c r="D106" s="293" t="s">
        <v>1101</v>
      </c>
      <c r="E106" s="293" t="s">
        <v>249</v>
      </c>
      <c r="F106" s="293"/>
      <c r="G106" s="528"/>
      <c r="H106" s="528"/>
      <c r="I106" s="528"/>
    </row>
    <row r="107" spans="2:9">
      <c r="B107" s="492" t="s">
        <v>391</v>
      </c>
      <c r="C107" s="293" t="s">
        <v>1160</v>
      </c>
      <c r="D107" s="293" t="s">
        <v>1102</v>
      </c>
      <c r="E107" s="293" t="s">
        <v>249</v>
      </c>
      <c r="F107" s="293"/>
      <c r="G107" s="528"/>
      <c r="H107" s="528"/>
      <c r="I107" s="528"/>
    </row>
    <row r="108" spans="2:9">
      <c r="B108" s="492" t="s">
        <v>391</v>
      </c>
      <c r="C108" s="293" t="s">
        <v>20</v>
      </c>
      <c r="D108" s="293" t="s">
        <v>669</v>
      </c>
      <c r="E108" s="293" t="s">
        <v>50</v>
      </c>
      <c r="F108" s="293"/>
      <c r="G108" s="293"/>
      <c r="H108" s="293"/>
      <c r="I108" s="293"/>
    </row>
    <row r="109" spans="2:9">
      <c r="B109" s="492" t="s">
        <v>391</v>
      </c>
      <c r="C109" s="293" t="s">
        <v>18</v>
      </c>
      <c r="D109" s="293" t="s">
        <v>360</v>
      </c>
      <c r="E109" s="293" t="s">
        <v>49</v>
      </c>
      <c r="F109" s="293"/>
      <c r="G109" s="293"/>
      <c r="H109" s="293"/>
      <c r="I109" s="293"/>
    </row>
    <row r="110" spans="2:9">
      <c r="B110" s="492" t="s">
        <v>391</v>
      </c>
      <c r="C110" s="293" t="s">
        <v>19</v>
      </c>
      <c r="D110" s="293" t="s">
        <v>670</v>
      </c>
      <c r="E110" s="293" t="s">
        <v>50</v>
      </c>
      <c r="F110" s="293"/>
      <c r="G110" s="293"/>
      <c r="H110" s="293"/>
      <c r="I110" s="293"/>
    </row>
    <row r="111" spans="2:9">
      <c r="B111" s="492" t="s">
        <v>391</v>
      </c>
      <c r="C111" s="293" t="s">
        <v>22</v>
      </c>
      <c r="D111" s="293" t="s">
        <v>52</v>
      </c>
      <c r="E111" s="293" t="s">
        <v>50</v>
      </c>
      <c r="F111" s="293"/>
      <c r="G111" s="293"/>
      <c r="H111" s="293"/>
      <c r="I111" s="293"/>
    </row>
    <row r="112" spans="2:9">
      <c r="B112" s="492" t="s">
        <v>391</v>
      </c>
      <c r="C112" s="293" t="s">
        <v>21</v>
      </c>
      <c r="D112" s="293" t="s">
        <v>51</v>
      </c>
      <c r="E112" s="293" t="s">
        <v>49</v>
      </c>
      <c r="F112" s="293"/>
      <c r="G112" s="293"/>
      <c r="H112" s="293"/>
      <c r="I112" s="293"/>
    </row>
    <row r="113" spans="2:9">
      <c r="B113" s="492" t="s">
        <v>391</v>
      </c>
      <c r="C113" s="293" t="s">
        <v>23</v>
      </c>
      <c r="D113" s="293" t="s">
        <v>359</v>
      </c>
      <c r="E113" s="293" t="s">
        <v>50</v>
      </c>
      <c r="F113" s="293"/>
      <c r="G113" s="293"/>
      <c r="H113" s="293"/>
      <c r="I113" s="293"/>
    </row>
    <row r="114" spans="2:9">
      <c r="B114" s="492" t="s">
        <v>391</v>
      </c>
      <c r="C114" s="293" t="s">
        <v>16</v>
      </c>
      <c r="D114" s="293" t="s">
        <v>672</v>
      </c>
      <c r="E114" s="293" t="s">
        <v>50</v>
      </c>
      <c r="F114" s="293"/>
      <c r="G114" s="293"/>
      <c r="H114" s="293"/>
      <c r="I114" s="293"/>
    </row>
    <row r="115" spans="2:9">
      <c r="B115" s="492" t="s">
        <v>391</v>
      </c>
      <c r="C115" s="293" t="s">
        <v>15</v>
      </c>
      <c r="D115" s="293" t="s">
        <v>671</v>
      </c>
      <c r="E115" s="293" t="s">
        <v>49</v>
      </c>
      <c r="F115" s="293"/>
      <c r="G115" s="293"/>
      <c r="H115" s="293"/>
      <c r="I115" s="293"/>
    </row>
    <row r="116" spans="2:9">
      <c r="B116" s="492" t="s">
        <v>391</v>
      </c>
      <c r="C116" s="293" t="s">
        <v>17</v>
      </c>
      <c r="D116" s="293" t="s">
        <v>673</v>
      </c>
      <c r="E116" s="293" t="s">
        <v>50</v>
      </c>
      <c r="F116" s="293"/>
      <c r="G116" s="293"/>
      <c r="H116" s="293"/>
      <c r="I116" s="293"/>
    </row>
    <row r="117" spans="2:9">
      <c r="B117" s="492" t="s">
        <v>391</v>
      </c>
      <c r="C117" s="293" t="s">
        <v>501</v>
      </c>
      <c r="D117" s="293" t="s">
        <v>671</v>
      </c>
      <c r="E117" s="293" t="s">
        <v>49</v>
      </c>
      <c r="F117" s="293"/>
      <c r="G117" s="293"/>
      <c r="H117" s="293"/>
      <c r="I117" s="293"/>
    </row>
    <row r="118" spans="2:9">
      <c r="B118" s="492" t="s">
        <v>391</v>
      </c>
      <c r="C118" s="293" t="s">
        <v>502</v>
      </c>
      <c r="D118" s="293" t="s">
        <v>360</v>
      </c>
      <c r="E118" s="293" t="s">
        <v>49</v>
      </c>
      <c r="F118" s="293"/>
      <c r="G118" s="293"/>
      <c r="H118" s="293"/>
      <c r="I118" s="293"/>
    </row>
    <row r="119" spans="2:9">
      <c r="B119" s="492" t="s">
        <v>391</v>
      </c>
      <c r="C119" s="293" t="s">
        <v>946</v>
      </c>
      <c r="D119" s="293" t="s">
        <v>947</v>
      </c>
      <c r="E119" s="293" t="s">
        <v>249</v>
      </c>
      <c r="F119" s="293" t="s">
        <v>924</v>
      </c>
      <c r="G119" s="293"/>
      <c r="H119" s="293"/>
      <c r="I119" s="293"/>
    </row>
    <row r="120" spans="2:9">
      <c r="B120" s="492" t="s">
        <v>391</v>
      </c>
      <c r="C120" s="293" t="s">
        <v>961</v>
      </c>
      <c r="D120" s="293" t="s">
        <v>962</v>
      </c>
      <c r="E120" s="293" t="s">
        <v>249</v>
      </c>
      <c r="F120" s="293"/>
      <c r="G120" s="293"/>
      <c r="H120" s="293"/>
      <c r="I120" s="293"/>
    </row>
    <row r="121" spans="2:9">
      <c r="B121" s="492" t="s">
        <v>391</v>
      </c>
      <c r="C121" s="293" t="s">
        <v>1261</v>
      </c>
      <c r="D121" s="293" t="s">
        <v>1262</v>
      </c>
      <c r="E121" s="293" t="s">
        <v>249</v>
      </c>
      <c r="F121" s="293"/>
      <c r="G121" s="293"/>
      <c r="H121" s="293"/>
      <c r="I121" s="293"/>
    </row>
    <row r="122" spans="2:9">
      <c r="B122" s="511" t="s">
        <v>744</v>
      </c>
      <c r="C122" s="12" t="s">
        <v>944</v>
      </c>
      <c r="D122" s="12" t="s">
        <v>945</v>
      </c>
      <c r="E122" s="12" t="s">
        <v>249</v>
      </c>
      <c r="F122" s="12"/>
      <c r="G122" s="12"/>
      <c r="H122" s="12"/>
      <c r="I122" s="12"/>
    </row>
    <row r="123" spans="2:9">
      <c r="B123" s="511" t="s">
        <v>744</v>
      </c>
      <c r="C123" s="12" t="s">
        <v>742</v>
      </c>
      <c r="D123" s="12" t="s">
        <v>743</v>
      </c>
      <c r="E123" s="12" t="s">
        <v>249</v>
      </c>
      <c r="F123" s="12"/>
      <c r="G123" s="12"/>
      <c r="H123" s="12"/>
      <c r="I123" s="12"/>
    </row>
    <row r="124" spans="2:9">
      <c r="B124" s="511" t="s">
        <v>744</v>
      </c>
      <c r="C124" s="12" t="s">
        <v>1248</v>
      </c>
      <c r="D124" s="12" t="s">
        <v>1249</v>
      </c>
      <c r="E124" s="12" t="s">
        <v>249</v>
      </c>
      <c r="F124" s="12"/>
      <c r="G124" s="12"/>
      <c r="H124" s="12"/>
      <c r="I124" s="12"/>
    </row>
    <row r="125" spans="2:9">
      <c r="B125" s="511" t="s">
        <v>744</v>
      </c>
      <c r="C125" s="12" t="s">
        <v>929</v>
      </c>
      <c r="D125" s="12" t="s">
        <v>930</v>
      </c>
      <c r="E125" s="12" t="s">
        <v>249</v>
      </c>
      <c r="F125" s="12"/>
      <c r="G125" s="12"/>
      <c r="H125" s="12"/>
      <c r="I125" s="12"/>
    </row>
    <row r="126" spans="2:9">
      <c r="B126" s="511" t="s">
        <v>744</v>
      </c>
      <c r="C126" s="12" t="s">
        <v>1045</v>
      </c>
      <c r="D126" s="12" t="s">
        <v>1056</v>
      </c>
      <c r="E126" s="12" t="s">
        <v>249</v>
      </c>
      <c r="F126" s="12"/>
      <c r="G126" s="12"/>
      <c r="H126" s="12"/>
      <c r="I126" s="12"/>
    </row>
    <row r="127" spans="2:9">
      <c r="B127" s="511" t="s">
        <v>744</v>
      </c>
      <c r="C127" s="12" t="s">
        <v>1218</v>
      </c>
      <c r="D127" s="12" t="s">
        <v>1219</v>
      </c>
      <c r="E127" s="12" t="s">
        <v>249</v>
      </c>
      <c r="F127" s="12"/>
      <c r="G127" s="12"/>
      <c r="H127" s="12"/>
      <c r="I127" s="12"/>
    </row>
    <row r="128" spans="2:9">
      <c r="B128" s="493" t="s">
        <v>795</v>
      </c>
      <c r="C128" s="436" t="s">
        <v>919</v>
      </c>
      <c r="D128" s="436" t="s">
        <v>796</v>
      </c>
      <c r="E128" s="436" t="s">
        <v>249</v>
      </c>
      <c r="F128" s="436" t="s">
        <v>800</v>
      </c>
      <c r="G128" s="436"/>
      <c r="H128" s="436"/>
      <c r="I128" s="436"/>
    </row>
    <row r="129" spans="2:9">
      <c r="B129" s="493" t="s">
        <v>795</v>
      </c>
      <c r="C129" s="436" t="s">
        <v>884</v>
      </c>
      <c r="D129" s="436" t="s">
        <v>920</v>
      </c>
      <c r="E129" s="436" t="s">
        <v>249</v>
      </c>
      <c r="F129" s="436" t="s">
        <v>800</v>
      </c>
      <c r="G129" s="436"/>
      <c r="H129" s="436"/>
      <c r="I129" s="436"/>
    </row>
    <row r="130" spans="2:9">
      <c r="B130" s="493" t="s">
        <v>795</v>
      </c>
      <c r="C130" s="436" t="s">
        <v>885</v>
      </c>
      <c r="D130" s="436" t="s">
        <v>921</v>
      </c>
      <c r="E130" s="436" t="s">
        <v>249</v>
      </c>
      <c r="F130" s="436" t="s">
        <v>800</v>
      </c>
      <c r="G130" s="436"/>
      <c r="H130" s="436"/>
      <c r="I130" s="436"/>
    </row>
    <row r="131" spans="2:9">
      <c r="B131" s="493" t="s">
        <v>795</v>
      </c>
      <c r="C131" s="436" t="s">
        <v>787</v>
      </c>
      <c r="D131" s="436" t="s">
        <v>797</v>
      </c>
      <c r="E131" s="436" t="s">
        <v>249</v>
      </c>
      <c r="F131" s="436" t="s">
        <v>800</v>
      </c>
      <c r="G131" s="436"/>
      <c r="H131" s="436"/>
      <c r="I131" s="436"/>
    </row>
    <row r="132" spans="2:9">
      <c r="B132" s="493" t="s">
        <v>795</v>
      </c>
      <c r="C132" s="436" t="s">
        <v>788</v>
      </c>
      <c r="D132" s="436" t="s">
        <v>799</v>
      </c>
      <c r="E132" s="436" t="s">
        <v>249</v>
      </c>
      <c r="F132" s="436" t="s">
        <v>800</v>
      </c>
      <c r="G132" s="436"/>
      <c r="H132" s="436"/>
      <c r="I132" s="436"/>
    </row>
    <row r="133" spans="2:9">
      <c r="B133" s="493" t="s">
        <v>795</v>
      </c>
      <c r="C133" s="436" t="s">
        <v>792</v>
      </c>
      <c r="D133" s="436" t="s">
        <v>798</v>
      </c>
      <c r="E133" s="436" t="s">
        <v>249</v>
      </c>
      <c r="F133" s="436" t="s">
        <v>800</v>
      </c>
      <c r="G133" s="436"/>
      <c r="H133" s="436"/>
      <c r="I133" s="436"/>
    </row>
    <row r="138" spans="2:9">
      <c r="D138" s="329" t="s">
        <v>807</v>
      </c>
    </row>
    <row r="139" spans="2:9" ht="18.75" customHeight="1">
      <c r="D139" s="572" t="s">
        <v>384</v>
      </c>
      <c r="E139" s="566" t="s">
        <v>434</v>
      </c>
      <c r="F139" s="573" t="s">
        <v>427</v>
      </c>
    </row>
    <row r="140" spans="2:9">
      <c r="D140" s="570" t="s">
        <v>808</v>
      </c>
      <c r="E140" s="567">
        <v>1</v>
      </c>
      <c r="F140" s="568"/>
    </row>
    <row r="141" spans="2:9">
      <c r="D141" s="571" t="s">
        <v>1231</v>
      </c>
      <c r="E141" s="569"/>
      <c r="F141" s="567">
        <v>1</v>
      </c>
    </row>
  </sheetData>
  <phoneticPr fontId="26"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sheetPr codeName="Sheet46"/>
  <dimension ref="A1:AA56"/>
  <sheetViews>
    <sheetView zoomScale="75" workbookViewId="0">
      <selection activeCell="A2" sqref="A2"/>
    </sheetView>
  </sheetViews>
  <sheetFormatPr defaultColWidth="11.42578125" defaultRowHeight="12.75"/>
  <cols>
    <col min="1" max="1" width="15.85546875" customWidth="1"/>
    <col min="2" max="2" width="13.5703125" customWidth="1"/>
    <col min="3" max="3" width="34.140625" customWidth="1"/>
    <col min="4" max="5" width="10.85546875" customWidth="1"/>
    <col min="6" max="6" width="24.42578125" customWidth="1"/>
    <col min="7" max="9" width="9.140625" customWidth="1"/>
    <col min="10" max="10" width="9.5703125" customWidth="1"/>
  </cols>
  <sheetData>
    <row r="1" spans="1:18" ht="18">
      <c r="A1" s="10" t="s">
        <v>595</v>
      </c>
      <c r="M1" s="245"/>
      <c r="O1" s="245"/>
      <c r="P1" s="245"/>
      <c r="Q1" s="246"/>
    </row>
    <row r="2" spans="1:18">
      <c r="A2" s="9"/>
      <c r="F2" s="245"/>
    </row>
    <row r="3" spans="1:18">
      <c r="A3" s="9"/>
      <c r="F3" s="245"/>
      <c r="P3" s="18">
        <v>1.02</v>
      </c>
    </row>
    <row r="4" spans="1:18">
      <c r="A4" s="9"/>
      <c r="F4" s="245"/>
      <c r="H4" s="19"/>
      <c r="I4" s="19"/>
      <c r="J4" s="137"/>
    </row>
    <row r="5" spans="1:18" ht="18">
      <c r="A5" s="9"/>
      <c r="B5" s="131" t="s">
        <v>591</v>
      </c>
      <c r="C5" s="131"/>
      <c r="D5" s="131"/>
      <c r="E5" s="131"/>
      <c r="F5" s="252" t="str">
        <f>"~FI_T: "&amp;Region&amp;"~EUR10"</f>
        <v>~FI_T: FIM~EUR10</v>
      </c>
    </row>
    <row r="6" spans="1:18" ht="26.25" thickBot="1">
      <c r="A6" s="9"/>
      <c r="B6" s="138" t="s">
        <v>57</v>
      </c>
      <c r="C6" s="52" t="s">
        <v>58</v>
      </c>
      <c r="D6" s="52" t="s">
        <v>56</v>
      </c>
      <c r="E6" s="52" t="s">
        <v>59</v>
      </c>
      <c r="F6" s="52" t="s">
        <v>385</v>
      </c>
      <c r="G6" s="52" t="s">
        <v>805</v>
      </c>
      <c r="H6" s="52" t="s">
        <v>805</v>
      </c>
      <c r="I6" s="52" t="s">
        <v>534</v>
      </c>
      <c r="J6" s="52" t="s">
        <v>535</v>
      </c>
      <c r="K6" s="52" t="s">
        <v>536</v>
      </c>
      <c r="L6" s="52" t="s">
        <v>537</v>
      </c>
      <c r="M6" s="52" t="s">
        <v>734</v>
      </c>
      <c r="N6" s="52" t="str">
        <f ca="1">"Share~UP~"&amp;AuxYear</f>
        <v>Share~UP~2017</v>
      </c>
      <c r="O6" s="52" t="s">
        <v>736</v>
      </c>
      <c r="P6" s="52" t="s">
        <v>737</v>
      </c>
      <c r="Q6" s="335" t="str">
        <f ca="1">"ACT_BND~UP~"&amp;AuxYear</f>
        <v>ACT_BND~UP~2017</v>
      </c>
      <c r="R6" s="52" t="str">
        <f>"ACT_BND~UP~"&amp;2030</f>
        <v>ACT_BND~UP~2030</v>
      </c>
    </row>
    <row r="7" spans="1:18">
      <c r="A7" s="9"/>
      <c r="B7" s="310" t="str">
        <f>CONCATENATE("FT-",E11,"0")</f>
        <v>FT-AGRNGA0</v>
      </c>
      <c r="C7" s="279" t="s">
        <v>517</v>
      </c>
      <c r="D7" s="139" t="str">
        <f ca="1">IEAData2!D190</f>
        <v>GASNGA</v>
      </c>
      <c r="E7" s="12"/>
      <c r="F7" s="12"/>
      <c r="G7" s="97">
        <f ca="1">IF(IEAData2!$G$190&lt;0.02,1,IEAData2!$B190/IEAData2!$G$190)</f>
        <v>1</v>
      </c>
      <c r="H7" s="97">
        <f ca="1">IF(AuxData2!$G$190&lt;0.02,1,AuxData2!$C190/AuxData2!$G$190)</f>
        <v>1</v>
      </c>
      <c r="I7" s="140">
        <v>1</v>
      </c>
      <c r="J7" s="140">
        <v>1</v>
      </c>
      <c r="K7" s="18"/>
      <c r="L7" s="18"/>
      <c r="M7" s="97">
        <f t="shared" ref="M7:N9" si="0">G7</f>
        <v>1</v>
      </c>
      <c r="N7" s="97">
        <f t="shared" si="0"/>
        <v>1</v>
      </c>
      <c r="O7" s="140"/>
      <c r="P7" s="140"/>
      <c r="Q7" s="393"/>
      <c r="R7" s="140"/>
    </row>
    <row r="8" spans="1:18">
      <c r="A8" s="9"/>
      <c r="B8" s="310"/>
      <c r="C8" s="378"/>
      <c r="D8" s="139" t="str">
        <f ca="1">IEAData2!D191</f>
        <v>GASGWG</v>
      </c>
      <c r="E8" s="12"/>
      <c r="F8" s="12"/>
      <c r="G8" s="97">
        <f ca="1">IF(IEAData2!$G$190&lt;=0.01,0,IEAData2!$B191/IEAData2!$G$190)</f>
        <v>0</v>
      </c>
      <c r="H8" s="97">
        <f ca="1">IF(AuxData2!$G$190&lt;=0.01,0,AuxData2!$C191/AuxData2!$G$190)</f>
        <v>0</v>
      </c>
      <c r="I8" s="140"/>
      <c r="J8" s="140"/>
      <c r="K8" s="18"/>
      <c r="L8" s="18"/>
      <c r="M8" s="97">
        <f t="shared" si="0"/>
        <v>0</v>
      </c>
      <c r="N8" s="97">
        <f t="shared" si="0"/>
        <v>0</v>
      </c>
      <c r="O8" s="140"/>
      <c r="P8" s="140"/>
      <c r="Q8" s="393"/>
      <c r="R8" s="140"/>
    </row>
    <row r="9" spans="1:18">
      <c r="A9" s="9"/>
      <c r="B9" s="310"/>
      <c r="C9" s="378"/>
      <c r="D9" s="139" t="str">
        <f ca="1">IEAData2!D192</f>
        <v>GASCOG</v>
      </c>
      <c r="E9" s="12"/>
      <c r="F9" s="12"/>
      <c r="G9" s="97"/>
      <c r="H9" s="97"/>
      <c r="I9" s="140"/>
      <c r="J9" s="140"/>
      <c r="K9" s="18"/>
      <c r="L9" s="18"/>
      <c r="M9" s="97">
        <f t="shared" si="0"/>
        <v>0</v>
      </c>
      <c r="N9" s="97">
        <f t="shared" si="0"/>
        <v>0</v>
      </c>
      <c r="O9" s="140"/>
      <c r="P9" s="140"/>
      <c r="Q9" s="393"/>
      <c r="R9" s="140"/>
    </row>
    <row r="10" spans="1:18">
      <c r="A10" s="9"/>
      <c r="B10" s="310"/>
      <c r="C10" s="378"/>
      <c r="D10" s="139" t="s">
        <v>1009</v>
      </c>
      <c r="E10" s="12"/>
      <c r="F10" s="12"/>
      <c r="G10" s="97"/>
      <c r="H10" s="97"/>
      <c r="I10" s="140"/>
      <c r="J10" s="140"/>
      <c r="K10" s="18"/>
      <c r="L10" s="18"/>
      <c r="M10" s="140">
        <v>1</v>
      </c>
      <c r="N10" s="140"/>
      <c r="O10" s="140"/>
      <c r="P10" s="140"/>
      <c r="Q10" s="393"/>
      <c r="R10" s="140"/>
    </row>
    <row r="11" spans="1:18">
      <c r="A11" s="9"/>
      <c r="B11" s="518"/>
      <c r="C11" s="460"/>
      <c r="D11" s="142"/>
      <c r="E11" s="142" t="str">
        <f ca="1">IEAData2!H190</f>
        <v>AGRNGA</v>
      </c>
      <c r="F11" s="142" t="s">
        <v>126</v>
      </c>
      <c r="G11" s="144"/>
      <c r="H11" s="144"/>
      <c r="I11" s="145"/>
      <c r="J11" s="145"/>
      <c r="K11" s="146"/>
      <c r="L11" s="146"/>
      <c r="M11" s="145"/>
      <c r="N11" s="145"/>
      <c r="O11" s="145"/>
      <c r="P11" s="145"/>
      <c r="Q11" s="394"/>
      <c r="R11" s="145"/>
    </row>
    <row r="12" spans="1:18">
      <c r="A12" s="9"/>
      <c r="B12" s="310" t="str">
        <f>CONCATENATE("FT-",E13,"1")</f>
        <v>FT-AGRNGA1</v>
      </c>
      <c r="C12" s="378" t="s">
        <v>125</v>
      </c>
      <c r="D12" s="139" t="str">
        <f ca="1">IEAData2!D190</f>
        <v>GASNGA</v>
      </c>
      <c r="E12" s="12"/>
      <c r="F12" s="12"/>
      <c r="G12" s="97"/>
      <c r="H12" s="97"/>
      <c r="I12" s="140">
        <v>1</v>
      </c>
      <c r="J12" s="140">
        <v>1</v>
      </c>
      <c r="K12" s="18"/>
      <c r="L12" s="18"/>
      <c r="M12" s="140"/>
      <c r="N12" s="140"/>
      <c r="O12" s="140"/>
      <c r="P12" s="140"/>
      <c r="Q12" s="393"/>
      <c r="R12" s="140"/>
    </row>
    <row r="13" spans="1:18">
      <c r="A13" s="9"/>
      <c r="B13" s="519"/>
      <c r="C13" s="460"/>
      <c r="D13" s="142"/>
      <c r="E13" s="142" t="str">
        <f ca="1">IEAData2!H190</f>
        <v>AGRNGA</v>
      </c>
      <c r="F13" s="142" t="s">
        <v>126</v>
      </c>
      <c r="G13" s="144"/>
      <c r="H13" s="144"/>
      <c r="I13" s="145"/>
      <c r="J13" s="145"/>
      <c r="K13" s="146"/>
      <c r="L13" s="146"/>
      <c r="M13" s="145"/>
      <c r="N13" s="145"/>
      <c r="O13" s="145"/>
      <c r="P13" s="145"/>
      <c r="Q13" s="394"/>
      <c r="R13" s="145"/>
    </row>
    <row r="14" spans="1:18">
      <c r="A14" s="9"/>
      <c r="B14" s="310" t="str">
        <f>CONCATENATE("FT-",E17,"0")</f>
        <v>FT-AGRDST0</v>
      </c>
      <c r="C14" s="378" t="s">
        <v>133</v>
      </c>
      <c r="D14" s="139" t="str">
        <f ca="1">IEAData2!D193</f>
        <v>OILDST</v>
      </c>
      <c r="E14" s="12"/>
      <c r="F14" s="12"/>
      <c r="G14" s="140">
        <f ca="1">IF(IEAData2!$G$191=0,1,IEAData2!B193/IEAData2!$G$191)</f>
        <v>1</v>
      </c>
      <c r="H14" s="379">
        <f ca="1">IF(AuxData2!$G$191=0,1,AuxData2!C193/AuxData2!$G$191)</f>
        <v>1</v>
      </c>
      <c r="I14" s="140">
        <v>1</v>
      </c>
      <c r="J14" s="140"/>
      <c r="K14" s="18"/>
      <c r="L14" s="18"/>
      <c r="M14" s="140">
        <f>G14</f>
        <v>1</v>
      </c>
      <c r="N14" s="140">
        <v>1</v>
      </c>
      <c r="O14" s="140">
        <v>1</v>
      </c>
      <c r="P14" s="140">
        <v>1</v>
      </c>
      <c r="Q14" s="393"/>
      <c r="R14" s="140"/>
    </row>
    <row r="15" spans="1:18">
      <c r="A15" s="9"/>
      <c r="B15" s="310"/>
      <c r="C15" s="378"/>
      <c r="D15" s="139" t="str">
        <f ca="1">IEAData2!D197</f>
        <v>OILNSP</v>
      </c>
      <c r="E15" s="12"/>
      <c r="F15" s="12"/>
      <c r="G15" s="140">
        <f ca="1">1-G14</f>
        <v>0</v>
      </c>
      <c r="H15" s="379">
        <f ca="1">1-H14</f>
        <v>0</v>
      </c>
      <c r="I15" s="140"/>
      <c r="J15" s="140"/>
      <c r="K15" s="18"/>
      <c r="L15" s="18"/>
      <c r="M15" s="379">
        <f>G15</f>
        <v>0</v>
      </c>
      <c r="N15" s="379">
        <f>H15</f>
        <v>0</v>
      </c>
      <c r="O15" s="379">
        <f>N15</f>
        <v>0</v>
      </c>
      <c r="P15" s="379">
        <f>O15</f>
        <v>0</v>
      </c>
      <c r="Q15" s="393"/>
      <c r="R15" s="140"/>
    </row>
    <row r="16" spans="1:18">
      <c r="A16" s="9"/>
      <c r="B16" s="310"/>
      <c r="C16" s="378"/>
      <c r="D16" s="139" t="s">
        <v>742</v>
      </c>
      <c r="E16" s="12"/>
      <c r="F16" s="12"/>
      <c r="G16" s="140">
        <v>0</v>
      </c>
      <c r="H16" s="379">
        <f ca="1">IF(AuxData2!$G$191=0,1,AuxData2!C204/AuxData2!$G$191)</f>
        <v>0</v>
      </c>
      <c r="I16" s="140"/>
      <c r="J16" s="140"/>
      <c r="K16" s="18"/>
      <c r="L16" s="18"/>
      <c r="M16" s="140">
        <f>G16+0.01</f>
        <v>0.01</v>
      </c>
      <c r="N16" s="379">
        <f>H16+0.01</f>
        <v>0.01</v>
      </c>
      <c r="O16" s="140">
        <v>0.7</v>
      </c>
      <c r="P16" s="140">
        <v>0.85</v>
      </c>
      <c r="Q16" s="393"/>
      <c r="R16" s="140"/>
    </row>
    <row r="17" spans="1:18">
      <c r="A17" s="9"/>
      <c r="B17" s="518"/>
      <c r="C17" s="460"/>
      <c r="D17" s="142"/>
      <c r="E17" s="142" t="str">
        <f ca="1">IEAData2!H191</f>
        <v>AGRDST</v>
      </c>
      <c r="F17" s="142" t="s">
        <v>134</v>
      </c>
      <c r="G17" s="144"/>
      <c r="H17" s="144"/>
      <c r="I17" s="145"/>
      <c r="J17" s="145"/>
      <c r="K17" s="146"/>
      <c r="L17" s="146"/>
      <c r="M17" s="145"/>
      <c r="N17" s="145"/>
      <c r="O17" s="145"/>
      <c r="P17" s="145"/>
      <c r="Q17" s="394"/>
      <c r="R17" s="145"/>
    </row>
    <row r="18" spans="1:18">
      <c r="A18" s="9"/>
      <c r="B18" s="310" t="str">
        <f>CONCATENATE("FT-",E19,"0")</f>
        <v>FT-AGRGSL0</v>
      </c>
      <c r="C18" s="378" t="s">
        <v>135</v>
      </c>
      <c r="D18" s="12" t="str">
        <f ca="1">IEAData2!D196</f>
        <v>OILGSL</v>
      </c>
      <c r="E18" s="12"/>
      <c r="F18" s="12"/>
      <c r="G18" s="97"/>
      <c r="H18" s="97"/>
      <c r="I18" s="140">
        <v>1</v>
      </c>
      <c r="J18" s="140"/>
      <c r="K18" s="18"/>
      <c r="L18" s="18"/>
      <c r="M18" s="140"/>
      <c r="N18" s="140"/>
      <c r="O18" s="140"/>
      <c r="P18" s="140"/>
      <c r="Q18" s="393"/>
      <c r="R18" s="140"/>
    </row>
    <row r="19" spans="1:18">
      <c r="A19" s="9"/>
      <c r="B19" s="520"/>
      <c r="C19" s="460"/>
      <c r="D19" s="142"/>
      <c r="E19" s="142" t="str">
        <f ca="1">IEAData2!H192</f>
        <v>AGRGSL</v>
      </c>
      <c r="F19" s="142" t="s">
        <v>136</v>
      </c>
      <c r="G19" s="144"/>
      <c r="H19" s="144"/>
      <c r="I19" s="145"/>
      <c r="J19" s="145"/>
      <c r="K19" s="146"/>
      <c r="L19" s="146"/>
      <c r="M19" s="145"/>
      <c r="N19" s="145"/>
      <c r="O19" s="145"/>
      <c r="P19" s="145"/>
      <c r="Q19" s="394"/>
      <c r="R19" s="145"/>
    </row>
    <row r="20" spans="1:18">
      <c r="A20" s="9"/>
      <c r="B20" s="310" t="str">
        <f>CONCATENATE("FT-",E21,"0")</f>
        <v>FT-AGRHFO0</v>
      </c>
      <c r="C20" s="378" t="s">
        <v>122</v>
      </c>
      <c r="D20" s="139" t="str">
        <f ca="1">IEAData2!D194</f>
        <v>OILHFO</v>
      </c>
      <c r="E20" s="12"/>
      <c r="F20" s="12"/>
      <c r="G20" s="97"/>
      <c r="H20" s="97"/>
      <c r="I20" s="140">
        <v>1</v>
      </c>
      <c r="J20" s="140"/>
      <c r="K20" s="18"/>
      <c r="L20" s="18"/>
      <c r="M20" s="140">
        <f ca="1">IF(IEAData2!G193=0,1,IEAData2!B194/IEAData2!G193)</f>
        <v>1</v>
      </c>
      <c r="N20" s="140">
        <v>1</v>
      </c>
      <c r="O20" s="140">
        <v>1</v>
      </c>
      <c r="P20" s="140">
        <v>1</v>
      </c>
      <c r="Q20" s="393"/>
      <c r="R20" s="140"/>
    </row>
    <row r="21" spans="1:18">
      <c r="A21" s="9"/>
      <c r="B21" s="520"/>
      <c r="C21" s="460"/>
      <c r="D21" s="142"/>
      <c r="E21" s="142" t="str">
        <f ca="1">IEAData2!H193</f>
        <v>AGRHFO</v>
      </c>
      <c r="F21" s="142" t="s">
        <v>186</v>
      </c>
      <c r="G21" s="144"/>
      <c r="H21" s="144"/>
      <c r="I21" s="145"/>
      <c r="J21" s="145"/>
      <c r="K21" s="146"/>
      <c r="L21" s="146"/>
      <c r="M21" s="145"/>
      <c r="N21" s="145"/>
      <c r="O21" s="145"/>
      <c r="P21" s="145"/>
      <c r="Q21" s="394"/>
      <c r="R21" s="145"/>
    </row>
    <row r="22" spans="1:18">
      <c r="A22" s="9"/>
      <c r="B22" s="310" t="str">
        <f>CONCATENATE("FT-",E23,"0")</f>
        <v>FT-AGRKER0</v>
      </c>
      <c r="C22" s="378" t="s">
        <v>187</v>
      </c>
      <c r="D22" s="139" t="str">
        <f ca="1">IEAData2!D195</f>
        <v>OILKER</v>
      </c>
      <c r="E22" s="12"/>
      <c r="F22" s="12"/>
      <c r="G22" s="97"/>
      <c r="H22" s="97"/>
      <c r="I22" s="140">
        <v>1</v>
      </c>
      <c r="J22" s="140"/>
      <c r="K22" s="18"/>
      <c r="L22" s="18"/>
      <c r="M22" s="140"/>
      <c r="N22" s="140"/>
      <c r="O22" s="140"/>
      <c r="P22" s="140"/>
      <c r="Q22" s="393"/>
      <c r="R22" s="140"/>
    </row>
    <row r="23" spans="1:18">
      <c r="A23" s="9"/>
      <c r="B23" s="520"/>
      <c r="C23" s="460"/>
      <c r="D23" s="142"/>
      <c r="E23" s="142" t="str">
        <f ca="1">IEAData2!H194</f>
        <v>AGRKER</v>
      </c>
      <c r="F23" s="142" t="s">
        <v>188</v>
      </c>
      <c r="G23" s="144"/>
      <c r="H23" s="144"/>
      <c r="I23" s="145"/>
      <c r="J23" s="145"/>
      <c r="K23" s="146"/>
      <c r="L23" s="146"/>
      <c r="M23" s="145"/>
      <c r="N23" s="145"/>
      <c r="O23" s="145"/>
      <c r="P23" s="145"/>
      <c r="Q23" s="394"/>
      <c r="R23" s="145"/>
    </row>
    <row r="24" spans="1:18">
      <c r="A24" s="149"/>
      <c r="B24" s="310" t="str">
        <f>CONCATENATE("FT-",E27,"0")</f>
        <v>FT-AGRCOP0</v>
      </c>
      <c r="C24" s="378" t="s">
        <v>1035</v>
      </c>
      <c r="D24" s="139" t="str">
        <f ca="1">IEAData2!D198</f>
        <v>COAHCO</v>
      </c>
      <c r="E24" s="12"/>
      <c r="F24" s="12"/>
      <c r="G24" s="97">
        <f ca="1">IF(IEAData2!$G$195&lt;0.02,1,IEAData2!$B198/IEAData2!$G$195)</f>
        <v>1</v>
      </c>
      <c r="H24" s="97">
        <f ca="1">IF(AuxData2!$G$195&lt;0.02,1,AuxData2!$C198/AuxData2!$G$195)</f>
        <v>1</v>
      </c>
      <c r="I24" s="140">
        <v>1</v>
      </c>
      <c r="J24" s="140"/>
      <c r="K24" s="18"/>
      <c r="L24" s="18"/>
      <c r="M24" s="97">
        <f t="shared" ref="M24:N26" si="1">G24</f>
        <v>1</v>
      </c>
      <c r="N24" s="97">
        <f t="shared" si="1"/>
        <v>1</v>
      </c>
      <c r="O24" s="140"/>
      <c r="P24" s="140"/>
      <c r="Q24" s="393"/>
      <c r="R24" s="140"/>
    </row>
    <row r="25" spans="1:18">
      <c r="A25" s="149"/>
      <c r="B25" s="310"/>
      <c r="C25" s="378"/>
      <c r="D25" s="139" t="str">
        <f ca="1">IEAData2!D199</f>
        <v>COABCO</v>
      </c>
      <c r="E25" s="12"/>
      <c r="F25" s="12"/>
      <c r="G25" s="97">
        <f ca="1">IF(IEAData2!$G$195&lt;0.02,0,IEAData2!$B199/IEAData2!$G$195)</f>
        <v>0</v>
      </c>
      <c r="H25" s="97">
        <f ca="1">IF(AuxData2!$G$195&lt;0.02,0,AuxData2!$C199/AuxData2!$G$195)</f>
        <v>0</v>
      </c>
      <c r="I25" s="140"/>
      <c r="J25" s="140"/>
      <c r="K25" s="18"/>
      <c r="L25" s="18"/>
      <c r="M25" s="97">
        <f t="shared" si="1"/>
        <v>0</v>
      </c>
      <c r="N25" s="97">
        <f t="shared" si="1"/>
        <v>0</v>
      </c>
      <c r="O25" s="140"/>
      <c r="P25" s="140"/>
      <c r="Q25" s="393"/>
      <c r="R25" s="140"/>
    </row>
    <row r="26" spans="1:18">
      <c r="A26" s="149"/>
      <c r="B26" s="310"/>
      <c r="C26" s="378"/>
      <c r="D26" s="139" t="str">
        <f ca="1">IEAData2!D200</f>
        <v>COAOVC</v>
      </c>
      <c r="E26" s="12"/>
      <c r="F26" s="12"/>
      <c r="G26" s="97">
        <f ca="1">IF(IEAData2!$G$195&lt;=0.01,0,IEAData2!$B200/IEAData2!$G$195)</f>
        <v>0</v>
      </c>
      <c r="H26" s="97">
        <f ca="1">IF(AuxData2!$G$195&lt;0.02,0,AuxData2!$C200/AuxData2!$G$195)</f>
        <v>0</v>
      </c>
      <c r="I26" s="140"/>
      <c r="J26" s="140"/>
      <c r="K26" s="18"/>
      <c r="L26" s="18"/>
      <c r="M26" s="97">
        <f t="shared" si="1"/>
        <v>0</v>
      </c>
      <c r="N26" s="97">
        <f t="shared" si="1"/>
        <v>0</v>
      </c>
      <c r="O26" s="140"/>
      <c r="P26" s="140"/>
      <c r="Q26" s="393"/>
      <c r="R26" s="140"/>
    </row>
    <row r="27" spans="1:18">
      <c r="A27" s="149"/>
      <c r="B27" s="518"/>
      <c r="C27" s="460"/>
      <c r="D27" s="142"/>
      <c r="E27" s="142" t="str">
        <f ca="1">IEAData2!H195</f>
        <v>AGRCOP</v>
      </c>
      <c r="F27" s="142" t="s">
        <v>189</v>
      </c>
      <c r="G27" s="144"/>
      <c r="H27" s="144"/>
      <c r="I27" s="145"/>
      <c r="J27" s="145"/>
      <c r="K27" s="146"/>
      <c r="L27" s="146"/>
      <c r="M27" s="145"/>
      <c r="N27" s="145"/>
      <c r="O27" s="145"/>
      <c r="P27" s="145"/>
      <c r="Q27" s="394"/>
      <c r="R27" s="145"/>
    </row>
    <row r="28" spans="1:18">
      <c r="A28" s="149"/>
      <c r="B28" s="310" t="str">
        <f>CONCATENATE("FT-",E29,"0")</f>
        <v>FT-AGRLPG0</v>
      </c>
      <c r="C28" s="378" t="s">
        <v>190</v>
      </c>
      <c r="D28" s="139" t="str">
        <f ca="1">IEAData2!D201</f>
        <v>OILLPG</v>
      </c>
      <c r="E28" s="12"/>
      <c r="F28" s="12"/>
      <c r="G28" s="97"/>
      <c r="H28" s="97"/>
      <c r="I28" s="140">
        <v>1</v>
      </c>
      <c r="J28" s="140"/>
      <c r="K28" s="18"/>
      <c r="L28" s="18"/>
      <c r="M28" s="140"/>
      <c r="N28" s="140"/>
      <c r="O28" s="140"/>
      <c r="P28" s="140"/>
      <c r="Q28" s="393"/>
      <c r="R28" s="140"/>
    </row>
    <row r="29" spans="1:18">
      <c r="A29" s="149"/>
      <c r="B29" s="518"/>
      <c r="C29" s="460"/>
      <c r="D29" s="142"/>
      <c r="E29" s="142" t="str">
        <f ca="1">IEAData2!H196</f>
        <v>AGRLPG</v>
      </c>
      <c r="F29" s="142" t="s">
        <v>191</v>
      </c>
      <c r="G29" s="144"/>
      <c r="H29" s="144"/>
      <c r="I29" s="145"/>
      <c r="J29" s="145"/>
      <c r="K29" s="146"/>
      <c r="L29" s="146"/>
      <c r="M29" s="145"/>
      <c r="N29" s="145"/>
      <c r="O29" s="145"/>
      <c r="P29" s="145"/>
      <c r="Q29" s="394"/>
      <c r="R29" s="145"/>
    </row>
    <row r="30" spans="1:18">
      <c r="A30" s="149"/>
      <c r="B30" s="310" t="str">
        <f>CONCATENATE("FT-",E31,"0")</f>
        <v>FT-AGRBGS0</v>
      </c>
      <c r="C30" s="378" t="s">
        <v>1232</v>
      </c>
      <c r="D30" s="139" t="s">
        <v>43</v>
      </c>
      <c r="E30" s="12"/>
      <c r="F30" s="12"/>
      <c r="G30" s="97"/>
      <c r="H30" s="97"/>
      <c r="I30" s="140">
        <v>1</v>
      </c>
      <c r="J30" s="140"/>
      <c r="K30" s="18"/>
      <c r="L30" s="18"/>
      <c r="M30" s="140"/>
      <c r="N30" s="140"/>
      <c r="O30" s="140"/>
      <c r="P30" s="140"/>
      <c r="Q30" s="393"/>
      <c r="R30" s="140"/>
    </row>
    <row r="31" spans="1:18">
      <c r="A31" s="149"/>
      <c r="B31" s="518"/>
      <c r="C31" s="460"/>
      <c r="D31" s="142"/>
      <c r="E31" s="142" t="s">
        <v>1231</v>
      </c>
      <c r="F31" s="142" t="s">
        <v>1234</v>
      </c>
      <c r="G31" s="144"/>
      <c r="H31" s="144"/>
      <c r="I31" s="145"/>
      <c r="J31" s="145"/>
      <c r="K31" s="146"/>
      <c r="L31" s="146"/>
      <c r="M31" s="145"/>
      <c r="N31" s="145"/>
      <c r="O31" s="145"/>
      <c r="P31" s="145"/>
      <c r="Q31" s="394"/>
      <c r="R31" s="145"/>
    </row>
    <row r="32" spans="1:18" ht="22.5" customHeight="1">
      <c r="A32" s="9"/>
      <c r="B32" s="310" t="str">
        <f>CONCATENATE("FT-",E35,"0")</f>
        <v>FT-AGRBIO0</v>
      </c>
      <c r="C32" s="378" t="s">
        <v>192</v>
      </c>
      <c r="D32" s="139" t="s">
        <v>943</v>
      </c>
      <c r="E32" s="12"/>
      <c r="F32" s="12"/>
      <c r="G32" s="97">
        <f ca="1">IF(IEAData2!$G$197&lt;0.02,1,IEAData2!$B202/IEAData2!$G$197)</f>
        <v>1</v>
      </c>
      <c r="H32" s="97">
        <f ca="1">IF(AuxData2!$G$197&lt;0.02,1,AuxData2!$C202/AuxData2!$G$197)</f>
        <v>1</v>
      </c>
      <c r="I32" s="140">
        <v>1</v>
      </c>
      <c r="J32" s="140"/>
      <c r="K32" s="18"/>
      <c r="L32" s="18"/>
      <c r="M32" s="97">
        <v>1</v>
      </c>
      <c r="N32" s="140"/>
      <c r="O32" s="140"/>
      <c r="P32" s="140"/>
      <c r="Q32" s="399">
        <f ca="1">MAX(IEAData2!$G$197,AuxData2!G$197)*$P$3</f>
        <v>3.3048000000000001E-2</v>
      </c>
      <c r="R32" s="372">
        <f>Q32*1.1</f>
        <v>3.6352800000000005E-2</v>
      </c>
    </row>
    <row r="33" spans="1:18">
      <c r="A33" s="9"/>
      <c r="B33" s="310"/>
      <c r="C33" s="378"/>
      <c r="D33" s="139" t="str">
        <f ca="1">COMM2!$C$122</f>
        <v>BIOAGR</v>
      </c>
      <c r="E33" s="12"/>
      <c r="F33" s="12"/>
      <c r="G33" s="97">
        <f ca="1">IF(IEAData2!$G$197&lt;0.02,0,IEAData2!$B203/IEAData2!$G$197)</f>
        <v>0</v>
      </c>
      <c r="H33" s="97">
        <f ca="1">IF(AuxData2!$G$197&lt;0.02,0,AuxData2!$C203/AuxData2!$G$197)</f>
        <v>0</v>
      </c>
      <c r="I33" s="140"/>
      <c r="J33" s="140"/>
      <c r="K33" s="18"/>
      <c r="L33" s="18"/>
      <c r="M33" s="97">
        <v>1</v>
      </c>
      <c r="N33" s="140"/>
      <c r="O33" s="140"/>
      <c r="P33" s="140"/>
      <c r="Q33" s="393"/>
      <c r="R33" s="140"/>
    </row>
    <row r="34" spans="1:18">
      <c r="A34" s="9"/>
      <c r="B34" s="310"/>
      <c r="C34" s="378"/>
      <c r="D34" s="139" t="s">
        <v>1045</v>
      </c>
      <c r="E34" s="12"/>
      <c r="F34" s="12"/>
      <c r="G34" s="97">
        <v>0.05</v>
      </c>
      <c r="H34" s="97">
        <v>0.05</v>
      </c>
      <c r="I34" s="140"/>
      <c r="J34" s="140"/>
      <c r="K34" s="18"/>
      <c r="L34" s="18"/>
      <c r="M34" s="97">
        <f>G34</f>
        <v>0.05</v>
      </c>
      <c r="N34" s="97">
        <f>H34</f>
        <v>0.05</v>
      </c>
      <c r="O34" s="346">
        <v>0.2</v>
      </c>
      <c r="P34" s="140"/>
      <c r="Q34" s="393"/>
      <c r="R34" s="140"/>
    </row>
    <row r="35" spans="1:18">
      <c r="A35" s="9"/>
      <c r="B35" s="518"/>
      <c r="C35" s="460"/>
      <c r="D35" s="142" t="s">
        <v>946</v>
      </c>
      <c r="E35" s="142" t="str">
        <f ca="1">IEAData2!H197</f>
        <v>AGRBIO</v>
      </c>
      <c r="F35" s="142" t="s">
        <v>193</v>
      </c>
      <c r="G35" s="144"/>
      <c r="H35" s="144"/>
      <c r="I35" s="145"/>
      <c r="J35" s="145"/>
      <c r="K35" s="146"/>
      <c r="L35" s="146"/>
      <c r="M35" s="145"/>
      <c r="N35" s="145"/>
      <c r="O35" s="145"/>
      <c r="P35" s="145"/>
      <c r="Q35" s="394"/>
      <c r="R35" s="145"/>
    </row>
    <row r="36" spans="1:18">
      <c r="A36" s="9"/>
      <c r="B36" s="310" t="str">
        <f>CONCATENATE("FT-",E37,"5")</f>
        <v>FT-AGRBIO5</v>
      </c>
      <c r="C36" s="378" t="s">
        <v>192</v>
      </c>
      <c r="D36" s="139" t="s">
        <v>943</v>
      </c>
      <c r="E36" s="36"/>
      <c r="F36" s="36"/>
      <c r="G36" s="355"/>
      <c r="H36" s="355"/>
      <c r="I36" s="355">
        <v>1</v>
      </c>
      <c r="J36" s="355"/>
      <c r="K36" s="81"/>
      <c r="L36" s="81"/>
      <c r="M36" s="355"/>
      <c r="N36" s="355"/>
      <c r="O36" s="355"/>
      <c r="P36" s="355"/>
      <c r="Q36" s="393"/>
      <c r="R36" s="355"/>
    </row>
    <row r="37" spans="1:18">
      <c r="A37" s="9"/>
      <c r="B37" s="518"/>
      <c r="C37" s="460"/>
      <c r="D37" s="142" t="str">
        <f ca="1">COMM2!$C$122</f>
        <v>BIOAGR</v>
      </c>
      <c r="E37" s="142" t="str">
        <f ca="1">IEAData2!H197</f>
        <v>AGRBIO</v>
      </c>
      <c r="F37" s="142" t="s">
        <v>193</v>
      </c>
      <c r="G37" s="145"/>
      <c r="H37" s="145"/>
      <c r="I37" s="145"/>
      <c r="J37" s="145"/>
      <c r="K37" s="146"/>
      <c r="L37" s="146"/>
      <c r="M37" s="145"/>
      <c r="N37" s="145"/>
      <c r="O37" s="145"/>
      <c r="P37" s="145"/>
      <c r="Q37" s="394"/>
      <c r="R37" s="145"/>
    </row>
    <row r="38" spans="1:18">
      <c r="A38" s="9"/>
      <c r="B38" s="310" t="str">
        <f>CONCATENATE("FT-",E39,"5")</f>
        <v>FT-AGRBPL5</v>
      </c>
      <c r="C38" s="378" t="s">
        <v>1054</v>
      </c>
      <c r="D38" s="139" t="s">
        <v>929</v>
      </c>
      <c r="E38" s="36"/>
      <c r="F38" s="36"/>
      <c r="G38" s="355"/>
      <c r="H38" s="355"/>
      <c r="I38" s="355">
        <v>1</v>
      </c>
      <c r="J38" s="355"/>
      <c r="K38" s="81"/>
      <c r="L38" s="81"/>
      <c r="M38" s="355"/>
      <c r="N38" s="355"/>
      <c r="O38" s="355"/>
      <c r="P38" s="355"/>
      <c r="Q38" s="393"/>
      <c r="R38" s="355"/>
    </row>
    <row r="39" spans="1:18">
      <c r="A39" s="9"/>
      <c r="B39" s="518"/>
      <c r="C39" s="460"/>
      <c r="D39" s="142"/>
      <c r="E39" s="142" t="str">
        <f ca="1">COMM2!$C$60</f>
        <v>AGRBPL</v>
      </c>
      <c r="F39" s="142" t="s">
        <v>1047</v>
      </c>
      <c r="G39" s="145"/>
      <c r="H39" s="145"/>
      <c r="I39" s="145"/>
      <c r="J39" s="145"/>
      <c r="K39" s="146"/>
      <c r="L39" s="146"/>
      <c r="M39" s="145"/>
      <c r="N39" s="145"/>
      <c r="O39" s="145"/>
      <c r="P39" s="145"/>
      <c r="Q39" s="394"/>
      <c r="R39" s="145"/>
    </row>
    <row r="40" spans="1:18">
      <c r="A40" s="9"/>
      <c r="B40" s="310" t="str">
        <f>CONCATENATE("FT-",E41,"0")</f>
        <v>FT-AGRSTR0</v>
      </c>
      <c r="C40" s="378" t="s">
        <v>1253</v>
      </c>
      <c r="D40" s="139" t="str">
        <f ca="1">COMM2!$C$126</f>
        <v>BIOSTR</v>
      </c>
      <c r="E40" s="12"/>
      <c r="F40" s="12"/>
      <c r="G40" s="140"/>
      <c r="H40" s="140"/>
      <c r="I40" s="140">
        <v>1</v>
      </c>
      <c r="J40" s="140">
        <v>1</v>
      </c>
      <c r="K40" s="18">
        <v>0.2</v>
      </c>
      <c r="L40" s="18"/>
      <c r="M40" s="140"/>
      <c r="N40" s="140"/>
      <c r="O40" s="140"/>
      <c r="P40" s="140"/>
      <c r="Q40" s="393"/>
      <c r="R40" s="140"/>
    </row>
    <row r="41" spans="1:18">
      <c r="A41" s="9"/>
      <c r="B41" s="518"/>
      <c r="C41" s="460"/>
      <c r="D41" s="142"/>
      <c r="E41" s="142" t="str">
        <f ca="1">COMM2!$C$70</f>
        <v>AGRSTR</v>
      </c>
      <c r="F41" s="142" t="s">
        <v>1251</v>
      </c>
      <c r="G41" s="145"/>
      <c r="H41" s="145"/>
      <c r="I41" s="145"/>
      <c r="J41" s="145"/>
      <c r="K41" s="146"/>
      <c r="L41" s="146"/>
      <c r="M41" s="145"/>
      <c r="N41" s="145"/>
      <c r="O41" s="145"/>
      <c r="P41" s="145"/>
      <c r="Q41" s="394"/>
      <c r="R41" s="145"/>
    </row>
    <row r="42" spans="1:18">
      <c r="A42" s="9"/>
      <c r="B42" s="310" t="str">
        <f>CONCATENATE("FT-",E43,"0")</f>
        <v>FT-AGRGEO0</v>
      </c>
      <c r="C42" s="378" t="s">
        <v>194</v>
      </c>
      <c r="D42" s="139" t="str">
        <f ca="1">IEAData2!D210</f>
        <v>GEO</v>
      </c>
      <c r="E42" s="12"/>
      <c r="F42" s="12"/>
      <c r="G42" s="140"/>
      <c r="H42" s="140"/>
      <c r="I42" s="140">
        <v>1</v>
      </c>
      <c r="J42" s="140">
        <v>1</v>
      </c>
      <c r="K42" s="18">
        <v>0.2</v>
      </c>
      <c r="L42" s="18"/>
      <c r="M42" s="140"/>
      <c r="N42" s="140"/>
      <c r="O42" s="140"/>
      <c r="P42" s="140"/>
      <c r="Q42" s="393"/>
      <c r="R42" s="140"/>
    </row>
    <row r="43" spans="1:18">
      <c r="A43" s="9"/>
      <c r="B43" s="518"/>
      <c r="C43" s="460"/>
      <c r="D43" s="142"/>
      <c r="E43" s="142" t="str">
        <f ca="1">IEAData2!H200</f>
        <v>AGRGEO</v>
      </c>
      <c r="F43" s="142" t="s">
        <v>195</v>
      </c>
      <c r="G43" s="145"/>
      <c r="H43" s="145"/>
      <c r="I43" s="145"/>
      <c r="J43" s="145"/>
      <c r="K43" s="146"/>
      <c r="L43" s="146"/>
      <c r="M43" s="145"/>
      <c r="N43" s="145"/>
      <c r="O43" s="145"/>
      <c r="P43" s="145"/>
      <c r="Q43" s="394"/>
      <c r="R43" s="145"/>
    </row>
    <row r="44" spans="1:18">
      <c r="A44" s="9"/>
      <c r="B44" s="310" t="str">
        <f>CONCATENATE("FT-",E45,"0")</f>
        <v>FT-AGRSOL0</v>
      </c>
      <c r="C44" s="378" t="s">
        <v>196</v>
      </c>
      <c r="D44" s="139" t="str">
        <f ca="1">IEAData2!D211</f>
        <v>SOL</v>
      </c>
      <c r="E44" s="12"/>
      <c r="F44" s="12"/>
      <c r="G44" s="140"/>
      <c r="H44" s="140"/>
      <c r="I44" s="140">
        <v>1</v>
      </c>
      <c r="J44" s="140">
        <v>1</v>
      </c>
      <c r="K44" s="18">
        <v>0.1</v>
      </c>
      <c r="L44" s="18"/>
      <c r="M44" s="140"/>
      <c r="N44" s="140"/>
      <c r="O44" s="140"/>
      <c r="P44" s="140"/>
      <c r="Q44" s="393"/>
      <c r="R44" s="140"/>
    </row>
    <row r="45" spans="1:18">
      <c r="A45" s="9"/>
      <c r="B45" s="520"/>
      <c r="C45" s="460"/>
      <c r="D45" s="142"/>
      <c r="E45" s="142" t="str">
        <f ca="1">IEAData2!H201</f>
        <v>AGRSOL</v>
      </c>
      <c r="F45" s="142" t="s">
        <v>197</v>
      </c>
      <c r="G45" s="145"/>
      <c r="H45" s="145"/>
      <c r="I45" s="145"/>
      <c r="J45" s="145"/>
      <c r="K45" s="146"/>
      <c r="L45" s="146"/>
      <c r="M45" s="145"/>
      <c r="N45" s="145"/>
      <c r="O45" s="145"/>
      <c r="P45" s="145"/>
      <c r="Q45" s="394"/>
      <c r="R45" s="145"/>
    </row>
    <row r="46" spans="1:18">
      <c r="A46" s="9"/>
      <c r="B46" s="121"/>
      <c r="C46" s="2"/>
      <c r="D46" s="22"/>
      <c r="E46" s="22"/>
      <c r="F46" s="22"/>
      <c r="I46" s="19"/>
      <c r="J46" s="19"/>
      <c r="K46" s="137"/>
    </row>
    <row r="47" spans="1:18">
      <c r="A47" s="9"/>
      <c r="B47" s="121"/>
      <c r="C47" s="2"/>
      <c r="D47" s="22"/>
      <c r="E47" s="22"/>
      <c r="F47" s="22"/>
      <c r="G47" s="19"/>
      <c r="H47" s="19"/>
      <c r="I47" s="137"/>
    </row>
    <row r="48" spans="1:18">
      <c r="C48" s="35"/>
      <c r="F48" s="245"/>
    </row>
    <row r="49" spans="1:27" ht="18">
      <c r="A49" s="9"/>
      <c r="B49" s="253" t="s">
        <v>1006</v>
      </c>
      <c r="C49" s="1"/>
      <c r="D49" s="136"/>
      <c r="E49" s="136"/>
      <c r="F49" s="252" t="str">
        <f>"~FI_T: "&amp;Region&amp;"~EUR10"</f>
        <v>~FI_T: FIM~EUR10</v>
      </c>
    </row>
    <row r="50" spans="1:27" ht="13.5" thickBot="1">
      <c r="A50" s="9"/>
      <c r="B50" s="496" t="s">
        <v>57</v>
      </c>
      <c r="C50" s="496" t="s">
        <v>58</v>
      </c>
      <c r="D50" s="496" t="s">
        <v>56</v>
      </c>
      <c r="E50" s="496" t="s">
        <v>59</v>
      </c>
      <c r="F50" s="52" t="s">
        <v>385</v>
      </c>
      <c r="G50" s="52" t="s">
        <v>661</v>
      </c>
      <c r="H50" s="52" t="s">
        <v>539</v>
      </c>
      <c r="I50" s="52" t="s">
        <v>540</v>
      </c>
      <c r="J50" s="52" t="s">
        <v>534</v>
      </c>
      <c r="K50" s="52" t="s">
        <v>535</v>
      </c>
      <c r="L50" s="52" t="s">
        <v>778</v>
      </c>
      <c r="M50" s="52" t="s">
        <v>536</v>
      </c>
      <c r="N50" s="52" t="s">
        <v>537</v>
      </c>
      <c r="O50" s="52" t="s">
        <v>88</v>
      </c>
      <c r="P50" s="52" t="s">
        <v>538</v>
      </c>
      <c r="Q50" s="52" t="s">
        <v>541</v>
      </c>
      <c r="R50" s="52" t="s">
        <v>1007</v>
      </c>
    </row>
    <row r="51" spans="1:27">
      <c r="A51" s="13"/>
      <c r="B51" s="310" t="str">
        <f>CONCATENATE("FT-",E52,"0")</f>
        <v>FT-AGRELC0</v>
      </c>
      <c r="C51" s="378" t="s">
        <v>198</v>
      </c>
      <c r="D51" s="139" t="s">
        <v>392</v>
      </c>
      <c r="E51" s="12"/>
      <c r="F51" s="12"/>
      <c r="G51" s="139">
        <v>1</v>
      </c>
      <c r="H51" s="97">
        <v>1</v>
      </c>
      <c r="I51" s="40"/>
      <c r="J51" s="97"/>
      <c r="K51" s="346">
        <v>1</v>
      </c>
      <c r="L51" s="18"/>
      <c r="M51" s="18"/>
      <c r="N51" s="18"/>
      <c r="O51" s="18"/>
      <c r="P51" s="18"/>
      <c r="Q51" s="18"/>
      <c r="R51" s="358">
        <v>1</v>
      </c>
    </row>
    <row r="52" spans="1:27">
      <c r="A52" s="9"/>
      <c r="B52" s="247"/>
      <c r="C52" s="460"/>
      <c r="D52" s="142"/>
      <c r="E52" s="142" t="str">
        <f ca="1">IEAData2!H198</f>
        <v>AGRELC</v>
      </c>
      <c r="F52" s="142" t="s">
        <v>199</v>
      </c>
      <c r="G52" s="143"/>
      <c r="H52" s="144"/>
      <c r="I52" s="144"/>
      <c r="J52" s="144"/>
      <c r="K52" s="347"/>
      <c r="L52" s="146"/>
      <c r="M52" s="146"/>
      <c r="N52" s="146"/>
      <c r="O52" s="146"/>
      <c r="P52" s="146"/>
      <c r="Q52" s="146"/>
      <c r="R52" s="501"/>
    </row>
    <row r="53" spans="1:27">
      <c r="A53" s="9"/>
      <c r="B53" s="310" t="str">
        <f>CONCATENATE("FT-",E54,"0")</f>
        <v>FT-AGRHET0</v>
      </c>
      <c r="C53" s="378" t="s">
        <v>200</v>
      </c>
      <c r="D53" s="139" t="str">
        <f ca="1">IEAData2!$D$209</f>
        <v>HET</v>
      </c>
      <c r="E53" s="12"/>
      <c r="F53" s="12"/>
      <c r="G53" s="139">
        <v>1</v>
      </c>
      <c r="H53" s="97">
        <v>1</v>
      </c>
      <c r="I53" s="40"/>
      <c r="J53" s="140"/>
      <c r="K53" s="346">
        <v>1</v>
      </c>
      <c r="L53" s="18"/>
      <c r="M53" s="18"/>
      <c r="N53" s="18"/>
      <c r="O53" s="18"/>
      <c r="P53" s="18"/>
      <c r="Q53" s="18"/>
      <c r="R53" s="358">
        <v>1</v>
      </c>
    </row>
    <row r="54" spans="1:27">
      <c r="A54" s="9"/>
      <c r="B54" s="247"/>
      <c r="C54" s="460"/>
      <c r="D54" s="142"/>
      <c r="E54" s="142" t="str">
        <f ca="1">IEAData2!H$199</f>
        <v>AGRHET</v>
      </c>
      <c r="F54" s="142" t="s">
        <v>201</v>
      </c>
      <c r="G54" s="143"/>
      <c r="H54" s="144"/>
      <c r="I54" s="144"/>
      <c r="J54" s="145"/>
      <c r="K54" s="347"/>
      <c r="L54" s="146"/>
      <c r="M54" s="146"/>
      <c r="N54" s="146"/>
      <c r="O54" s="146"/>
      <c r="P54" s="146"/>
      <c r="Q54" s="146"/>
      <c r="R54" s="501"/>
    </row>
    <row r="55" spans="1:27">
      <c r="B55" s="310" t="s">
        <v>1259</v>
      </c>
      <c r="C55" s="378" t="s">
        <v>1260</v>
      </c>
      <c r="D55" s="139" t="s">
        <v>432</v>
      </c>
      <c r="E55" s="12"/>
      <c r="F55" s="12"/>
      <c r="G55" s="139">
        <v>1</v>
      </c>
      <c r="H55" s="97">
        <v>1</v>
      </c>
      <c r="I55" s="40"/>
      <c r="J55" s="140"/>
      <c r="K55" s="346">
        <v>1</v>
      </c>
      <c r="L55" s="18"/>
      <c r="M55" s="18"/>
      <c r="N55" s="18"/>
      <c r="O55" s="18"/>
      <c r="P55" s="18"/>
      <c r="Q55" s="18"/>
      <c r="R55" s="358">
        <v>1</v>
      </c>
      <c r="S55" s="130"/>
      <c r="T55" s="130"/>
      <c r="U55" s="130"/>
      <c r="V55" s="130"/>
      <c r="W55" s="130"/>
      <c r="X55" s="130"/>
      <c r="Y55" s="130"/>
      <c r="Z55" s="130"/>
      <c r="AA55" s="130"/>
    </row>
    <row r="56" spans="1:27">
      <c r="B56" s="247"/>
      <c r="C56" s="460"/>
      <c r="D56" s="142"/>
      <c r="E56" s="142" t="s">
        <v>1257</v>
      </c>
      <c r="F56" s="142" t="s">
        <v>201</v>
      </c>
      <c r="G56" s="143"/>
      <c r="H56" s="144"/>
      <c r="I56" s="144"/>
      <c r="J56" s="145"/>
      <c r="K56" s="347"/>
      <c r="L56" s="146"/>
      <c r="M56" s="146"/>
      <c r="N56" s="146"/>
      <c r="O56" s="146"/>
      <c r="P56" s="146"/>
      <c r="Q56" s="146"/>
      <c r="R56" s="501"/>
    </row>
  </sheetData>
  <phoneticPr fontId="0" type="noConversion"/>
  <pageMargins left="0.75" right="0.75" top="1" bottom="1" header="0.5" footer="0.5"/>
  <pageSetup orientation="landscape" horizontalDpi="300" verticalDpi="300" r:id="rId1"/>
  <headerFooter alignWithMargins="0"/>
  <legacyDrawing r:id="rId2"/>
</worksheet>
</file>

<file path=xl/worksheets/sheet32.xml><?xml version="1.0" encoding="utf-8"?>
<worksheet xmlns="http://schemas.openxmlformats.org/spreadsheetml/2006/main" xmlns:r="http://schemas.openxmlformats.org/officeDocument/2006/relationships">
  <sheetPr codeName="Sheet2"/>
  <dimension ref="A1:AN72"/>
  <sheetViews>
    <sheetView zoomScale="75" workbookViewId="0">
      <selection activeCell="D23" sqref="D23"/>
    </sheetView>
  </sheetViews>
  <sheetFormatPr defaultColWidth="11.42578125" defaultRowHeight="12.75"/>
  <cols>
    <col min="1" max="1" width="9.140625" customWidth="1"/>
    <col min="2" max="2" width="17.28515625" customWidth="1"/>
    <col min="3" max="3" width="26.42578125" customWidth="1"/>
    <col min="4" max="4" width="11.28515625" customWidth="1"/>
    <col min="5" max="5" width="9" bestFit="1" customWidth="1"/>
    <col min="6" max="6" width="8.28515625" customWidth="1"/>
    <col min="7" max="7" width="8.7109375" customWidth="1"/>
    <col min="8" max="8" width="9.5703125" customWidth="1"/>
    <col min="9" max="10" width="9" bestFit="1" customWidth="1"/>
    <col min="11" max="11" width="9" customWidth="1"/>
    <col min="12" max="12" width="11.140625" customWidth="1"/>
    <col min="13" max="13" width="10.7109375" customWidth="1"/>
    <col min="14" max="14" width="9.140625" customWidth="1"/>
    <col min="15" max="18" width="9.5703125" customWidth="1"/>
    <col min="19" max="19" width="8.42578125" customWidth="1"/>
    <col min="20" max="20" width="8" customWidth="1"/>
    <col min="21" max="22" width="8.42578125" customWidth="1"/>
    <col min="23" max="23" width="7.42578125" customWidth="1"/>
    <col min="24" max="29" width="11.42578125" customWidth="1"/>
    <col min="30" max="30" width="8.5703125" customWidth="1"/>
  </cols>
  <sheetData>
    <row r="1" spans="1:32" ht="18">
      <c r="A1" s="10" t="s">
        <v>435</v>
      </c>
      <c r="P1">
        <f ca="1">RIGHT(P5,4)-AuxYear</f>
        <v>-7</v>
      </c>
      <c r="Q1">
        <f ca="1">RIGHT(Q5,4)-AuxYear-SUM(O1:$P1)</f>
        <v>7</v>
      </c>
      <c r="R1">
        <f ca="1">RIGHT(R5,4)-AuxYear-SUM($P1:Q1)</f>
        <v>13</v>
      </c>
      <c r="S1">
        <f ca="1">RIGHT(S5,4)-AuxYear-SUM($P1:R1)</f>
        <v>20</v>
      </c>
      <c r="T1">
        <f ca="1">RIGHT(T5,4)-AuxYear-SUM($P1:S1)</f>
        <v>50</v>
      </c>
      <c r="Y1">
        <v>1.0009999999999999</v>
      </c>
    </row>
    <row r="2" spans="1:32" ht="18">
      <c r="A2" s="10"/>
      <c r="D2" s="252"/>
    </row>
    <row r="3" spans="1:32" ht="18">
      <c r="A3" s="10"/>
      <c r="B3" s="16"/>
      <c r="C3" s="17"/>
      <c r="D3" s="252"/>
      <c r="H3" t="s">
        <v>250</v>
      </c>
    </row>
    <row r="4" spans="1:32" ht="18">
      <c r="B4" s="131" t="s">
        <v>593</v>
      </c>
      <c r="C4" s="98"/>
      <c r="E4" s="252" t="str">
        <f>"~FI_T: "&amp;Region</f>
        <v>~FI_T: FIM</v>
      </c>
      <c r="F4" s="93"/>
    </row>
    <row r="5" spans="1:32" ht="36.75" customHeight="1" thickBot="1">
      <c r="B5" s="52" t="s">
        <v>57</v>
      </c>
      <c r="C5" s="52" t="s">
        <v>58</v>
      </c>
      <c r="D5" s="52" t="s">
        <v>56</v>
      </c>
      <c r="E5" s="52" t="s">
        <v>59</v>
      </c>
      <c r="F5" s="52" t="str">
        <f ca="1">CONCATENATE("\I:",IEAData2!$F$2," final energy")</f>
        <v>\I:2010 final energy</v>
      </c>
      <c r="G5" s="52" t="str">
        <f ca="1">CONCATENATE("\I:",AuxData2!$F$2," final energy")</f>
        <v>\I:2017 final energy</v>
      </c>
      <c r="H5" s="330" t="str">
        <f ca="1">CONCATENATE("\I:",IEAData2!$D$2," Service Demand")</f>
        <v>\I: Service Demand</v>
      </c>
      <c r="I5" s="52" t="str">
        <f ca="1">"CF~"&amp;AuxYear</f>
        <v>CF~2017</v>
      </c>
      <c r="J5" s="52" t="s">
        <v>731</v>
      </c>
      <c r="K5" s="52" t="str">
        <f ca="1">J5&amp;"~"&amp;AuxYear</f>
        <v>CEFF~2017</v>
      </c>
      <c r="L5" s="52" t="str">
        <f ca="1">"CEFF~"&amp;CEILING(AuxYear+2,5)</f>
        <v>CEFF~2020</v>
      </c>
      <c r="M5" s="52" t="s">
        <v>732</v>
      </c>
      <c r="N5" s="52" t="s">
        <v>733</v>
      </c>
      <c r="O5" s="52" t="s">
        <v>734</v>
      </c>
      <c r="P5" s="52" t="s">
        <v>378</v>
      </c>
      <c r="Q5" s="52" t="str">
        <f ca="1">O5&amp;"~"&amp;AuxYear</f>
        <v>Share~UP~2017</v>
      </c>
      <c r="R5" s="52" t="s">
        <v>735</v>
      </c>
      <c r="S5" s="52" t="s">
        <v>736</v>
      </c>
      <c r="T5" s="52" t="s">
        <v>737</v>
      </c>
      <c r="U5" s="52" t="s">
        <v>541</v>
      </c>
      <c r="V5" s="52" t="str">
        <f ca="1">U5&amp;"~"&amp;AuxYear</f>
        <v>RESID~2017</v>
      </c>
      <c r="W5" s="52" t="str">
        <f ca="1">"RESID~"&amp;CEILING(AuxYear+22,5)</f>
        <v>RESID~2040</v>
      </c>
      <c r="X5" s="52" t="s">
        <v>1255</v>
      </c>
      <c r="Y5" s="52" t="s">
        <v>809</v>
      </c>
      <c r="Z5" s="52" t="str">
        <f ca="1">"FLO_MARK~FX~"&amp;AuxYear</f>
        <v>FLO_MARK~FX~2017</v>
      </c>
      <c r="AA5" s="52" t="s">
        <v>810</v>
      </c>
      <c r="AB5" s="52" t="s">
        <v>815</v>
      </c>
      <c r="AC5" s="52" t="str">
        <f ca="1">"CF~"&amp;CEILING(AuxYear+2,5)</f>
        <v>CF~2020</v>
      </c>
      <c r="AD5" s="52" t="s">
        <v>1063</v>
      </c>
      <c r="AF5" s="447" t="s">
        <v>1057</v>
      </c>
    </row>
    <row r="6" spans="1:32" ht="15" customHeight="1">
      <c r="B6" s="76" t="s">
        <v>726</v>
      </c>
      <c r="C6" s="378" t="s">
        <v>728</v>
      </c>
      <c r="D6" s="12" t="str">
        <f ca="1">IEAData2!H191</f>
        <v>AGRDST</v>
      </c>
      <c r="E6" s="12"/>
      <c r="F6" s="308">
        <f ca="1">SUMIF(IEAData2!$K$190:$K$201,D6,INDEX(IEAData2!$O$190:$Q$201,0,AF6))-F14</f>
        <v>4.3200000000000002E-2</v>
      </c>
      <c r="G6" s="308">
        <f ca="1">SUMIF(AuxData2!$K$190:$K$201,D6,INDEX(AuxData2!$O$190:$Q$201,0,AF6))-G14</f>
        <v>4.3200000000000002E-2</v>
      </c>
      <c r="H6" s="383">
        <f>G6*K6</f>
        <v>1.4256E-2</v>
      </c>
      <c r="I6" s="12">
        <v>1</v>
      </c>
      <c r="J6" s="97">
        <v>0.3</v>
      </c>
      <c r="K6" s="97">
        <f>J6*0.4+L6*0.6</f>
        <v>0.32999999999999996</v>
      </c>
      <c r="L6" s="97">
        <v>0.35</v>
      </c>
      <c r="M6" s="97">
        <v>0.43</v>
      </c>
      <c r="N6" s="97">
        <v>0.5</v>
      </c>
      <c r="O6" s="97">
        <f ca="1">F6/IEAData2!$L$202</f>
        <v>1</v>
      </c>
      <c r="P6" s="40">
        <f>F6/F$8</f>
        <v>1</v>
      </c>
      <c r="Q6" s="40">
        <f>G6/G$8</f>
        <v>1</v>
      </c>
      <c r="R6" s="40">
        <f t="shared" ref="R6:T7" si="0">1-(1-Q6)*0.99^R$1</f>
        <v>1</v>
      </c>
      <c r="S6" s="40">
        <f t="shared" si="0"/>
        <v>1</v>
      </c>
      <c r="T6" s="40">
        <f t="shared" si="0"/>
        <v>1</v>
      </c>
      <c r="U6" s="12"/>
      <c r="V6" s="12"/>
      <c r="W6" s="12"/>
      <c r="X6" s="12"/>
      <c r="Y6" s="12"/>
      <c r="Z6" s="12"/>
      <c r="AA6" s="12"/>
      <c r="AB6" s="12"/>
      <c r="AC6" s="12"/>
      <c r="AD6" s="12"/>
      <c r="AF6" s="523">
        <v>1</v>
      </c>
    </row>
    <row r="7" spans="1:32" ht="15" customHeight="1">
      <c r="B7" s="12"/>
      <c r="C7" s="25"/>
      <c r="D7" s="12" t="str">
        <f ca="1">IEAData2!H192</f>
        <v>AGRGSL</v>
      </c>
      <c r="E7" s="12"/>
      <c r="F7" s="308">
        <f ca="1">SUMIF(IEAData2!$K$190:$K$201,D7,INDEX(IEAData2!$O$190:$Q$201,0,AF7))</f>
        <v>0</v>
      </c>
      <c r="G7" s="308">
        <f ca="1">SUMIF(AuxData2!$K$190:$K$201,D7,INDEX(AuxData2!$O$190:$Q$201,0,AF7))</f>
        <v>0</v>
      </c>
      <c r="H7" s="383">
        <f t="shared" ref="H7:H26" si="1">G7*K7</f>
        <v>0</v>
      </c>
      <c r="I7" s="12"/>
      <c r="J7" s="97">
        <v>0.25</v>
      </c>
      <c r="K7" s="97">
        <f>J7*0.4+L7*0.6</f>
        <v>0.28000000000000003</v>
      </c>
      <c r="L7" s="97">
        <v>0.3</v>
      </c>
      <c r="M7" s="97">
        <v>0.38</v>
      </c>
      <c r="N7" s="97">
        <v>0.44</v>
      </c>
      <c r="O7" s="97">
        <f ca="1">1-O6+0.01</f>
        <v>0.01</v>
      </c>
      <c r="P7" s="40">
        <f>1-P6+0.01</f>
        <v>0.01</v>
      </c>
      <c r="Q7" s="40">
        <f>1-Q6+0.01</f>
        <v>0.01</v>
      </c>
      <c r="R7" s="40">
        <f t="shared" si="0"/>
        <v>0.131254187231022</v>
      </c>
      <c r="S7" s="40">
        <f t="shared" si="0"/>
        <v>0.28944677272770813</v>
      </c>
      <c r="T7" s="40">
        <f t="shared" si="0"/>
        <v>0.57011098647610681</v>
      </c>
      <c r="U7" s="12"/>
      <c r="V7" s="12"/>
      <c r="W7" s="12"/>
      <c r="X7" s="12"/>
      <c r="Y7" s="12"/>
      <c r="Z7" s="12"/>
      <c r="AA7" s="12"/>
      <c r="AB7" s="12"/>
      <c r="AC7" s="12"/>
      <c r="AD7" s="12"/>
      <c r="AF7" s="523">
        <v>1</v>
      </c>
    </row>
    <row r="8" spans="1:32" ht="15" customHeight="1">
      <c r="B8" s="12"/>
      <c r="C8" s="25"/>
      <c r="D8" s="12"/>
      <c r="E8" s="12" t="s">
        <v>434</v>
      </c>
      <c r="F8" s="308">
        <f ca="1">SUM(F6:F7)</f>
        <v>4.3200000000000002E-2</v>
      </c>
      <c r="G8" s="308">
        <f ca="1">SUM(G6:G7)</f>
        <v>4.3200000000000002E-2</v>
      </c>
      <c r="H8" s="383"/>
      <c r="I8" s="12"/>
      <c r="J8" s="97"/>
      <c r="K8" s="97"/>
      <c r="L8" s="97"/>
      <c r="M8" s="97"/>
      <c r="N8" s="97"/>
      <c r="O8" s="97"/>
      <c r="P8" s="40"/>
      <c r="Q8" s="40"/>
      <c r="R8" s="40"/>
      <c r="S8" s="40"/>
      <c r="T8" s="40"/>
      <c r="U8" s="12"/>
      <c r="V8" s="12"/>
      <c r="W8" s="12"/>
      <c r="X8" s="12"/>
      <c r="Y8" s="148">
        <f ca="1">SUMPRODUCT(F6:F7,J6:J7)/J$27</f>
        <v>7.124718514246034E-2</v>
      </c>
      <c r="Z8" s="148">
        <f ca="1">SUMPRODUCT(G6:G7,K6:K7)/K$27</f>
        <v>7.3070679749827602E-2</v>
      </c>
      <c r="AA8" s="148">
        <f ca="1">Z8*0.9985^40</f>
        <v>6.881227491105632E-2</v>
      </c>
      <c r="AB8" s="148">
        <f ca="1">AA8*0.998^50</f>
        <v>6.2257686765397162E-2</v>
      </c>
      <c r="AC8" s="12"/>
      <c r="AD8" s="12"/>
      <c r="AF8" s="523"/>
    </row>
    <row r="9" spans="1:32" ht="15" customHeight="1">
      <c r="B9" s="76" t="s">
        <v>727</v>
      </c>
      <c r="C9" s="378" t="s">
        <v>730</v>
      </c>
      <c r="D9" s="12" t="str">
        <f ca="1">COMM2!$C$40</f>
        <v>AGRELA</v>
      </c>
      <c r="E9" s="12"/>
      <c r="F9" s="308">
        <f ca="1">SUMIF(IEAData2!$K$190:$K$201,D9,INDEX(IEAData2!$O$190:$Q$201,0,AF9))</f>
        <v>2.9220480000000007E-2</v>
      </c>
      <c r="G9" s="308">
        <f ca="1">SUMIF(AuxData2!$K$190:$K$201,D9,INDEX(AuxData2!$O$190:$Q$201,0,AF9))</f>
        <v>2.6315712000000005E-2</v>
      </c>
      <c r="H9" s="383">
        <f t="shared" si="1"/>
        <v>2.3684140800000007E-2</v>
      </c>
      <c r="I9" s="12">
        <v>1</v>
      </c>
      <c r="J9" s="97">
        <v>0.9</v>
      </c>
      <c r="K9" s="97">
        <f>J9</f>
        <v>0.9</v>
      </c>
      <c r="L9" s="97"/>
      <c r="M9" s="97"/>
      <c r="N9" s="97"/>
      <c r="O9" s="97">
        <f ca="1">F9/IEAData2!$M$202</f>
        <v>0.84402295982031439</v>
      </c>
      <c r="P9" s="40">
        <f>F9/F$13+0.001</f>
        <v>0.84502295982031439</v>
      </c>
      <c r="Q9" s="40">
        <f>G9/G$13+0.001</f>
        <v>0.83073738694562493</v>
      </c>
      <c r="R9" s="40">
        <f>1-(1-Q9)*0.98^R$1</f>
        <v>0.86983326089651603</v>
      </c>
      <c r="S9" s="40">
        <f>1-(1-R9)*0.98^S$1</f>
        <v>0.91309964731714854</v>
      </c>
      <c r="T9" s="40">
        <f>1-(1-S9)*0.98^T$1</f>
        <v>0.96835352636402838</v>
      </c>
      <c r="U9" s="12"/>
      <c r="V9" s="12"/>
      <c r="W9" s="12"/>
      <c r="X9" s="12"/>
      <c r="Y9" s="12"/>
      <c r="Z9" s="12"/>
      <c r="AA9" s="12"/>
      <c r="AB9" s="12"/>
      <c r="AC9" s="12"/>
      <c r="AD9" s="12"/>
      <c r="AF9" s="523">
        <v>2</v>
      </c>
    </row>
    <row r="10" spans="1:32" ht="15" customHeight="1">
      <c r="B10" s="12"/>
      <c r="C10" s="25"/>
      <c r="D10" s="12" t="str">
        <f ca="1">IEAData2!H190</f>
        <v>AGRNGA</v>
      </c>
      <c r="E10" s="12"/>
      <c r="F10" s="308">
        <f ca="1">SUMIF(IEAData2!$K$190:$K$201,D10,INDEX(IEAData2!$O$190:$Q$201,0,AF10))</f>
        <v>5.4000000000000003E-3</v>
      </c>
      <c r="G10" s="308">
        <f ca="1">SUMIF(AuxData2!$K$190:$K$201,D10,INDEX(AuxData2!$O$190:$Q$201,0,AF10))</f>
        <v>5.4000000000000003E-3</v>
      </c>
      <c r="H10" s="383">
        <f t="shared" si="1"/>
        <v>1.89E-3</v>
      </c>
      <c r="I10" s="12"/>
      <c r="J10" s="97">
        <v>0.35</v>
      </c>
      <c r="K10" s="97">
        <f>J10</f>
        <v>0.35</v>
      </c>
      <c r="L10" s="97"/>
      <c r="M10" s="97"/>
      <c r="N10" s="97"/>
      <c r="O10" s="97">
        <f ca="1">F10/IEAData2!$M$202</f>
        <v>0.15597704017968553</v>
      </c>
      <c r="P10" s="40">
        <f>F10/F$13+0.001</f>
        <v>0.15697704017968553</v>
      </c>
      <c r="Q10" s="40">
        <f>G10/G$13+0.001</f>
        <v>0.17126261305437504</v>
      </c>
      <c r="R10" s="40">
        <f>1-(1-Q10)*0.995^R$1</f>
        <v>0.22354376563182843</v>
      </c>
      <c r="S10" s="40">
        <f t="shared" ref="S10:T12" si="2">1-(1-R10)*0.995^S$1</f>
        <v>0.29760955291598712</v>
      </c>
      <c r="T10" s="40">
        <f t="shared" si="2"/>
        <v>0.45332069506945505</v>
      </c>
      <c r="U10" s="12"/>
      <c r="V10" s="12"/>
      <c r="W10" s="12"/>
      <c r="X10" s="12"/>
      <c r="Y10" s="12"/>
      <c r="Z10" s="12"/>
      <c r="AA10" s="12"/>
      <c r="AB10" s="12"/>
      <c r="AC10" s="12"/>
      <c r="AD10" s="12"/>
      <c r="AF10" s="523">
        <v>2</v>
      </c>
    </row>
    <row r="11" spans="1:32" ht="15" customHeight="1">
      <c r="B11" s="12"/>
      <c r="C11" s="25"/>
      <c r="D11" s="12" t="str">
        <f ca="1">IEAData2!H194</f>
        <v>AGRKER</v>
      </c>
      <c r="E11" s="12"/>
      <c r="F11" s="308">
        <f ca="1">SUMIF(IEAData2!$K$190:$K$201,D11,INDEX(IEAData2!$O$190:$Q$201,0,AF11))</f>
        <v>0</v>
      </c>
      <c r="G11" s="308">
        <f ca="1">SUMIF(AuxData2!$K$190:$K$201,D11,INDEX(AuxData2!$O$190:$Q$201,0,AF11))</f>
        <v>0</v>
      </c>
      <c r="H11" s="383">
        <f t="shared" si="1"/>
        <v>0</v>
      </c>
      <c r="I11" s="12"/>
      <c r="J11" s="97">
        <v>0.3</v>
      </c>
      <c r="K11" s="97">
        <f>J11</f>
        <v>0.3</v>
      </c>
      <c r="L11" s="97"/>
      <c r="M11" s="97"/>
      <c r="N11" s="97"/>
      <c r="O11" s="97">
        <f ca="1">F11/IEAData2!$M$202+0.01</f>
        <v>0.01</v>
      </c>
      <c r="P11" s="40">
        <f>F11/F$13+0.005</f>
        <v>5.0000000000000001E-3</v>
      </c>
      <c r="Q11" s="40">
        <f>G11/G$13+0.005</f>
        <v>5.0000000000000001E-3</v>
      </c>
      <c r="R11" s="40">
        <f>1-(1-Q11)*0.995^R$1</f>
        <v>6.7769880584594877E-2</v>
      </c>
      <c r="S11" s="40">
        <f t="shared" si="2"/>
        <v>0.1566948639491661</v>
      </c>
      <c r="T11" s="40">
        <f t="shared" si="2"/>
        <v>0.34364502317115619</v>
      </c>
      <c r="U11" s="12"/>
      <c r="V11" s="12"/>
      <c r="W11" s="12"/>
      <c r="X11" s="12"/>
      <c r="Y11" s="12"/>
      <c r="Z11" s="12"/>
      <c r="AA11" s="148"/>
      <c r="AB11" s="148"/>
      <c r="AC11" s="12"/>
      <c r="AD11" s="12"/>
      <c r="AF11" s="523">
        <v>2</v>
      </c>
    </row>
    <row r="12" spans="1:32" ht="15" customHeight="1">
      <c r="B12" s="12"/>
      <c r="C12" s="25"/>
      <c r="D12" s="12" t="str">
        <f ca="1">IEAData2!H196</f>
        <v>AGRLPG</v>
      </c>
      <c r="E12" s="12"/>
      <c r="F12" s="308">
        <f ca="1">SUMIF(IEAData2!$K$190:$K$201,D12,INDEX(IEAData2!$O$190:$Q$201,0,AF12))</f>
        <v>0</v>
      </c>
      <c r="G12" s="308">
        <f ca="1">SUMIF(AuxData2!$K$190:$K$201,D12,INDEX(AuxData2!$O$190:$Q$201,0,AF12))</f>
        <v>0</v>
      </c>
      <c r="H12" s="383">
        <f t="shared" si="1"/>
        <v>0</v>
      </c>
      <c r="I12" s="12"/>
      <c r="J12" s="97">
        <v>0.35</v>
      </c>
      <c r="K12" s="97">
        <f>J12</f>
        <v>0.35</v>
      </c>
      <c r="L12" s="97"/>
      <c r="M12" s="97"/>
      <c r="N12" s="97"/>
      <c r="O12" s="97">
        <f ca="1">F12/IEAData2!$M$202+0.01</f>
        <v>0.01</v>
      </c>
      <c r="P12" s="40">
        <f>F12/F$13+0.005</f>
        <v>5.0000000000000001E-3</v>
      </c>
      <c r="Q12" s="40">
        <f>G12/G$13+0.005</f>
        <v>5.0000000000000001E-3</v>
      </c>
      <c r="R12" s="40">
        <f>1-(1-Q12)*0.995^R$1</f>
        <v>6.7769880584594877E-2</v>
      </c>
      <c r="S12" s="40">
        <f t="shared" si="2"/>
        <v>0.1566948639491661</v>
      </c>
      <c r="T12" s="40">
        <f t="shared" si="2"/>
        <v>0.34364502317115619</v>
      </c>
      <c r="U12" s="12"/>
      <c r="V12" s="12"/>
      <c r="W12" s="12"/>
      <c r="X12" s="12"/>
      <c r="Y12" s="12"/>
      <c r="Z12" s="12"/>
      <c r="AA12" s="12"/>
      <c r="AB12" s="12"/>
      <c r="AC12" s="12"/>
      <c r="AD12" s="12"/>
      <c r="AF12" s="523">
        <v>2</v>
      </c>
    </row>
    <row r="13" spans="1:32" ht="15" customHeight="1">
      <c r="B13" s="12"/>
      <c r="C13" s="25"/>
      <c r="D13" s="12"/>
      <c r="E13" s="12" t="s">
        <v>434</v>
      </c>
      <c r="F13" s="308">
        <f ca="1">SUM(F9:F12)</f>
        <v>3.4620480000000009E-2</v>
      </c>
      <c r="G13" s="308">
        <f ca="1">SUM(G9:G12)</f>
        <v>3.1715712000000007E-2</v>
      </c>
      <c r="H13" s="383">
        <f>G13*K13</f>
        <v>0</v>
      </c>
      <c r="I13" s="12"/>
      <c r="J13" s="97"/>
      <c r="K13" s="97"/>
      <c r="L13" s="97"/>
      <c r="M13" s="97"/>
      <c r="N13" s="97"/>
      <c r="O13" s="97"/>
      <c r="P13" s="40"/>
      <c r="Q13" s="40"/>
      <c r="R13" s="40"/>
      <c r="S13" s="40"/>
      <c r="T13" s="40"/>
      <c r="U13" s="12"/>
      <c r="V13" s="12"/>
      <c r="W13" s="12"/>
      <c r="X13" s="12"/>
      <c r="Y13" s="148">
        <f ca="1">SUMPRODUCT(F9:F12,J9:J12)/J$27</f>
        <v>0.15496500259102269</v>
      </c>
      <c r="Z13" s="148">
        <f ca="1">SUMPRODUCT(G9:G12,K9:K12)/K$27</f>
        <v>0.13108304238733168</v>
      </c>
      <c r="AA13" s="148">
        <f ca="1">1-AA8-AA14-(1-Z13-Z8-Z14)*0.9985^40</f>
        <v>0.18172168690872659</v>
      </c>
      <c r="AB13" s="148">
        <f ca="1">1-AB8-(1-AA13-AA8)*0.998^50</f>
        <v>0.25966529998896015</v>
      </c>
      <c r="AC13" s="12"/>
      <c r="AD13" s="12"/>
      <c r="AF13" s="523"/>
    </row>
    <row r="14" spans="1:32" ht="15" customHeight="1">
      <c r="B14" s="76" t="s">
        <v>957</v>
      </c>
      <c r="C14" s="25" t="s">
        <v>958</v>
      </c>
      <c r="D14" s="12" t="str">
        <f ca="1">D$6</f>
        <v>AGRDST</v>
      </c>
      <c r="E14" s="12" t="s">
        <v>434</v>
      </c>
      <c r="F14" s="308">
        <f ca="1">IEAData2!$B$197</f>
        <v>0</v>
      </c>
      <c r="G14" s="308">
        <f ca="1">AuxData2!$C$197</f>
        <v>0</v>
      </c>
      <c r="H14" s="383">
        <f>G14*K14</f>
        <v>0</v>
      </c>
      <c r="I14" s="12"/>
      <c r="J14" s="97">
        <v>0.33</v>
      </c>
      <c r="K14" s="97">
        <v>0.35</v>
      </c>
      <c r="L14" s="97"/>
      <c r="M14" s="97">
        <v>0.45</v>
      </c>
      <c r="N14" s="97">
        <v>0.5</v>
      </c>
      <c r="O14" s="97"/>
      <c r="P14" s="40"/>
      <c r="Q14" s="40"/>
      <c r="R14" s="40"/>
      <c r="S14" s="40"/>
      <c r="T14" s="40"/>
      <c r="U14" s="12"/>
      <c r="V14" s="12"/>
      <c r="W14" s="12"/>
      <c r="X14" s="12"/>
      <c r="Y14" s="148">
        <f ca="1">SUMPRODUCT(F14,J14)/J$27</f>
        <v>0</v>
      </c>
      <c r="Z14" s="148">
        <f ca="1">SUMPRODUCT(G14,K14)/K$27</f>
        <v>0</v>
      </c>
      <c r="AA14" s="148">
        <f ca="1">Z14*0.998^40</f>
        <v>0</v>
      </c>
      <c r="AB14" s="148">
        <f ca="1">AA14*0.998^50</f>
        <v>0</v>
      </c>
      <c r="AC14" s="12"/>
      <c r="AD14" s="12"/>
      <c r="AF14" s="523"/>
    </row>
    <row r="15" spans="1:32" ht="15" customHeight="1">
      <c r="B15" s="434" t="s">
        <v>999</v>
      </c>
      <c r="C15" s="189"/>
      <c r="D15" s="190"/>
      <c r="E15" s="190"/>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190"/>
      <c r="AF15" s="190"/>
    </row>
    <row r="16" spans="1:32" ht="15" customHeight="1">
      <c r="B16" s="76" t="str">
        <f>"AGH"&amp;RIGHT(D16,3)&amp;"00"</f>
        <v>AGHNGA00</v>
      </c>
      <c r="C16" s="25" t="str">
        <f>"Agriculture Heat "&amp;RIGHT(D16,3)</f>
        <v>Agriculture Heat NGA</v>
      </c>
      <c r="D16" s="12" t="str">
        <f ca="1">IEAData2!H190</f>
        <v>AGRNGA</v>
      </c>
      <c r="E16" s="12" t="s">
        <v>808</v>
      </c>
      <c r="F16" s="308">
        <f ca="1">SUMIF(IEAData2!$K$190:$K$201,D16,INDEX(IEAData2!$O$190:$Q$201,0,AF16))</f>
        <v>4.8599999999999997E-2</v>
      </c>
      <c r="G16" s="308">
        <f ca="1">SUMIF(AuxData2!$K$190:$K$201,D16,INDEX(AuxData2!$O$190:$Q$201,0,AF16))</f>
        <v>4.8599999999999997E-2</v>
      </c>
      <c r="H16" s="383">
        <f t="shared" si="1"/>
        <v>3.9577699546243073E-2</v>
      </c>
      <c r="I16" s="12">
        <v>0.28000000000000003</v>
      </c>
      <c r="J16" s="97">
        <v>0.8</v>
      </c>
      <c r="K16" s="97">
        <f>J16*0.8+M16*0.2</f>
        <v>0.81435595774162706</v>
      </c>
      <c r="L16" s="97"/>
      <c r="M16" s="97">
        <f>SQRT(J16*N16)</f>
        <v>0.87177978870813466</v>
      </c>
      <c r="N16" s="97">
        <v>0.95</v>
      </c>
      <c r="O16" s="97"/>
      <c r="P16" s="40"/>
      <c r="Q16" s="40"/>
      <c r="R16" s="40"/>
      <c r="S16" s="40"/>
      <c r="T16" s="40"/>
      <c r="U16" s="383">
        <f>F16*J16/$I16</f>
        <v>0.13885714285714285</v>
      </c>
      <c r="V16" s="383">
        <f t="shared" ref="V16:V26" si="3">G16*K16/$I16</f>
        <v>0.14134892695086809</v>
      </c>
      <c r="W16" s="12">
        <v>0</v>
      </c>
      <c r="X16" s="12"/>
      <c r="Y16" s="383"/>
      <c r="Z16" s="12"/>
      <c r="AA16" s="12"/>
      <c r="AB16" s="12"/>
      <c r="AC16" s="97">
        <f t="shared" ref="AC16:AC26" ca="1" si="4">I16/OFFSET(HT_DD,0,1)</f>
        <v>0.29787234042553196</v>
      </c>
      <c r="AD16" s="97"/>
      <c r="AF16" s="523">
        <v>3</v>
      </c>
    </row>
    <row r="17" spans="1:40" ht="15" customHeight="1">
      <c r="B17" s="76" t="str">
        <f t="shared" ref="B17:B26" si="5">"AGH"&amp;RIGHT(D17,3)&amp;"00"</f>
        <v>AGHDST00</v>
      </c>
      <c r="C17" s="25" t="str">
        <f t="shared" ref="C17:C26" si="6">"Agriculture Heat "&amp;RIGHT(D17,3)</f>
        <v>Agriculture Heat DST</v>
      </c>
      <c r="D17" s="12" t="str">
        <f ca="1">IEAData2!H191</f>
        <v>AGRDST</v>
      </c>
      <c r="E17" s="12" t="s">
        <v>808</v>
      </c>
      <c r="F17" s="308">
        <f ca="1">SUMIF(IEAData2!$K$190:$K$201,D17,INDEX(IEAData2!$O$190:$Q$201,0,AF17))</f>
        <v>1.0799999999999997E-2</v>
      </c>
      <c r="G17" s="308">
        <f ca="1">SUMIF(AuxData2!$K$190:$K$201,D17,INDEX(AuxData2!$O$190:$Q$201,0,AF17))</f>
        <v>1.0799999999999997E-2</v>
      </c>
      <c r="H17" s="383">
        <f t="shared" si="1"/>
        <v>8.2247933975115785E-3</v>
      </c>
      <c r="I17" s="12">
        <v>0.28000000000000003</v>
      </c>
      <c r="J17" s="97">
        <v>0.75</v>
      </c>
      <c r="K17" s="97">
        <f t="shared" ref="K17:K26" si="7">J17*0.8+M17*0.2</f>
        <v>0.76155494421403525</v>
      </c>
      <c r="L17" s="97"/>
      <c r="M17" s="97">
        <f t="shared" ref="M17:M26" si="8">SQRT(J17*N17)</f>
        <v>0.80777472107017556</v>
      </c>
      <c r="N17" s="97">
        <v>0.87</v>
      </c>
      <c r="O17" s="97"/>
      <c r="P17" s="40"/>
      <c r="Q17" s="40"/>
      <c r="R17" s="40"/>
      <c r="S17" s="40"/>
      <c r="T17" s="40"/>
      <c r="U17" s="383">
        <f t="shared" ref="U17:U22" si="9">F17*J17/I17</f>
        <v>2.8928571428571418E-2</v>
      </c>
      <c r="V17" s="383">
        <f t="shared" si="3"/>
        <v>2.937426213396992E-2</v>
      </c>
      <c r="W17" s="12">
        <v>0</v>
      </c>
      <c r="X17" s="12"/>
      <c r="Y17" s="383"/>
      <c r="Z17" s="12"/>
      <c r="AA17" s="12"/>
      <c r="AB17" s="12"/>
      <c r="AC17" s="97">
        <f t="shared" ca="1" si="4"/>
        <v>0.29787234042553196</v>
      </c>
      <c r="AD17" s="97"/>
      <c r="AF17" s="523">
        <v>3</v>
      </c>
    </row>
    <row r="18" spans="1:40" ht="15" customHeight="1">
      <c r="B18" s="76" t="str">
        <f t="shared" si="5"/>
        <v>AGHHFO00</v>
      </c>
      <c r="C18" s="25" t="str">
        <f t="shared" si="6"/>
        <v>Agriculture Heat HFO</v>
      </c>
      <c r="D18" s="12" t="str">
        <f ca="1">IEAData2!H193</f>
        <v>AGRHFO</v>
      </c>
      <c r="E18" s="12" t="s">
        <v>808</v>
      </c>
      <c r="F18" s="308">
        <f ca="1">SUMIF(IEAData2!$K$190:$K$201,D18,INDEX(IEAData2!$O$190:$Q$201,0,AF18))</f>
        <v>0</v>
      </c>
      <c r="G18" s="308">
        <f ca="1">SUMIF(AuxData2!$K$190:$K$201,D18,INDEX(AuxData2!$O$190:$Q$201,0,AF18))</f>
        <v>0</v>
      </c>
      <c r="H18" s="383">
        <f t="shared" si="1"/>
        <v>0</v>
      </c>
      <c r="I18" s="12">
        <v>0.28000000000000003</v>
      </c>
      <c r="J18" s="97">
        <v>0.72</v>
      </c>
      <c r="K18" s="97">
        <f t="shared" si="7"/>
        <v>0.73246085772486358</v>
      </c>
      <c r="L18" s="97"/>
      <c r="M18" s="97">
        <f t="shared" si="8"/>
        <v>0.78230428862431789</v>
      </c>
      <c r="N18" s="97">
        <v>0.85</v>
      </c>
      <c r="O18" s="97"/>
      <c r="P18" s="40"/>
      <c r="Q18" s="40"/>
      <c r="R18" s="40"/>
      <c r="S18" s="40"/>
      <c r="T18" s="40"/>
      <c r="U18" s="383">
        <f t="shared" si="9"/>
        <v>0</v>
      </c>
      <c r="V18" s="383">
        <f t="shared" si="3"/>
        <v>0</v>
      </c>
      <c r="W18" s="12">
        <v>0</v>
      </c>
      <c r="X18" s="12"/>
      <c r="Y18" s="383"/>
      <c r="Z18" s="12"/>
      <c r="AA18" s="12"/>
      <c r="AB18" s="12"/>
      <c r="AC18" s="97">
        <f t="shared" ca="1" si="4"/>
        <v>0.29787234042553196</v>
      </c>
      <c r="AD18" s="97"/>
      <c r="AF18" s="523">
        <v>3</v>
      </c>
    </row>
    <row r="19" spans="1:40" ht="15" customHeight="1">
      <c r="B19" s="76" t="str">
        <f t="shared" si="5"/>
        <v>AGHKER00</v>
      </c>
      <c r="C19" s="25" t="str">
        <f t="shared" si="6"/>
        <v>Agriculture Heat KER</v>
      </c>
      <c r="D19" s="12" t="str">
        <f ca="1">IEAData2!H194</f>
        <v>AGRKER</v>
      </c>
      <c r="E19" s="12" t="s">
        <v>808</v>
      </c>
      <c r="F19" s="308">
        <f ca="1">SUMIF(IEAData2!$K$190:$K$201,D19,INDEX(IEAData2!$O$190:$Q$201,0,AF19))</f>
        <v>0</v>
      </c>
      <c r="G19" s="308">
        <f ca="1">SUMIF(AuxData2!$K$190:$K$201,D19,INDEX(AuxData2!$O$190:$Q$201,0,AF19))</f>
        <v>0</v>
      </c>
      <c r="H19" s="383">
        <f t="shared" si="1"/>
        <v>0</v>
      </c>
      <c r="I19" s="12">
        <v>0.28000000000000003</v>
      </c>
      <c r="J19" s="97">
        <v>0.72</v>
      </c>
      <c r="K19" s="97">
        <f t="shared" si="7"/>
        <v>0.73246085772486358</v>
      </c>
      <c r="L19" s="97"/>
      <c r="M19" s="97">
        <f t="shared" si="8"/>
        <v>0.78230428862431789</v>
      </c>
      <c r="N19" s="97">
        <v>0.85</v>
      </c>
      <c r="O19" s="97"/>
      <c r="P19" s="40"/>
      <c r="Q19" s="40"/>
      <c r="R19" s="40"/>
      <c r="S19" s="40"/>
      <c r="T19" s="40"/>
      <c r="U19" s="383">
        <f t="shared" si="9"/>
        <v>0</v>
      </c>
      <c r="V19" s="383">
        <f t="shared" si="3"/>
        <v>0</v>
      </c>
      <c r="W19" s="12">
        <v>0</v>
      </c>
      <c r="X19" s="12"/>
      <c r="Y19" s="383"/>
      <c r="Z19" s="12"/>
      <c r="AA19" s="12"/>
      <c r="AB19" s="12"/>
      <c r="AC19" s="97">
        <f t="shared" ca="1" si="4"/>
        <v>0.29787234042553196</v>
      </c>
      <c r="AD19" s="97"/>
      <c r="AF19" s="523">
        <v>3</v>
      </c>
    </row>
    <row r="20" spans="1:40" ht="15" customHeight="1">
      <c r="B20" s="76" t="str">
        <f t="shared" si="5"/>
        <v>AGHCOP00</v>
      </c>
      <c r="C20" s="25" t="str">
        <f t="shared" si="6"/>
        <v>Agriculture Heat COP</v>
      </c>
      <c r="D20" s="12" t="str">
        <f ca="1">IEAData2!H195</f>
        <v>AGRCOP</v>
      </c>
      <c r="E20" s="12" t="s">
        <v>808</v>
      </c>
      <c r="F20" s="308">
        <f ca="1">SUMIF(IEAData2!$K$190:$K$201,D20,INDEX(IEAData2!$O$190:$Q$201,0,AF20))</f>
        <v>0</v>
      </c>
      <c r="G20" s="308">
        <f ca="1">SUMIF(AuxData2!$K$190:$K$201,D20,INDEX(AuxData2!$O$190:$Q$201,0,AF20))</f>
        <v>0</v>
      </c>
      <c r="H20" s="383">
        <f t="shared" si="1"/>
        <v>0</v>
      </c>
      <c r="I20" s="12">
        <v>0.28000000000000003</v>
      </c>
      <c r="J20" s="97">
        <v>0.65</v>
      </c>
      <c r="K20" s="97">
        <f t="shared" si="7"/>
        <v>0.66422205101855958</v>
      </c>
      <c r="L20" s="97"/>
      <c r="M20" s="97">
        <f t="shared" si="8"/>
        <v>0.72111025509279791</v>
      </c>
      <c r="N20" s="97">
        <v>0.8</v>
      </c>
      <c r="O20" s="97"/>
      <c r="P20" s="40"/>
      <c r="Q20" s="40"/>
      <c r="R20" s="40"/>
      <c r="S20" s="40"/>
      <c r="T20" s="40"/>
      <c r="U20" s="383">
        <f t="shared" si="9"/>
        <v>0</v>
      </c>
      <c r="V20" s="383">
        <f t="shared" si="3"/>
        <v>0</v>
      </c>
      <c r="W20" s="12">
        <v>0</v>
      </c>
      <c r="X20" s="12"/>
      <c r="Y20" s="383"/>
      <c r="Z20" s="12"/>
      <c r="AA20" s="12"/>
      <c r="AB20" s="12"/>
      <c r="AC20" s="97">
        <f t="shared" ca="1" si="4"/>
        <v>0.29787234042553196</v>
      </c>
      <c r="AD20" s="97"/>
      <c r="AF20" s="523">
        <v>3</v>
      </c>
    </row>
    <row r="21" spans="1:40" ht="15" customHeight="1">
      <c r="B21" s="76" t="str">
        <f t="shared" si="5"/>
        <v>AGHLPG00</v>
      </c>
      <c r="C21" s="25" t="str">
        <f t="shared" si="6"/>
        <v>Agriculture Heat LPG</v>
      </c>
      <c r="D21" s="12" t="str">
        <f ca="1">IEAData2!H196</f>
        <v>AGRLPG</v>
      </c>
      <c r="E21" s="12" t="s">
        <v>808</v>
      </c>
      <c r="F21" s="308">
        <f ca="1">SUMIF(IEAData2!$K$190:$K$201,D21,INDEX(IEAData2!$O$190:$Q$201,0,AF21))</f>
        <v>0</v>
      </c>
      <c r="G21" s="308">
        <f ca="1">SUMIF(AuxData2!$K$190:$K$201,D21,INDEX(AuxData2!$O$190:$Q$201,0,AF21))</f>
        <v>0</v>
      </c>
      <c r="H21" s="383">
        <f t="shared" si="1"/>
        <v>0</v>
      </c>
      <c r="I21" s="12">
        <v>0.28000000000000003</v>
      </c>
      <c r="J21" s="97">
        <v>0.8</v>
      </c>
      <c r="K21" s="97">
        <f t="shared" si="7"/>
        <v>0.81251086922278271</v>
      </c>
      <c r="L21" s="354"/>
      <c r="M21" s="97">
        <f t="shared" si="8"/>
        <v>0.86255434611391302</v>
      </c>
      <c r="N21" s="354">
        <v>0.93</v>
      </c>
      <c r="O21" s="97"/>
      <c r="P21" s="40"/>
      <c r="Q21" s="40"/>
      <c r="R21" s="40"/>
      <c r="S21" s="40"/>
      <c r="T21" s="40"/>
      <c r="U21" s="383">
        <f t="shared" si="9"/>
        <v>0</v>
      </c>
      <c r="V21" s="383">
        <f t="shared" si="3"/>
        <v>0</v>
      </c>
      <c r="W21" s="12">
        <v>0</v>
      </c>
      <c r="X21" s="12"/>
      <c r="Y21" s="383"/>
      <c r="Z21" s="12"/>
      <c r="AA21" s="12"/>
      <c r="AB21" s="12"/>
      <c r="AC21" s="97">
        <f t="shared" ca="1" si="4"/>
        <v>0.29787234042553196</v>
      </c>
      <c r="AD21" s="97"/>
      <c r="AF21" s="523">
        <v>3</v>
      </c>
    </row>
    <row r="22" spans="1:40" ht="15" customHeight="1">
      <c r="B22" s="76" t="str">
        <f t="shared" si="5"/>
        <v>AGHBIO00</v>
      </c>
      <c r="C22" s="25" t="str">
        <f t="shared" si="6"/>
        <v>Agriculture Heat BIO</v>
      </c>
      <c r="D22" s="12" t="str">
        <f ca="1">IEAData2!H197</f>
        <v>AGRBIO</v>
      </c>
      <c r="E22" s="12" t="s">
        <v>808</v>
      </c>
      <c r="F22" s="308">
        <f ca="1">SUMIF(IEAData2!$K$190:$K$201,D22,INDEX(IEAData2!$O$190:$Q$201,0,AF22))</f>
        <v>3.2399999999999998E-2</v>
      </c>
      <c r="G22" s="308">
        <f ca="1">SUMIF(AuxData2!$K$190:$K$201,D22,INDEX(AuxData2!$O$190:$Q$201,0,AF22))</f>
        <v>3.2399999999999998E-2</v>
      </c>
      <c r="H22" s="383">
        <f t="shared" ca="1" si="1"/>
        <v>1.798081445780509E-2</v>
      </c>
      <c r="I22" s="12">
        <v>0.28000000000000003</v>
      </c>
      <c r="J22" s="97">
        <f ca="1">0.6*CalibData2!$N$131</f>
        <v>0.54</v>
      </c>
      <c r="K22" s="97">
        <f t="shared" ca="1" si="7"/>
        <v>0.55496340919151521</v>
      </c>
      <c r="L22" s="97"/>
      <c r="M22" s="97">
        <f t="shared" ca="1" si="8"/>
        <v>0.61481704595757591</v>
      </c>
      <c r="N22" s="97">
        <v>0.7</v>
      </c>
      <c r="O22" s="97"/>
      <c r="P22" s="40"/>
      <c r="Q22" s="40"/>
      <c r="R22" s="40"/>
      <c r="S22" s="40"/>
      <c r="T22" s="40"/>
      <c r="U22" s="383">
        <f t="shared" ca="1" si="9"/>
        <v>6.2485714285714283E-2</v>
      </c>
      <c r="V22" s="383">
        <f t="shared" ca="1" si="3"/>
        <v>6.4217194492161025E-2</v>
      </c>
      <c r="W22" s="12">
        <v>0</v>
      </c>
      <c r="X22" s="12"/>
      <c r="Y22" s="383"/>
      <c r="Z22" s="12"/>
      <c r="AA22" s="12"/>
      <c r="AB22" s="12"/>
      <c r="AC22" s="97">
        <f t="shared" ca="1" si="4"/>
        <v>0.29787234042553196</v>
      </c>
      <c r="AD22" s="97"/>
      <c r="AF22" s="523">
        <v>3</v>
      </c>
    </row>
    <row r="23" spans="1:40" ht="15" customHeight="1">
      <c r="B23" s="76" t="s">
        <v>816</v>
      </c>
      <c r="C23" s="25" t="str">
        <f t="shared" si="6"/>
        <v>Agriculture Heat ELA</v>
      </c>
      <c r="D23" s="12" t="str">
        <f ca="1">D9</f>
        <v>AGRELA</v>
      </c>
      <c r="E23" s="12" t="s">
        <v>808</v>
      </c>
      <c r="F23" s="308">
        <f ca="1">SUMIF(IEAData2!$K$190:$K$201,D23,INDEX(IEAData2!$O$190:$Q$201,0,AF23))</f>
        <v>4.3830720000000004E-2</v>
      </c>
      <c r="G23" s="308">
        <f ca="1">SUMIF(AuxData2!$K$190:$K$201,D23,INDEX(AuxData2!$O$190:$Q$201,0,AF23))</f>
        <v>3.9473568000000001E-2</v>
      </c>
      <c r="H23" s="383">
        <f t="shared" si="1"/>
        <v>3.8131466688E-2</v>
      </c>
      <c r="I23" s="12">
        <v>0.28000000000000003</v>
      </c>
      <c r="J23" s="97">
        <v>0.96</v>
      </c>
      <c r="K23" s="97">
        <f t="shared" si="7"/>
        <v>0.96599999999999997</v>
      </c>
      <c r="L23" s="354"/>
      <c r="M23" s="97">
        <v>0.99</v>
      </c>
      <c r="N23" s="354">
        <v>1</v>
      </c>
      <c r="O23" s="354"/>
      <c r="P23" s="40"/>
      <c r="Q23" s="40"/>
      <c r="R23" s="40"/>
      <c r="S23" s="40"/>
      <c r="T23" s="40"/>
      <c r="U23" s="383">
        <f>F23*J23/I23</f>
        <v>0.1502767542857143</v>
      </c>
      <c r="V23" s="383">
        <f>G23*K23/$I23</f>
        <v>0.13618380959999998</v>
      </c>
      <c r="W23" s="12">
        <v>0</v>
      </c>
      <c r="X23" s="369">
        <v>8</v>
      </c>
      <c r="Y23" s="383"/>
      <c r="Z23" s="12"/>
      <c r="AA23" s="12"/>
      <c r="AB23" s="12"/>
      <c r="AC23" s="97">
        <f t="shared" ca="1" si="4"/>
        <v>0.29787234042553196</v>
      </c>
      <c r="AD23" s="374">
        <f ca="1">U27*0.1</f>
        <v>5.0269104000000002E-2</v>
      </c>
      <c r="AF23" s="523">
        <v>3</v>
      </c>
    </row>
    <row r="24" spans="1:40" ht="15" customHeight="1">
      <c r="B24" s="76" t="str">
        <f t="shared" si="5"/>
        <v>AGHHET00</v>
      </c>
      <c r="C24" s="25" t="str">
        <f t="shared" si="6"/>
        <v>Agriculture Heat HET</v>
      </c>
      <c r="D24" s="12" t="str">
        <f ca="1">IEAData2!H199</f>
        <v>AGRHET</v>
      </c>
      <c r="E24" s="12" t="s">
        <v>808</v>
      </c>
      <c r="F24" s="308">
        <f ca="1">SUMIF(IEAData2!$K$190:$K$201,D24,INDEX(IEAData2!$O$190:$Q$201,0,AF24))</f>
        <v>3.5999999999999997E-2</v>
      </c>
      <c r="G24" s="308">
        <f ca="1">SUMIF(AuxData2!$K$190:$K$201,D24,INDEX(AuxData2!$O$190:$Q$201,0,AF24))</f>
        <v>5.3999999999999999E-2</v>
      </c>
      <c r="H24" s="383">
        <f t="shared" si="1"/>
        <v>5.135385863777471E-2</v>
      </c>
      <c r="I24" s="12">
        <v>0.28000000000000003</v>
      </c>
      <c r="J24" s="97">
        <v>0.95</v>
      </c>
      <c r="K24" s="97">
        <f t="shared" si="7"/>
        <v>0.95099738218101315</v>
      </c>
      <c r="L24" s="354"/>
      <c r="M24" s="97">
        <f t="shared" si="8"/>
        <v>0.95498691090506571</v>
      </c>
      <c r="N24" s="354">
        <v>0.96</v>
      </c>
      <c r="O24" s="354"/>
      <c r="P24" s="53"/>
      <c r="Q24" s="53"/>
      <c r="R24" s="53"/>
      <c r="S24" s="40"/>
      <c r="T24" s="40"/>
      <c r="U24" s="383">
        <f>F24*J24/I24</f>
        <v>0.12214285714285711</v>
      </c>
      <c r="V24" s="383">
        <f t="shared" si="3"/>
        <v>0.18340663799205251</v>
      </c>
      <c r="W24" s="12">
        <v>0</v>
      </c>
      <c r="X24" s="12"/>
      <c r="Y24" s="383"/>
      <c r="Z24" s="12"/>
      <c r="AA24" s="12"/>
      <c r="AB24" s="12"/>
      <c r="AC24" s="97">
        <f t="shared" ca="1" si="4"/>
        <v>0.29787234042553196</v>
      </c>
      <c r="AD24" s="97"/>
      <c r="AF24" s="524">
        <v>3</v>
      </c>
    </row>
    <row r="25" spans="1:40" ht="15" customHeight="1">
      <c r="B25" s="76" t="str">
        <f t="shared" si="5"/>
        <v>AGHGEO00</v>
      </c>
      <c r="C25" s="25" t="str">
        <f t="shared" si="6"/>
        <v>Agriculture Heat GEO</v>
      </c>
      <c r="D25" s="12" t="str">
        <f ca="1">IEAData2!H200</f>
        <v>AGRGEO</v>
      </c>
      <c r="E25" s="12" t="s">
        <v>808</v>
      </c>
      <c r="F25" s="308">
        <f ca="1">SUMIF(IEAData2!$K$190:$K$201,D25,INDEX(IEAData2!$O$190:$Q$201,0,AF25))</f>
        <v>0</v>
      </c>
      <c r="G25" s="308">
        <f ca="1">SUMIF(AuxData2!$K$190:$K$201,D25,INDEX(AuxData2!$O$190:$Q$201,0,AF25))</f>
        <v>0</v>
      </c>
      <c r="H25" s="383">
        <f t="shared" si="1"/>
        <v>0</v>
      </c>
      <c r="I25" s="12">
        <v>0.28000000000000003</v>
      </c>
      <c r="J25" s="97">
        <v>0.95</v>
      </c>
      <c r="K25" s="97">
        <f t="shared" si="7"/>
        <v>0.95099738218101315</v>
      </c>
      <c r="L25" s="354"/>
      <c r="M25" s="97">
        <f t="shared" si="8"/>
        <v>0.95498691090506571</v>
      </c>
      <c r="N25" s="354">
        <v>0.96</v>
      </c>
      <c r="O25" s="354"/>
      <c r="P25" s="53"/>
      <c r="Q25" s="53"/>
      <c r="R25" s="53"/>
      <c r="S25" s="40"/>
      <c r="T25" s="40"/>
      <c r="U25" s="383">
        <f>F25*J25/I25</f>
        <v>0</v>
      </c>
      <c r="V25" s="383">
        <f t="shared" si="3"/>
        <v>0</v>
      </c>
      <c r="W25" s="12">
        <v>0</v>
      </c>
      <c r="X25" s="12"/>
      <c r="Y25" s="383"/>
      <c r="Z25" s="12"/>
      <c r="AA25" s="12"/>
      <c r="AB25" s="12"/>
      <c r="AC25" s="97">
        <f t="shared" ca="1" si="4"/>
        <v>0.29787234042553196</v>
      </c>
      <c r="AD25" s="97"/>
      <c r="AF25" s="524">
        <v>3</v>
      </c>
    </row>
    <row r="26" spans="1:40" ht="15" customHeight="1">
      <c r="B26" s="76" t="str">
        <f t="shared" si="5"/>
        <v>AGHSOL00</v>
      </c>
      <c r="C26" s="25" t="str">
        <f t="shared" si="6"/>
        <v>Agriculture Heat SOL</v>
      </c>
      <c r="D26" s="12" t="str">
        <f ca="1">IEAData2!H201</f>
        <v>AGRSOL</v>
      </c>
      <c r="E26" s="12" t="s">
        <v>808</v>
      </c>
      <c r="F26" s="308">
        <f ca="1">SUMIF(IEAData2!$K$190:$K$201,D26,INDEX(IEAData2!$O$190:$Q$201,0,AF26))</f>
        <v>0</v>
      </c>
      <c r="G26" s="308">
        <f ca="1">SUMIF(AuxData2!$K$190:$K$201,D26,INDEX(AuxData2!$O$190:$Q$201,0,AF26))</f>
        <v>0</v>
      </c>
      <c r="H26" s="383">
        <f t="shared" si="1"/>
        <v>0</v>
      </c>
      <c r="I26" s="12">
        <v>0.28000000000000003</v>
      </c>
      <c r="J26" s="97">
        <v>0.95</v>
      </c>
      <c r="K26" s="97">
        <f t="shared" si="7"/>
        <v>0.95099738218101315</v>
      </c>
      <c r="L26" s="354"/>
      <c r="M26" s="97">
        <f t="shared" si="8"/>
        <v>0.95498691090506571</v>
      </c>
      <c r="N26" s="354">
        <v>0.96</v>
      </c>
      <c r="O26" s="354"/>
      <c r="P26" s="53"/>
      <c r="Q26" s="53"/>
      <c r="R26" s="53"/>
      <c r="S26" s="40"/>
      <c r="T26" s="40"/>
      <c r="U26" s="383">
        <f>F26*J26/I26</f>
        <v>0</v>
      </c>
      <c r="V26" s="383">
        <f t="shared" si="3"/>
        <v>0</v>
      </c>
      <c r="W26" s="12">
        <v>0</v>
      </c>
      <c r="X26" s="12"/>
      <c r="Y26" s="383"/>
      <c r="Z26" s="12"/>
      <c r="AA26" s="12"/>
      <c r="AB26" s="12"/>
      <c r="AC26" s="97">
        <f t="shared" ca="1" si="4"/>
        <v>0.29787234042553196</v>
      </c>
      <c r="AD26" s="97"/>
      <c r="AF26" s="524">
        <v>3</v>
      </c>
    </row>
    <row r="27" spans="1:40" ht="14.25">
      <c r="B27" s="434" t="s">
        <v>999</v>
      </c>
      <c r="C27" s="189"/>
      <c r="D27" s="190"/>
      <c r="E27" s="190"/>
      <c r="F27" s="315">
        <f>SUM(F6:F26)-F8-F13</f>
        <v>0.24945119999999998</v>
      </c>
      <c r="G27" s="315">
        <f>SUM(G6:G26)-G8-G13</f>
        <v>0.26018928000000002</v>
      </c>
      <c r="H27" s="315">
        <f ca="1">SUM(H6:H26)</f>
        <v>0.19509877352733446</v>
      </c>
      <c r="I27" s="190"/>
      <c r="J27" s="315">
        <f ca="1">SUMPRODUCT(J6:J26,F6:F26)</f>
        <v>0.18190192319999998</v>
      </c>
      <c r="K27" s="315">
        <f ca="1">SUMPRODUCT(K6:K26,G6:G26)</f>
        <v>0.19509877352733446</v>
      </c>
      <c r="L27" s="190"/>
      <c r="M27" s="190"/>
      <c r="N27" s="190"/>
      <c r="O27" s="191">
        <f>SUM(O6:O26)/2</f>
        <v>1.0149999999999997</v>
      </c>
      <c r="P27" s="191">
        <f>SUM(P6:P26)/2</f>
        <v>1.0109999999999999</v>
      </c>
      <c r="Q27" s="191"/>
      <c r="R27" s="191">
        <f>SUM(R6:R26)/2</f>
        <v>1.1800854874642779</v>
      </c>
      <c r="S27" s="191">
        <f>SUM(S6:S26)/2</f>
        <v>1.4067728504295882</v>
      </c>
      <c r="T27" s="191">
        <f>SUM(T6:T26)/2</f>
        <v>1.8395376271259511</v>
      </c>
      <c r="U27" s="315">
        <f ca="1">SUM(U6:U26)</f>
        <v>0.50269103999999998</v>
      </c>
      <c r="V27" s="315">
        <f ca="1">SUM(V6:V26)</f>
        <v>0.55453083116905155</v>
      </c>
      <c r="W27" s="191"/>
      <c r="X27" s="191"/>
      <c r="Y27" s="191">
        <f ca="1">SUM(Y7:Y26)</f>
        <v>0.22621218773348303</v>
      </c>
      <c r="Z27" s="191">
        <f ca="1">SUM(Z7:Z26)</f>
        <v>0.20415372213715927</v>
      </c>
      <c r="AA27" s="191">
        <f ca="1">SUM(AA7:AA26)</f>
        <v>0.25053396181978294</v>
      </c>
      <c r="AB27" s="191">
        <f ca="1">SUM(AB7:AB26)</f>
        <v>0.32192298675435732</v>
      </c>
      <c r="AC27" s="191"/>
      <c r="AD27" s="191"/>
      <c r="AF27" s="190"/>
    </row>
    <row r="29" spans="1:40">
      <c r="D29" s="245"/>
    </row>
    <row r="30" spans="1:40">
      <c r="N30" s="5"/>
    </row>
    <row r="31" spans="1:40">
      <c r="N31" s="5"/>
    </row>
    <row r="32" spans="1:40">
      <c r="A32" s="22"/>
      <c r="B32" s="22"/>
      <c r="C32" s="120"/>
      <c r="D32" s="120"/>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22"/>
      <c r="AF32" s="22"/>
      <c r="AG32" s="22"/>
      <c r="AH32" s="22"/>
      <c r="AI32" s="22"/>
      <c r="AJ32" s="22"/>
      <c r="AK32" s="22"/>
      <c r="AL32" s="22"/>
      <c r="AM32" s="22"/>
      <c r="AN32" s="22"/>
    </row>
    <row r="33" spans="1:40">
      <c r="A33" s="22"/>
      <c r="B33" s="22"/>
      <c r="C33" s="120"/>
      <c r="D33" s="120"/>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22"/>
      <c r="AF33" s="22"/>
      <c r="AG33" s="22"/>
      <c r="AH33" s="22"/>
      <c r="AI33" s="22"/>
      <c r="AJ33" s="22"/>
      <c r="AK33" s="22"/>
      <c r="AL33" s="22"/>
      <c r="AM33" s="22"/>
      <c r="AN33" s="22"/>
    </row>
    <row r="34" spans="1:40">
      <c r="A34" s="22"/>
      <c r="B34" s="22"/>
      <c r="C34" s="120"/>
      <c r="D34" s="120"/>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22"/>
      <c r="AF34" s="22"/>
      <c r="AG34" s="22"/>
      <c r="AH34" s="22"/>
      <c r="AI34" s="22"/>
      <c r="AJ34" s="22"/>
      <c r="AK34" s="22"/>
      <c r="AL34" s="22"/>
      <c r="AM34" s="22"/>
      <c r="AN34" s="22"/>
    </row>
    <row r="35" spans="1:40" ht="18">
      <c r="A35" s="22"/>
      <c r="B35" s="155" t="s">
        <v>592</v>
      </c>
      <c r="C35" s="156"/>
      <c r="D35" s="252" t="str">
        <f>"~FI_T: "&amp;Region</f>
        <v>~FI_T: FIM</v>
      </c>
      <c r="J35" s="123"/>
      <c r="K35" s="123"/>
      <c r="L35" s="123"/>
      <c r="M35" s="123"/>
      <c r="N35" s="123"/>
      <c r="O35" s="123"/>
      <c r="P35" s="123"/>
      <c r="Q35" s="123"/>
      <c r="R35" s="123"/>
      <c r="S35" s="123"/>
      <c r="T35" s="123"/>
      <c r="U35" s="123"/>
      <c r="V35" s="123"/>
      <c r="W35" s="123"/>
      <c r="X35" s="123"/>
      <c r="Y35" s="123"/>
      <c r="Z35" s="123"/>
      <c r="AA35" s="123"/>
      <c r="AB35" s="123"/>
      <c r="AC35" s="123"/>
      <c r="AD35" s="123"/>
      <c r="AE35" s="22"/>
      <c r="AF35" s="22"/>
      <c r="AG35" s="22"/>
      <c r="AH35" s="22"/>
      <c r="AI35" s="22"/>
      <c r="AJ35" s="22"/>
      <c r="AK35" s="22"/>
      <c r="AL35" s="22"/>
      <c r="AM35" s="22"/>
      <c r="AN35" s="22"/>
    </row>
    <row r="36" spans="1:40" ht="13.5" thickBot="1">
      <c r="A36" s="22"/>
      <c r="B36" s="27" t="s">
        <v>384</v>
      </c>
      <c r="C36" s="27" t="s">
        <v>385</v>
      </c>
      <c r="D36" s="27" t="s">
        <v>243</v>
      </c>
      <c r="E36" s="344" t="s">
        <v>379</v>
      </c>
      <c r="F36" s="344" t="str">
        <f ca="1">E36&amp;"~"&amp;AuxYear</f>
        <v>DEMAND~2017</v>
      </c>
      <c r="G36" s="344" t="s">
        <v>940</v>
      </c>
      <c r="H36" s="344" t="str">
        <f ca="1">G36&amp;"~"&amp;AuxYear</f>
        <v>COM_IE~2017</v>
      </c>
      <c r="I36" s="344"/>
      <c r="J36" s="123"/>
      <c r="K36" s="123"/>
      <c r="L36" s="123"/>
      <c r="M36" s="123"/>
      <c r="N36" s="123"/>
      <c r="O36" s="123"/>
      <c r="P36" s="123"/>
      <c r="Q36" s="123"/>
      <c r="R36" s="123"/>
      <c r="S36" s="123"/>
      <c r="T36" s="123"/>
      <c r="U36" s="123"/>
      <c r="V36" s="123"/>
      <c r="W36" s="123"/>
      <c r="X36" s="123"/>
      <c r="Y36" s="123"/>
      <c r="Z36" s="123"/>
      <c r="AA36" s="123"/>
      <c r="AB36" s="123"/>
      <c r="AC36" s="123"/>
      <c r="AD36" s="123"/>
      <c r="AE36" s="22"/>
      <c r="AF36" s="22"/>
      <c r="AG36" s="22"/>
      <c r="AH36" s="22"/>
      <c r="AI36" s="22"/>
      <c r="AJ36" s="22"/>
      <c r="AK36" s="22"/>
      <c r="AL36" s="22"/>
      <c r="AM36" s="22"/>
      <c r="AN36" s="22"/>
    </row>
    <row r="37" spans="1:40">
      <c r="A37" s="22"/>
      <c r="B37" s="58" t="s">
        <v>434</v>
      </c>
      <c r="C37" s="28" t="s">
        <v>301</v>
      </c>
      <c r="D37" s="80" t="s">
        <v>249</v>
      </c>
      <c r="E37" s="312">
        <f ca="1">IF(J27,1,0)</f>
        <v>1</v>
      </c>
      <c r="F37" s="312">
        <f ca="1">IF(K27,1,0)</f>
        <v>1</v>
      </c>
      <c r="G37" s="370">
        <f ca="1">IF(J27,1/J27,1)</f>
        <v>5.4974679893873715</v>
      </c>
      <c r="H37" s="370">
        <f ca="1">IF(K27,1/K27,1)</f>
        <v>5.1256088488936316</v>
      </c>
      <c r="J37" s="123"/>
      <c r="K37" s="123"/>
      <c r="L37" s="123"/>
      <c r="M37" s="123"/>
      <c r="N37" s="123"/>
      <c r="O37" s="123"/>
      <c r="P37" s="123"/>
      <c r="Q37" s="123"/>
      <c r="R37" s="123"/>
      <c r="S37" s="123"/>
      <c r="T37" s="123"/>
      <c r="U37" s="123"/>
      <c r="V37" s="123"/>
      <c r="W37" s="123"/>
      <c r="X37" s="123"/>
      <c r="Y37" s="123"/>
      <c r="Z37" s="123"/>
      <c r="AA37" s="123"/>
      <c r="AB37" s="123"/>
      <c r="AC37" s="123"/>
      <c r="AD37" s="123"/>
      <c r="AE37" s="22"/>
      <c r="AF37" s="22"/>
      <c r="AG37" s="22"/>
      <c r="AH37" s="22"/>
      <c r="AI37" s="22"/>
      <c r="AJ37" s="22"/>
      <c r="AK37" s="22"/>
      <c r="AL37" s="22"/>
      <c r="AM37" s="22"/>
      <c r="AN37" s="22"/>
    </row>
    <row r="38" spans="1:40">
      <c r="A38" s="22"/>
      <c r="B38" s="381"/>
      <c r="C38" s="382"/>
      <c r="D38" s="382"/>
      <c r="E38" s="382"/>
      <c r="F38" s="382"/>
      <c r="G38" s="382"/>
      <c r="H38" s="382"/>
      <c r="I38" s="382"/>
      <c r="J38" s="382"/>
      <c r="K38" s="123"/>
      <c r="L38" s="123"/>
      <c r="M38" s="123"/>
      <c r="N38" s="123"/>
      <c r="O38" s="123"/>
      <c r="P38" s="123"/>
      <c r="Q38" s="123"/>
      <c r="R38" s="123"/>
      <c r="S38" s="123"/>
      <c r="T38" s="123"/>
      <c r="U38" s="123"/>
      <c r="V38" s="123"/>
      <c r="W38" s="123"/>
      <c r="X38" s="123"/>
      <c r="Y38" s="123"/>
      <c r="Z38" s="123"/>
      <c r="AA38" s="123"/>
      <c r="AB38" s="123"/>
      <c r="AC38" s="123"/>
      <c r="AD38" s="123"/>
      <c r="AE38" s="22"/>
      <c r="AF38" s="22"/>
      <c r="AG38" s="22"/>
      <c r="AH38" s="22"/>
      <c r="AI38" s="22"/>
      <c r="AJ38" s="22"/>
      <c r="AK38" s="22"/>
      <c r="AL38" s="22"/>
      <c r="AM38" s="22"/>
      <c r="AN38" s="22"/>
    </row>
    <row r="39" spans="1:40">
      <c r="A39" s="22"/>
      <c r="B39" s="22"/>
      <c r="C39" s="120"/>
      <c r="D39" s="120"/>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22"/>
      <c r="AF39" s="22"/>
      <c r="AG39" s="22"/>
      <c r="AH39" s="22"/>
      <c r="AI39" s="22"/>
      <c r="AJ39" s="22"/>
      <c r="AK39" s="22"/>
      <c r="AL39" s="22"/>
      <c r="AM39" s="22"/>
      <c r="AN39" s="22"/>
    </row>
    <row r="40" spans="1:40">
      <c r="A40" s="22"/>
      <c r="B40" s="22"/>
      <c r="C40" s="120"/>
      <c r="D40" s="120"/>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22"/>
      <c r="AF40" s="22"/>
      <c r="AG40" s="22"/>
      <c r="AH40" s="22"/>
      <c r="AI40" s="22"/>
      <c r="AJ40" s="22"/>
      <c r="AK40" s="22"/>
      <c r="AL40" s="22"/>
      <c r="AM40" s="22"/>
      <c r="AN40" s="22"/>
    </row>
    <row r="41" spans="1:40">
      <c r="A41" s="22"/>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22"/>
      <c r="AF41" s="22"/>
      <c r="AG41" s="22"/>
      <c r="AH41" s="22"/>
      <c r="AI41" s="22"/>
      <c r="AJ41" s="22"/>
      <c r="AK41" s="22"/>
      <c r="AL41" s="22"/>
      <c r="AM41" s="22"/>
      <c r="AN41" s="22"/>
    </row>
    <row r="42" spans="1:40">
      <c r="A42" s="22"/>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22"/>
      <c r="AF42" s="22"/>
      <c r="AG42" s="22"/>
      <c r="AH42" s="22"/>
      <c r="AI42" s="22"/>
      <c r="AJ42" s="22"/>
      <c r="AK42" s="22"/>
      <c r="AL42" s="22"/>
      <c r="AM42" s="22"/>
      <c r="AN42" s="22"/>
    </row>
    <row r="43" spans="1:40">
      <c r="A43" s="22"/>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22"/>
      <c r="AF43" s="22"/>
      <c r="AG43" s="22"/>
      <c r="AH43" s="22"/>
      <c r="AI43" s="22"/>
      <c r="AJ43" s="22"/>
      <c r="AK43" s="22"/>
      <c r="AL43" s="22"/>
      <c r="AM43" s="22"/>
      <c r="AN43" s="22"/>
    </row>
    <row r="44" spans="1:40">
      <c r="A44" s="22"/>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22"/>
      <c r="AF44" s="22"/>
      <c r="AG44" s="22"/>
      <c r="AH44" s="22"/>
      <c r="AI44" s="22"/>
      <c r="AJ44" s="22"/>
      <c r="AK44" s="22"/>
      <c r="AL44" s="22"/>
      <c r="AM44" s="22"/>
      <c r="AN44" s="22"/>
    </row>
    <row r="45" spans="1:40">
      <c r="A45" s="22"/>
      <c r="B45" s="22"/>
      <c r="C45" s="120"/>
      <c r="D45" s="120"/>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22"/>
      <c r="AF45" s="22"/>
      <c r="AG45" s="22"/>
      <c r="AH45" s="22"/>
      <c r="AI45" s="22"/>
      <c r="AJ45" s="22"/>
      <c r="AK45" s="22"/>
      <c r="AL45" s="22"/>
      <c r="AM45" s="22"/>
      <c r="AN45" s="22"/>
    </row>
    <row r="46" spans="1:40">
      <c r="A46" s="22"/>
      <c r="B46" s="22"/>
      <c r="C46" s="120"/>
      <c r="D46" s="120"/>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22"/>
      <c r="AF46" s="22"/>
      <c r="AG46" s="22"/>
      <c r="AH46" s="22"/>
      <c r="AI46" s="22"/>
      <c r="AJ46" s="22"/>
      <c r="AK46" s="22"/>
      <c r="AL46" s="22"/>
      <c r="AM46" s="22"/>
      <c r="AN46" s="22"/>
    </row>
    <row r="47" spans="1:40">
      <c r="A47" s="22"/>
      <c r="B47" s="22"/>
      <c r="C47" s="120"/>
      <c r="D47" s="120"/>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22"/>
      <c r="AF47" s="22"/>
      <c r="AG47" s="22"/>
      <c r="AH47" s="22"/>
      <c r="AI47" s="22"/>
      <c r="AJ47" s="22"/>
      <c r="AK47" s="22"/>
      <c r="AL47" s="22"/>
      <c r="AM47" s="22"/>
      <c r="AN47" s="22"/>
    </row>
    <row r="48" spans="1:40">
      <c r="A48" s="22"/>
      <c r="B48" s="22"/>
      <c r="C48" s="120"/>
      <c r="D48" s="120"/>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22"/>
      <c r="AF48" s="22"/>
      <c r="AG48" s="22"/>
      <c r="AH48" s="22"/>
      <c r="AI48" s="22"/>
      <c r="AJ48" s="22"/>
      <c r="AK48" s="22"/>
      <c r="AL48" s="22"/>
      <c r="AM48" s="22"/>
      <c r="AN48" s="22"/>
    </row>
    <row r="49" spans="1:40">
      <c r="A49" s="22"/>
      <c r="B49" s="22"/>
      <c r="C49" s="120"/>
      <c r="D49" s="120"/>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22"/>
      <c r="AF49" s="22"/>
      <c r="AG49" s="22"/>
      <c r="AH49" s="22"/>
      <c r="AI49" s="22"/>
      <c r="AJ49" s="22"/>
      <c r="AK49" s="22"/>
      <c r="AL49" s="22"/>
      <c r="AM49" s="22"/>
      <c r="AN49" s="22"/>
    </row>
    <row r="50" spans="1:40">
      <c r="A50" s="22"/>
      <c r="B50" s="22"/>
      <c r="C50" s="120"/>
      <c r="D50" s="120"/>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22"/>
      <c r="AF50" s="22"/>
      <c r="AG50" s="22"/>
      <c r="AH50" s="22"/>
      <c r="AI50" s="22"/>
      <c r="AJ50" s="22"/>
      <c r="AK50" s="22"/>
      <c r="AL50" s="22"/>
      <c r="AM50" s="22"/>
      <c r="AN50" s="22"/>
    </row>
    <row r="51" spans="1:40">
      <c r="A51" s="22"/>
      <c r="B51" s="22"/>
      <c r="C51" s="120"/>
      <c r="D51" s="120"/>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22"/>
      <c r="AF51" s="22"/>
      <c r="AG51" s="22"/>
      <c r="AH51" s="22"/>
      <c r="AI51" s="22"/>
      <c r="AJ51" s="22"/>
      <c r="AK51" s="22"/>
      <c r="AL51" s="22"/>
      <c r="AM51" s="22"/>
      <c r="AN51" s="22"/>
    </row>
    <row r="52" spans="1:40">
      <c r="A52" s="22"/>
      <c r="B52" s="22"/>
      <c r="C52" s="120"/>
      <c r="D52" s="120"/>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22"/>
      <c r="AF52" s="22"/>
      <c r="AG52" s="22"/>
      <c r="AH52" s="22"/>
      <c r="AI52" s="22"/>
      <c r="AJ52" s="22"/>
      <c r="AK52" s="22"/>
      <c r="AL52" s="22"/>
      <c r="AM52" s="22"/>
      <c r="AN52" s="22"/>
    </row>
    <row r="53" spans="1:40">
      <c r="A53" s="22"/>
      <c r="B53" s="22"/>
      <c r="C53" s="120"/>
      <c r="D53" s="120"/>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22"/>
      <c r="AF53" s="22"/>
      <c r="AG53" s="22"/>
      <c r="AH53" s="22"/>
      <c r="AI53" s="22"/>
      <c r="AJ53" s="22"/>
      <c r="AK53" s="22"/>
      <c r="AL53" s="22"/>
      <c r="AM53" s="22"/>
      <c r="AN53" s="22"/>
    </row>
    <row r="54" spans="1:40">
      <c r="A54" s="22"/>
      <c r="B54" s="22"/>
      <c r="C54" s="120"/>
      <c r="D54" s="120"/>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22"/>
      <c r="AF54" s="22"/>
      <c r="AG54" s="22"/>
      <c r="AH54" s="22"/>
      <c r="AI54" s="22"/>
      <c r="AJ54" s="22"/>
      <c r="AK54" s="22"/>
      <c r="AL54" s="22"/>
      <c r="AM54" s="22"/>
      <c r="AN54" s="22"/>
    </row>
    <row r="55" spans="1:40">
      <c r="A55" s="22"/>
      <c r="B55" s="22"/>
      <c r="C55" s="120"/>
      <c r="D55" s="120"/>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c r="AC55" s="123"/>
      <c r="AD55" s="123"/>
      <c r="AE55" s="22"/>
      <c r="AF55" s="22"/>
      <c r="AG55" s="22"/>
      <c r="AH55" s="22"/>
      <c r="AI55" s="22"/>
      <c r="AJ55" s="22"/>
      <c r="AK55" s="22"/>
      <c r="AL55" s="22"/>
      <c r="AM55" s="22"/>
      <c r="AN55" s="22"/>
    </row>
    <row r="56" spans="1:40">
      <c r="A56" s="22"/>
      <c r="B56" s="22"/>
      <c r="C56" s="120"/>
      <c r="D56" s="120"/>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22"/>
      <c r="AF56" s="22"/>
      <c r="AG56" s="22"/>
      <c r="AH56" s="22"/>
      <c r="AI56" s="22"/>
      <c r="AJ56" s="22"/>
      <c r="AK56" s="22"/>
      <c r="AL56" s="22"/>
      <c r="AM56" s="22"/>
      <c r="AN56" s="22"/>
    </row>
    <row r="57" spans="1:40">
      <c r="A57" s="22"/>
      <c r="B57" s="22"/>
      <c r="C57" s="120"/>
      <c r="D57" s="120"/>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c r="AC57" s="123"/>
      <c r="AD57" s="123"/>
      <c r="AE57" s="22"/>
      <c r="AF57" s="22"/>
      <c r="AG57" s="22"/>
      <c r="AH57" s="22"/>
      <c r="AI57" s="22"/>
      <c r="AJ57" s="22"/>
      <c r="AK57" s="22"/>
      <c r="AL57" s="22"/>
      <c r="AM57" s="22"/>
      <c r="AN57" s="22"/>
    </row>
    <row r="58" spans="1:40">
      <c r="A58" s="22"/>
      <c r="B58" s="22"/>
      <c r="C58" s="120"/>
      <c r="D58" s="120"/>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22"/>
      <c r="AF58" s="22"/>
      <c r="AG58" s="22"/>
      <c r="AH58" s="22"/>
      <c r="AI58" s="22"/>
      <c r="AJ58" s="22"/>
      <c r="AK58" s="22"/>
      <c r="AL58" s="22"/>
      <c r="AM58" s="22"/>
      <c r="AN58" s="22"/>
    </row>
    <row r="59" spans="1:40">
      <c r="A59" s="22"/>
      <c r="B59" s="22"/>
      <c r="C59" s="120"/>
      <c r="D59" s="120"/>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c r="AC59" s="123"/>
      <c r="AD59" s="123"/>
      <c r="AE59" s="22"/>
      <c r="AF59" s="22"/>
      <c r="AG59" s="22"/>
      <c r="AH59" s="22"/>
      <c r="AI59" s="22"/>
      <c r="AJ59" s="22"/>
      <c r="AK59" s="22"/>
      <c r="AL59" s="22"/>
      <c r="AM59" s="22"/>
      <c r="AN59" s="22"/>
    </row>
    <row r="60" spans="1:40">
      <c r="A60" s="22"/>
      <c r="B60" s="22"/>
      <c r="C60" s="120"/>
      <c r="D60" s="120"/>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22"/>
      <c r="AF60" s="22"/>
      <c r="AG60" s="22"/>
      <c r="AH60" s="22"/>
      <c r="AI60" s="22"/>
      <c r="AJ60" s="22"/>
      <c r="AK60" s="22"/>
      <c r="AL60" s="22"/>
      <c r="AM60" s="22"/>
      <c r="AN60" s="22"/>
    </row>
    <row r="61" spans="1:40">
      <c r="A61" s="22"/>
      <c r="B61" s="22"/>
      <c r="C61" s="120"/>
      <c r="D61" s="120"/>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22"/>
      <c r="AF61" s="22"/>
      <c r="AG61" s="22"/>
      <c r="AH61" s="22"/>
      <c r="AI61" s="22"/>
      <c r="AJ61" s="22"/>
      <c r="AK61" s="22"/>
      <c r="AL61" s="22"/>
      <c r="AM61" s="22"/>
      <c r="AN61" s="22"/>
    </row>
    <row r="62" spans="1:40">
      <c r="A62" s="22"/>
      <c r="B62" s="22"/>
      <c r="C62" s="120"/>
      <c r="D62" s="120"/>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22"/>
      <c r="AF62" s="22"/>
      <c r="AG62" s="22"/>
      <c r="AH62" s="22"/>
      <c r="AI62" s="22"/>
      <c r="AJ62" s="22"/>
      <c r="AK62" s="22"/>
      <c r="AL62" s="22"/>
      <c r="AM62" s="22"/>
      <c r="AN62" s="22"/>
    </row>
    <row r="63" spans="1:40">
      <c r="A63" s="22"/>
      <c r="B63" s="22"/>
      <c r="C63" s="120"/>
      <c r="D63" s="120"/>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c r="AC63" s="123"/>
      <c r="AD63" s="123"/>
      <c r="AE63" s="22"/>
      <c r="AF63" s="22"/>
      <c r="AG63" s="22"/>
      <c r="AH63" s="22"/>
      <c r="AI63" s="22"/>
      <c r="AJ63" s="22"/>
      <c r="AK63" s="22"/>
      <c r="AL63" s="22"/>
      <c r="AM63" s="22"/>
      <c r="AN63" s="22"/>
    </row>
    <row r="64" spans="1:40">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row>
    <row r="65" spans="1:40">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row>
    <row r="66" spans="1:40">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row>
    <row r="67" spans="1:40">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row>
    <row r="68" spans="1:40">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row>
    <row r="69" spans="1:40">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row>
    <row r="70" spans="1:4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row>
    <row r="71" spans="1:40">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row>
    <row r="72" spans="1:40">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row>
  </sheetData>
  <phoneticPr fontId="0" type="noConversion"/>
  <pageMargins left="0.75" right="0.75" top="1" bottom="1" header="0.5" footer="0.5"/>
  <pageSetup orientation="portrait" horizontalDpi="4294967292" verticalDpi="0" r:id="rId1"/>
  <headerFooter alignWithMargins="0"/>
</worksheet>
</file>

<file path=xl/worksheets/sheet33.xml><?xml version="1.0" encoding="utf-8"?>
<worksheet xmlns="http://schemas.openxmlformats.org/spreadsheetml/2006/main" xmlns:r="http://schemas.openxmlformats.org/officeDocument/2006/relationships">
  <sheetPr codeName="Sheet45"/>
  <dimension ref="A1:Y99"/>
  <sheetViews>
    <sheetView topLeftCell="A27" zoomScale="75" workbookViewId="0">
      <selection activeCell="F66" sqref="F66"/>
    </sheetView>
  </sheetViews>
  <sheetFormatPr defaultColWidth="11.42578125" defaultRowHeight="12.75"/>
  <cols>
    <col min="1" max="1" width="15.85546875" customWidth="1"/>
    <col min="2" max="2" width="13.5703125" customWidth="1"/>
    <col min="3" max="3" width="34.140625" customWidth="1"/>
    <col min="4" max="5" width="10.85546875" customWidth="1"/>
    <col min="6" max="6" width="14.28515625" customWidth="1"/>
    <col min="7" max="9" width="9.140625" customWidth="1"/>
    <col min="10" max="10" width="9.5703125" customWidth="1"/>
    <col min="11" max="23" width="11.42578125" customWidth="1"/>
    <col min="24" max="24" width="10.85546875" customWidth="1"/>
    <col min="25" max="25" width="8.5703125" customWidth="1"/>
  </cols>
  <sheetData>
    <row r="1" spans="1:21" ht="18">
      <c r="A1" s="10" t="s">
        <v>558</v>
      </c>
    </row>
    <row r="2" spans="1:21">
      <c r="A2" s="9"/>
      <c r="F2" s="245"/>
    </row>
    <row r="3" spans="1:21">
      <c r="A3" s="9"/>
      <c r="F3" s="245"/>
    </row>
    <row r="4" spans="1:21">
      <c r="A4" s="9"/>
      <c r="F4" s="245"/>
      <c r="G4" s="23"/>
      <c r="H4" s="19"/>
      <c r="J4" s="19"/>
      <c r="K4" s="137"/>
      <c r="Q4" s="18">
        <v>1.05</v>
      </c>
    </row>
    <row r="5" spans="1:21" ht="18">
      <c r="A5" s="9"/>
      <c r="B5" s="277" t="s">
        <v>678</v>
      </c>
      <c r="C5" s="131"/>
      <c r="D5" s="131"/>
      <c r="E5" s="131"/>
      <c r="F5" s="252" t="str">
        <f>"~FI_T: "&amp;Region</f>
        <v>~FI_T: FIM</v>
      </c>
    </row>
    <row r="6" spans="1:21" ht="26.25" thickBot="1">
      <c r="A6" s="132"/>
      <c r="B6" s="52" t="s">
        <v>57</v>
      </c>
      <c r="C6" s="52" t="s">
        <v>58</v>
      </c>
      <c r="D6" s="52" t="s">
        <v>56</v>
      </c>
      <c r="E6" s="52" t="s">
        <v>59</v>
      </c>
      <c r="F6" s="52" t="s">
        <v>385</v>
      </c>
      <c r="G6" s="52" t="s">
        <v>661</v>
      </c>
      <c r="H6" s="52" t="s">
        <v>734</v>
      </c>
      <c r="I6" s="52" t="s">
        <v>976</v>
      </c>
      <c r="J6" s="52" t="s">
        <v>534</v>
      </c>
      <c r="K6" s="52" t="s">
        <v>535</v>
      </c>
      <c r="L6" s="52" t="s">
        <v>536</v>
      </c>
      <c r="M6" s="278" t="str">
        <f ca="1">"Share~UP~"&amp;AuxYear</f>
        <v>Share~UP~2017</v>
      </c>
      <c r="N6" s="278" t="str">
        <f ca="1">"Share~UP~"&amp;CEILING(AuxYear+2,5)</f>
        <v>Share~UP~2020</v>
      </c>
      <c r="O6" s="52" t="s">
        <v>802</v>
      </c>
      <c r="P6" s="52" t="str">
        <f ca="1">"ACT_BND~UP~"&amp;AuxYear</f>
        <v>ACT_BND~UP~2017</v>
      </c>
      <c r="Q6" s="52" t="s">
        <v>803</v>
      </c>
      <c r="R6" s="52" t="s">
        <v>804</v>
      </c>
      <c r="S6" s="335" t="str">
        <f ca="1">"ACT_BND~LO~"&amp;CEILING(AuxYear+2,5)</f>
        <v>ACT_BND~LO~2020</v>
      </c>
      <c r="T6" s="52" t="s">
        <v>826</v>
      </c>
      <c r="U6" s="52" t="s">
        <v>827</v>
      </c>
    </row>
    <row r="7" spans="1:21">
      <c r="A7" s="149"/>
      <c r="B7" s="12" t="str">
        <f>CONCATENATE("FT-",E10,"0")</f>
        <v>FT-RESNGA0</v>
      </c>
      <c r="C7" s="404" t="s">
        <v>529</v>
      </c>
      <c r="D7" s="139" t="str">
        <f ca="1">IEAData2!D9</f>
        <v>GASNGA</v>
      </c>
      <c r="E7" s="12"/>
      <c r="F7" s="12"/>
      <c r="G7" s="139">
        <v>1</v>
      </c>
      <c r="H7" s="97">
        <f ca="1">IF(IEAData2!$G$9&lt;=0,1,IEAData2!B9/IEAData2!$G$9)+0.004</f>
        <v>1.004</v>
      </c>
      <c r="I7" s="97">
        <f ca="1">IF(AuxData2!$G$9&lt;=0,1,AuxData2!C9/AuxData2!$G$9)+0.004</f>
        <v>1.004</v>
      </c>
      <c r="J7" s="140">
        <v>1</v>
      </c>
      <c r="K7" s="140">
        <v>1</v>
      </c>
      <c r="L7" s="18"/>
      <c r="M7" s="40">
        <v>1</v>
      </c>
      <c r="N7" s="40">
        <v>1</v>
      </c>
      <c r="O7" s="374">
        <f ca="1">IEAData2!$G$9*RES_Fuels2!$Q$4</f>
        <v>0.57456000000000007</v>
      </c>
      <c r="P7" s="374">
        <f ca="1">AuxData2!$G$9*RES_Fuels2!$Q$4</f>
        <v>0.51785999999999999</v>
      </c>
      <c r="Q7" s="374">
        <f>P7*$Q$4</f>
        <v>0.54375300000000004</v>
      </c>
      <c r="R7" s="374">
        <f>Q7*$Q$4</f>
        <v>0.57094065000000005</v>
      </c>
      <c r="S7" s="515"/>
      <c r="T7" s="374"/>
      <c r="U7" s="374"/>
    </row>
    <row r="8" spans="1:21">
      <c r="A8" s="149"/>
      <c r="B8" s="12"/>
      <c r="C8" s="378"/>
      <c r="D8" s="139" t="str">
        <f ca="1">IEAData2!D10</f>
        <v>GASGWG</v>
      </c>
      <c r="E8" s="12"/>
      <c r="F8" s="12"/>
      <c r="G8" s="139"/>
      <c r="H8" s="97">
        <f ca="1">IF(IEAData2!$G$9&lt;=0,0,IEAData2!B10/IEAData2!$G$9)</f>
        <v>0</v>
      </c>
      <c r="I8" s="97">
        <f ca="1">IF(AuxData2!$G$9&lt;=0,0,AuxData2!C10/AuxData2!$G$9)</f>
        <v>0</v>
      </c>
      <c r="J8" s="140"/>
      <c r="K8" s="140"/>
      <c r="L8" s="18"/>
      <c r="M8" s="40">
        <f>I8</f>
        <v>0</v>
      </c>
      <c r="N8" s="40">
        <f>I8</f>
        <v>0</v>
      </c>
      <c r="O8" s="369"/>
      <c r="P8" s="369"/>
      <c r="Q8" s="369"/>
      <c r="R8" s="369"/>
      <c r="S8" s="516"/>
      <c r="T8" s="369"/>
      <c r="U8" s="369"/>
    </row>
    <row r="9" spans="1:21">
      <c r="A9" s="149"/>
      <c r="B9" s="12"/>
      <c r="C9" s="378"/>
      <c r="D9" s="139" t="s">
        <v>1009</v>
      </c>
      <c r="E9" s="12"/>
      <c r="F9" s="12"/>
      <c r="G9" s="139"/>
      <c r="H9" s="97">
        <f ca="1">IF(IEAData2!$G$9&lt;=0,0,IEAData2!B24/IEAData2!$G$9)</f>
        <v>0</v>
      </c>
      <c r="I9" s="97">
        <f ca="1">IF(AuxData2!$G$9&lt;=0,0,AuxData2!C24/AuxData2!$G$9)</f>
        <v>0</v>
      </c>
      <c r="J9" s="140"/>
      <c r="K9" s="140"/>
      <c r="L9" s="18"/>
      <c r="M9" s="40">
        <f>I9</f>
        <v>0</v>
      </c>
      <c r="N9" s="40">
        <f>I9^0.71</f>
        <v>0</v>
      </c>
      <c r="O9" s="369"/>
      <c r="P9" s="369"/>
      <c r="Q9" s="369"/>
      <c r="R9" s="369"/>
      <c r="S9" s="516"/>
      <c r="T9" s="369"/>
      <c r="U9" s="369"/>
    </row>
    <row r="10" spans="1:21">
      <c r="A10" s="149"/>
      <c r="B10" s="247"/>
      <c r="C10" s="460"/>
      <c r="D10" s="142"/>
      <c r="E10" s="142" t="str">
        <f ca="1">IEAData2!H9</f>
        <v>RESNGA</v>
      </c>
      <c r="F10" s="142" t="s">
        <v>202</v>
      </c>
      <c r="G10" s="143"/>
      <c r="H10" s="144"/>
      <c r="I10" s="144"/>
      <c r="J10" s="145"/>
      <c r="K10" s="145"/>
      <c r="L10" s="146"/>
      <c r="M10" s="146"/>
      <c r="N10" s="146"/>
      <c r="O10" s="375"/>
      <c r="P10" s="375"/>
      <c r="Q10" s="375"/>
      <c r="R10" s="375"/>
      <c r="S10" s="517"/>
      <c r="T10" s="375"/>
      <c r="U10" s="375"/>
    </row>
    <row r="11" spans="1:21">
      <c r="A11" s="149"/>
      <c r="B11" s="12" t="str">
        <f>CONCATENATE("FT-",E15,"0")</f>
        <v>FT-RESDST0</v>
      </c>
      <c r="C11" s="378" t="s">
        <v>203</v>
      </c>
      <c r="D11" s="139" t="str">
        <f ca="1">IEAData2!D12</f>
        <v>OILDST</v>
      </c>
      <c r="E11" s="12"/>
      <c r="F11" s="12"/>
      <c r="G11" s="139">
        <v>1</v>
      </c>
      <c r="H11" s="97">
        <f ca="1">IF(IEAData2!$G$10&lt;=0,1,IEAData2!B12/IEAData2!$G$10)+0.004</f>
        <v>1.004</v>
      </c>
      <c r="I11" s="97">
        <f ca="1">IF(AuxData2!$G$10&lt;=0,1,AuxData2!C12/AuxData2!$G$10)+0.004</f>
        <v>1.004</v>
      </c>
      <c r="J11" s="140">
        <v>1</v>
      </c>
      <c r="K11" s="140">
        <v>1</v>
      </c>
      <c r="L11" s="18"/>
      <c r="M11" s="40">
        <v>1</v>
      </c>
      <c r="N11" s="40">
        <v>1</v>
      </c>
      <c r="O11" s="374">
        <f ca="1">IEAData2!$G$10*RES_Fuels2!$Q$4</f>
        <v>1.8586785601223608</v>
      </c>
      <c r="P11" s="374">
        <f ca="1">MAX(O11,AuxData2!$G$10*$Q$4)</f>
        <v>1.8586785601223608</v>
      </c>
      <c r="Q11" s="374">
        <f ca="1">P11*$Q$4</f>
        <v>1.9516124881284789</v>
      </c>
      <c r="R11" s="374">
        <f ca="1">Q11*$Q$4</f>
        <v>2.049193112534903</v>
      </c>
      <c r="S11" s="515">
        <f ca="1">AuxData2!$G$10*0.93^(2020-AuxYear)</f>
        <v>0.87832740559452416</v>
      </c>
      <c r="T11" s="374">
        <f>S11*0.94^30</f>
        <v>0.13724358117396637</v>
      </c>
      <c r="U11" s="374">
        <v>1</v>
      </c>
    </row>
    <row r="12" spans="1:21">
      <c r="A12" s="149"/>
      <c r="B12" s="12"/>
      <c r="C12" s="378"/>
      <c r="D12" s="139" t="str">
        <f ca="1">IEAData2!D15</f>
        <v>OILGSL</v>
      </c>
      <c r="E12" s="12"/>
      <c r="F12" s="12"/>
      <c r="G12" s="148"/>
      <c r="H12" s="97">
        <f ca="1">IF(IEAData2!$G$10&lt;=0.01,0,IEAData2!B15/IEAData2!$G$10)</f>
        <v>0</v>
      </c>
      <c r="I12" s="97">
        <f ca="1">IF(AuxData2!$G$10&lt;0.01,0,AuxData2!C15/AuxData2!$G$10)</f>
        <v>0</v>
      </c>
      <c r="J12" s="140"/>
      <c r="K12" s="140"/>
      <c r="L12" s="18"/>
      <c r="M12" s="40">
        <f>I12</f>
        <v>0</v>
      </c>
      <c r="N12" s="40">
        <f>I12</f>
        <v>0</v>
      </c>
      <c r="O12" s="369"/>
      <c r="P12" s="369"/>
      <c r="Q12" s="369"/>
      <c r="R12" s="369"/>
      <c r="S12" s="516"/>
      <c r="T12" s="369"/>
      <c r="U12" s="369"/>
    </row>
    <row r="13" spans="1:21">
      <c r="A13" s="149"/>
      <c r="B13" s="12"/>
      <c r="C13" s="378"/>
      <c r="D13" s="139" t="str">
        <f ca="1">IEAData2!D16</f>
        <v>OILNSP</v>
      </c>
      <c r="E13" s="12"/>
      <c r="F13" s="12"/>
      <c r="G13" s="148"/>
      <c r="H13" s="97"/>
      <c r="I13" s="97"/>
      <c r="J13" s="140"/>
      <c r="K13" s="140"/>
      <c r="L13" s="18"/>
      <c r="M13" s="40">
        <f>I13</f>
        <v>0</v>
      </c>
      <c r="N13" s="40">
        <f>I13</f>
        <v>0</v>
      </c>
      <c r="O13" s="369"/>
      <c r="P13" s="369"/>
      <c r="Q13" s="369"/>
      <c r="R13" s="369"/>
      <c r="S13" s="516"/>
      <c r="T13" s="369"/>
      <c r="U13" s="369"/>
    </row>
    <row r="14" spans="1:21">
      <c r="A14" s="149"/>
      <c r="B14" s="12"/>
      <c r="C14" s="378"/>
      <c r="D14" s="139" t="s">
        <v>742</v>
      </c>
      <c r="E14" s="12"/>
      <c r="F14" s="12"/>
      <c r="G14" s="148"/>
      <c r="H14" s="97">
        <f ca="1">IF(IEAData2!$G$10&lt;=0.01,0,IEAData2!B23/IEAData2!$G$10)</f>
        <v>0</v>
      </c>
      <c r="I14" s="97">
        <f ca="1">IF(AuxData2!$G$10&lt;=0.01,0,AuxData2!C23/AuxData2!$G$10)</f>
        <v>0</v>
      </c>
      <c r="J14" s="140"/>
      <c r="K14" s="140"/>
      <c r="L14" s="18"/>
      <c r="M14" s="40">
        <f>I14</f>
        <v>0</v>
      </c>
      <c r="N14" s="40">
        <f>I14</f>
        <v>0</v>
      </c>
      <c r="O14" s="369"/>
      <c r="P14" s="369"/>
      <c r="Q14" s="369"/>
      <c r="R14" s="369"/>
      <c r="S14" s="516"/>
      <c r="T14" s="369"/>
      <c r="U14" s="369"/>
    </row>
    <row r="15" spans="1:21">
      <c r="A15" s="149"/>
      <c r="B15" s="247"/>
      <c r="C15" s="460"/>
      <c r="D15" s="157"/>
      <c r="E15" s="142" t="str">
        <f ca="1">IEAData2!H10</f>
        <v>RESDST</v>
      </c>
      <c r="F15" s="142" t="s">
        <v>204</v>
      </c>
      <c r="G15" s="143"/>
      <c r="H15" s="144"/>
      <c r="I15" s="144"/>
      <c r="J15" s="145"/>
      <c r="K15" s="145"/>
      <c r="L15" s="146"/>
      <c r="M15" s="146"/>
      <c r="N15" s="146"/>
      <c r="O15" s="375"/>
      <c r="P15" s="375"/>
      <c r="Q15" s="375"/>
      <c r="R15" s="375"/>
      <c r="S15" s="517"/>
      <c r="T15" s="375"/>
      <c r="U15" s="375"/>
    </row>
    <row r="16" spans="1:21">
      <c r="A16" s="9"/>
      <c r="B16" s="12" t="str">
        <f>CONCATENATE("FT-",E17,"0")</f>
        <v>FT-RESHFO0</v>
      </c>
      <c r="C16" s="378" t="s">
        <v>205</v>
      </c>
      <c r="D16" s="139" t="str">
        <f ca="1">IEAData2!D13</f>
        <v>OILHFO</v>
      </c>
      <c r="E16" s="12"/>
      <c r="F16" s="12"/>
      <c r="G16" s="139">
        <v>1</v>
      </c>
      <c r="H16" s="97"/>
      <c r="I16" s="97"/>
      <c r="J16" s="140">
        <v>1</v>
      </c>
      <c r="K16" s="140">
        <v>1</v>
      </c>
      <c r="L16" s="18"/>
      <c r="M16" s="40"/>
      <c r="N16" s="40"/>
      <c r="O16" s="374">
        <f ca="1">IEAData2!$G$11*RES_Fuels2!$Q$4</f>
        <v>0</v>
      </c>
      <c r="P16" s="374">
        <f ca="1">AuxData2!$G$11*RES_Fuels2!$Q$4</f>
        <v>0</v>
      </c>
      <c r="Q16" s="374">
        <f>P16*$Q$4</f>
        <v>0</v>
      </c>
      <c r="R16" s="374">
        <f>Q16*$Q$4</f>
        <v>0</v>
      </c>
      <c r="S16" s="515"/>
      <c r="T16" s="374"/>
      <c r="U16" s="374"/>
    </row>
    <row r="17" spans="1:21">
      <c r="A17" s="9"/>
      <c r="B17" s="142"/>
      <c r="C17" s="460"/>
      <c r="D17" s="142"/>
      <c r="E17" s="142" t="str">
        <f ca="1">IEAData2!H11</f>
        <v>RESHFO</v>
      </c>
      <c r="F17" s="142" t="s">
        <v>206</v>
      </c>
      <c r="G17" s="143"/>
      <c r="H17" s="144"/>
      <c r="I17" s="144"/>
      <c r="J17" s="145"/>
      <c r="K17" s="145"/>
      <c r="L17" s="146"/>
      <c r="M17" s="146"/>
      <c r="N17" s="146"/>
      <c r="O17" s="375"/>
      <c r="P17" s="375"/>
      <c r="Q17" s="375"/>
      <c r="R17" s="375"/>
      <c r="S17" s="517"/>
      <c r="T17" s="375"/>
      <c r="U17" s="375"/>
    </row>
    <row r="18" spans="1:21">
      <c r="A18" s="9"/>
      <c r="B18" s="12" t="str">
        <f>CONCATENATE("FT-",E19,"0")</f>
        <v>FT-RESKER0</v>
      </c>
      <c r="C18" s="378" t="s">
        <v>207</v>
      </c>
      <c r="D18" s="139" t="str">
        <f ca="1">IEAData2!D14</f>
        <v>OILKER</v>
      </c>
      <c r="E18" s="12"/>
      <c r="F18" s="12"/>
      <c r="G18" s="139">
        <v>1</v>
      </c>
      <c r="H18" s="97"/>
      <c r="I18" s="97"/>
      <c r="J18" s="140">
        <v>1</v>
      </c>
      <c r="K18" s="140">
        <v>1</v>
      </c>
      <c r="L18" s="18"/>
      <c r="M18" s="18"/>
      <c r="N18" s="18"/>
      <c r="O18" s="374">
        <f ca="1">IEAData2!$G$12*RES_Fuels2!$Q$4</f>
        <v>0</v>
      </c>
      <c r="P18" s="374">
        <f ca="1">MAX(O18,AuxData2!$G$12*RES_Fuels2!$Q$4)</f>
        <v>0</v>
      </c>
      <c r="Q18" s="374">
        <f>P18*$Q$4</f>
        <v>0</v>
      </c>
      <c r="R18" s="374">
        <f>Q18*$Q$4</f>
        <v>0</v>
      </c>
      <c r="S18" s="515">
        <f ca="1">O18*0.96^(2020-BaseYear)</f>
        <v>0</v>
      </c>
      <c r="T18" s="374">
        <f>S18*0.95^30</f>
        <v>0</v>
      </c>
      <c r="U18" s="374">
        <v>1</v>
      </c>
    </row>
    <row r="19" spans="1:21">
      <c r="A19" s="9"/>
      <c r="B19" s="142"/>
      <c r="C19" s="460"/>
      <c r="D19" s="142"/>
      <c r="E19" s="142" t="str">
        <f ca="1">IEAData2!H12</f>
        <v>RESKER</v>
      </c>
      <c r="F19" s="142" t="s">
        <v>208</v>
      </c>
      <c r="G19" s="143"/>
      <c r="H19" s="144"/>
      <c r="I19" s="144"/>
      <c r="J19" s="145"/>
      <c r="K19" s="145"/>
      <c r="L19" s="146"/>
      <c r="M19" s="146"/>
      <c r="N19" s="146"/>
      <c r="O19" s="375"/>
      <c r="P19" s="375"/>
      <c r="Q19" s="375"/>
      <c r="R19" s="375"/>
      <c r="S19" s="517"/>
      <c r="T19" s="375"/>
      <c r="U19" s="375"/>
    </row>
    <row r="20" spans="1:21">
      <c r="A20" s="9"/>
      <c r="B20" s="12" t="str">
        <f>CONCATENATE("FT-",E23,"0")</f>
        <v>FT-RESCOP0</v>
      </c>
      <c r="C20" s="378" t="s">
        <v>1034</v>
      </c>
      <c r="D20" s="139" t="str">
        <f ca="1">IEAData2!D17</f>
        <v>COAHCO</v>
      </c>
      <c r="E20" s="12"/>
      <c r="F20" s="12"/>
      <c r="G20" s="139">
        <v>1</v>
      </c>
      <c r="H20" s="97">
        <f ca="1">IF(IEAData2!$G$13&lt;=0,1,IEAData2!B17/IEAData2!$G$13)</f>
        <v>1</v>
      </c>
      <c r="I20" s="97">
        <f ca="1">IF(AuxData2!$G$13&lt;=0,1,AuxData2!C17/AuxData2!$G$13)</f>
        <v>1</v>
      </c>
      <c r="J20" s="140">
        <v>1</v>
      </c>
      <c r="K20" s="140">
        <v>1</v>
      </c>
      <c r="L20" s="18"/>
      <c r="M20" s="40">
        <f>I20</f>
        <v>1</v>
      </c>
      <c r="N20" s="40">
        <f>MIN(1,MAX(I20*2,0.1))</f>
        <v>1</v>
      </c>
      <c r="O20" s="391">
        <f ca="1">IEAData2!$G$13*RES_Fuels2!$Q$4</f>
        <v>0</v>
      </c>
      <c r="P20" s="391">
        <f ca="1">AuxData2!$G$13*RES_Fuels2!$Q$4</f>
        <v>0</v>
      </c>
      <c r="Q20" s="368">
        <f>P20*0.98^30</f>
        <v>0</v>
      </c>
      <c r="R20" s="368">
        <f>Q20*0.99^40</f>
        <v>0</v>
      </c>
      <c r="S20" s="515"/>
      <c r="T20" s="374"/>
      <c r="U20" s="374"/>
    </row>
    <row r="21" spans="1:21">
      <c r="A21" s="9"/>
      <c r="B21" s="12"/>
      <c r="C21" s="378"/>
      <c r="D21" s="139" t="str">
        <f ca="1">IEAData2!D18</f>
        <v>COABCO</v>
      </c>
      <c r="E21" s="12"/>
      <c r="F21" s="12"/>
      <c r="G21" s="148"/>
      <c r="H21" s="97">
        <f ca="1">IF(IEAData2!$G$13&lt;=0,0,IEAData2!B18/IEAData2!$G$13)+0.004</f>
        <v>4.0000000000000001E-3</v>
      </c>
      <c r="I21" s="97">
        <f ca="1">IF(AuxData2!$G$13&lt;=0,0,AuxData2!C18/AuxData2!$G$13)+0.004</f>
        <v>4.0000000000000001E-3</v>
      </c>
      <c r="J21" s="140"/>
      <c r="K21" s="140"/>
      <c r="L21" s="18"/>
      <c r="M21" s="40">
        <f>I21</f>
        <v>4.0000000000000001E-3</v>
      </c>
      <c r="N21" s="40">
        <f>I21^0.2</f>
        <v>0.33144540173399867</v>
      </c>
      <c r="O21" s="369"/>
      <c r="P21" s="369"/>
      <c r="Q21" s="369"/>
      <c r="R21" s="369"/>
      <c r="S21" s="516"/>
      <c r="T21" s="369"/>
      <c r="U21" s="369"/>
    </row>
    <row r="22" spans="1:21">
      <c r="A22" s="9"/>
      <c r="B22" s="12"/>
      <c r="C22" s="378"/>
      <c r="D22" s="139" t="str">
        <f ca="1">IEAData2!D19</f>
        <v>COAOVC</v>
      </c>
      <c r="E22" s="12"/>
      <c r="F22" s="12"/>
      <c r="G22" s="148"/>
      <c r="H22" s="97">
        <f ca="1">IF(IEAData2!$G$13&lt;=0,0,IEAData2!B19/IEAData2!$G$13)</f>
        <v>0</v>
      </c>
      <c r="I22" s="97">
        <f ca="1">IF(AuxData2!$G$13&lt;=0,0,AuxData2!C19/AuxData2!$G$13)</f>
        <v>0</v>
      </c>
      <c r="J22" s="140"/>
      <c r="K22" s="140"/>
      <c r="L22" s="18"/>
      <c r="M22" s="40">
        <f>I22</f>
        <v>0</v>
      </c>
      <c r="N22" s="40">
        <f>I22</f>
        <v>0</v>
      </c>
      <c r="O22" s="369"/>
      <c r="P22" s="369"/>
      <c r="Q22" s="369"/>
      <c r="R22" s="369"/>
      <c r="S22" s="516"/>
      <c r="T22" s="369"/>
      <c r="U22" s="369"/>
    </row>
    <row r="23" spans="1:21">
      <c r="A23" s="9"/>
      <c r="B23" s="247"/>
      <c r="C23" s="460"/>
      <c r="D23" s="142"/>
      <c r="E23" s="142" t="str">
        <f ca="1">IEAData2!H13</f>
        <v>RESCOP</v>
      </c>
      <c r="F23" s="142" t="s">
        <v>1019</v>
      </c>
      <c r="G23" s="143"/>
      <c r="H23" s="144"/>
      <c r="I23" s="144"/>
      <c r="J23" s="145"/>
      <c r="K23" s="145"/>
      <c r="L23" s="146"/>
      <c r="M23" s="146"/>
      <c r="N23" s="146"/>
      <c r="O23" s="375"/>
      <c r="P23" s="375"/>
      <c r="Q23" s="375"/>
      <c r="R23" s="375"/>
      <c r="S23" s="517"/>
      <c r="T23" s="375"/>
      <c r="U23" s="375"/>
    </row>
    <row r="24" spans="1:21">
      <c r="A24" s="9"/>
      <c r="B24" s="12" t="str">
        <f>CONCATENATE("FT-",E25,"0")</f>
        <v>FT-RESLPG0</v>
      </c>
      <c r="C24" s="378" t="s">
        <v>210</v>
      </c>
      <c r="D24" s="139" t="str">
        <f ca="1">IEAData2!D20</f>
        <v>OILLPG</v>
      </c>
      <c r="E24" s="12"/>
      <c r="F24" s="12"/>
      <c r="G24" s="139">
        <v>1</v>
      </c>
      <c r="H24" s="97"/>
      <c r="I24" s="97"/>
      <c r="J24" s="140">
        <v>1</v>
      </c>
      <c r="K24" s="140">
        <v>1</v>
      </c>
      <c r="L24" s="18"/>
      <c r="M24" s="18"/>
      <c r="N24" s="18"/>
      <c r="O24" s="374">
        <f ca="1">IEAData2!$G$14*RES_Fuels2!$Q$4</f>
        <v>0</v>
      </c>
      <c r="P24" s="374">
        <f ca="1">MAX(O24,AuxData2!$G$14*RES_Fuels2!$Q$4)</f>
        <v>0</v>
      </c>
      <c r="Q24" s="374">
        <f>P24*$Q$4</f>
        <v>0</v>
      </c>
      <c r="R24" s="374">
        <f>Q24*$Q$4</f>
        <v>0</v>
      </c>
      <c r="S24" s="515">
        <f ca="1">O24*0.967^(2020-BaseYear)</f>
        <v>0</v>
      </c>
      <c r="T24" s="374">
        <f>S24*0.965^30</f>
        <v>0</v>
      </c>
      <c r="U24" s="374">
        <v>1</v>
      </c>
    </row>
    <row r="25" spans="1:21">
      <c r="A25" s="9"/>
      <c r="B25" s="247"/>
      <c r="C25" s="460"/>
      <c r="D25" s="142"/>
      <c r="E25" s="142" t="str">
        <f ca="1">IEAData2!H14</f>
        <v>RESLPG</v>
      </c>
      <c r="F25" s="142" t="s">
        <v>211</v>
      </c>
      <c r="G25" s="143"/>
      <c r="H25" s="144"/>
      <c r="I25" s="144"/>
      <c r="J25" s="145"/>
      <c r="K25" s="145"/>
      <c r="L25" s="146"/>
      <c r="M25" s="146"/>
      <c r="N25" s="146"/>
      <c r="O25" s="375"/>
      <c r="P25" s="375"/>
      <c r="Q25" s="375"/>
      <c r="R25" s="375"/>
      <c r="S25" s="517"/>
      <c r="T25" s="375"/>
      <c r="U25" s="375"/>
    </row>
    <row r="26" spans="1:21" ht="15.75" customHeight="1">
      <c r="A26" s="9"/>
      <c r="B26" s="12" t="str">
        <f>CONCATENATE("FT-",E27,"0")</f>
        <v>FT-RESBIO0</v>
      </c>
      <c r="C26" s="378" t="s">
        <v>448</v>
      </c>
      <c r="D26" s="139" t="s">
        <v>943</v>
      </c>
      <c r="E26" s="12"/>
      <c r="F26" s="12"/>
      <c r="G26" s="139">
        <v>1</v>
      </c>
      <c r="H26" s="97">
        <f ca="1">IF(IEAData2!$G$15&lt;=0,0,IEAData2!B21/IEAData2!$G$15)+0.004</f>
        <v>1.004</v>
      </c>
      <c r="I26" s="97">
        <f ca="1">IF(AuxData2!$G$15&lt;=0,0,AuxData2!C21/AuxData2!$G$15)</f>
        <v>1</v>
      </c>
      <c r="J26" s="140">
        <v>1</v>
      </c>
      <c r="K26" s="140">
        <v>1</v>
      </c>
      <c r="L26" s="18"/>
      <c r="M26" s="40">
        <v>1</v>
      </c>
      <c r="N26" s="40">
        <v>1</v>
      </c>
      <c r="O26" s="374">
        <f ca="1">IEAData2!$G$15*RES_Fuels2!$Q$4-O28</f>
        <v>8.8728944128187243E-2</v>
      </c>
      <c r="P26" s="374">
        <f ca="1">MAX(O26,AuxData2!$G$15*RES_Fuels2!$Q$4)-P28</f>
        <v>7.6746986805064393E-2</v>
      </c>
      <c r="Q26" s="374">
        <f ca="1">MAX(O26:P26)*0.8</f>
        <v>7.0983155302549797E-2</v>
      </c>
      <c r="R26" s="374">
        <f ca="1">Q26*0.8</f>
        <v>5.6786524242039838E-2</v>
      </c>
      <c r="S26" s="515">
        <f ca="1">MIN(MIN(O26:P26)*0.92,MAX(O26:P26)*0.85)</f>
        <v>7.0607227860659247E-2</v>
      </c>
      <c r="T26" s="374">
        <f ca="1">Q26*0.65</f>
        <v>4.6139050946657371E-2</v>
      </c>
      <c r="U26" s="374">
        <v>1</v>
      </c>
    </row>
    <row r="27" spans="1:21">
      <c r="A27" s="9"/>
      <c r="B27" s="247"/>
      <c r="C27" s="460"/>
      <c r="D27" s="142" t="s">
        <v>946</v>
      </c>
      <c r="E27" s="142" t="str">
        <f ca="1">IEAData2!H15</f>
        <v>RESBIO</v>
      </c>
      <c r="F27" s="142" t="s">
        <v>449</v>
      </c>
      <c r="G27" s="143"/>
      <c r="H27" s="144"/>
      <c r="I27" s="144"/>
      <c r="J27" s="145"/>
      <c r="K27" s="145"/>
      <c r="L27" s="146"/>
      <c r="M27" s="146"/>
      <c r="N27" s="146"/>
      <c r="O27" s="375"/>
      <c r="P27" s="375"/>
      <c r="Q27" s="375"/>
      <c r="R27" s="375"/>
      <c r="S27" s="517"/>
      <c r="T27" s="375"/>
      <c r="U27" s="375"/>
    </row>
    <row r="28" spans="1:21">
      <c r="A28" s="9"/>
      <c r="B28" s="12" t="str">
        <f>CONCATENATE("FT-",E29,"0")</f>
        <v>FT-RESBPL0</v>
      </c>
      <c r="C28" s="378" t="s">
        <v>936</v>
      </c>
      <c r="D28" s="36" t="s">
        <v>929</v>
      </c>
      <c r="E28" s="12"/>
      <c r="F28" s="12"/>
      <c r="G28" s="139">
        <v>1</v>
      </c>
      <c r="H28" s="97"/>
      <c r="I28" s="97"/>
      <c r="J28" s="140">
        <v>1</v>
      </c>
      <c r="K28" s="140">
        <v>1</v>
      </c>
      <c r="L28" s="18"/>
      <c r="M28" s="18"/>
      <c r="N28" s="18"/>
      <c r="O28" s="374">
        <f ca="1">'RHT2'!Z38</f>
        <v>2.198493332505054E-2</v>
      </c>
      <c r="P28" s="374">
        <f ca="1">'RHT2'!AA38</f>
        <v>2.5036256209895868E-2</v>
      </c>
      <c r="Q28" s="374">
        <f ca="1">P28*$Q$4^3</f>
        <v>2.8982596094980707E-2</v>
      </c>
      <c r="R28" s="374">
        <f ca="1">Q28*$Q$4^3</f>
        <v>3.3550977804452042E-2</v>
      </c>
      <c r="S28" s="515"/>
      <c r="T28" s="374"/>
      <c r="U28" s="374"/>
    </row>
    <row r="29" spans="1:21">
      <c r="A29" s="9"/>
      <c r="B29" s="247"/>
      <c r="C29" s="460"/>
      <c r="D29" s="142"/>
      <c r="E29" s="142" t="s">
        <v>931</v>
      </c>
      <c r="F29" s="142" t="s">
        <v>934</v>
      </c>
      <c r="G29" s="143"/>
      <c r="H29" s="144"/>
      <c r="I29" s="144"/>
      <c r="J29" s="145"/>
      <c r="K29" s="145"/>
      <c r="L29" s="146"/>
      <c r="M29" s="146"/>
      <c r="N29" s="146"/>
      <c r="O29" s="375"/>
      <c r="P29" s="375"/>
      <c r="Q29" s="375"/>
      <c r="R29" s="375"/>
      <c r="S29" s="517"/>
      <c r="T29" s="375"/>
      <c r="U29" s="375"/>
    </row>
    <row r="30" spans="1:21">
      <c r="A30" s="9"/>
      <c r="B30" s="12" t="str">
        <f>CONCATENATE("FT-",E31,"0")</f>
        <v>FT-RESGEO0</v>
      </c>
      <c r="C30" s="378" t="s">
        <v>450</v>
      </c>
      <c r="D30" s="139" t="str">
        <f ca="1">IEAData2!D29</f>
        <v>GEO</v>
      </c>
      <c r="E30" s="12"/>
      <c r="F30" s="12"/>
      <c r="G30" s="139">
        <v>1</v>
      </c>
      <c r="H30" s="97"/>
      <c r="I30" s="97"/>
      <c r="J30" s="140">
        <v>1</v>
      </c>
      <c r="K30" s="140">
        <v>1</v>
      </c>
      <c r="L30" s="18"/>
      <c r="M30" s="18"/>
      <c r="N30" s="18"/>
      <c r="O30" s="374">
        <f ca="1">IEAData2!$G$18*RES_Fuels2!$Q$4</f>
        <v>0</v>
      </c>
      <c r="P30" s="374">
        <f ca="1">AuxData2!$G$18*RES_Fuels2!$Q$4</f>
        <v>0</v>
      </c>
      <c r="Q30" s="374">
        <f>P30*$Q$4</f>
        <v>0</v>
      </c>
      <c r="R30" s="374">
        <f>Q30*$Q$4</f>
        <v>0</v>
      </c>
      <c r="S30" s="515"/>
      <c r="T30" s="374"/>
      <c r="U30" s="374"/>
    </row>
    <row r="31" spans="1:21">
      <c r="A31" s="9"/>
      <c r="B31" s="142"/>
      <c r="C31" s="460"/>
      <c r="D31" s="142"/>
      <c r="E31" s="142" t="str">
        <f ca="1">IEAData2!H18</f>
        <v>RESGEO</v>
      </c>
      <c r="F31" s="142" t="s">
        <v>451</v>
      </c>
      <c r="G31" s="143"/>
      <c r="H31" s="144"/>
      <c r="I31" s="144"/>
      <c r="J31" s="145"/>
      <c r="K31" s="145"/>
      <c r="L31" s="146"/>
      <c r="M31" s="146"/>
      <c r="N31" s="146"/>
      <c r="O31" s="375"/>
      <c r="P31" s="375"/>
      <c r="Q31" s="375"/>
      <c r="R31" s="375"/>
      <c r="S31" s="517"/>
      <c r="T31" s="375"/>
      <c r="U31" s="375"/>
    </row>
    <row r="32" spans="1:21">
      <c r="A32" s="9"/>
      <c r="B32" s="12" t="str">
        <f>CONCATENATE("FT-",E33,"0")</f>
        <v>FT-RESSOL0</v>
      </c>
      <c r="C32" s="378" t="s">
        <v>452</v>
      </c>
      <c r="D32" s="139" t="str">
        <f ca="1">IEAData2!D30</f>
        <v>SOL</v>
      </c>
      <c r="E32" s="12"/>
      <c r="F32" s="12"/>
      <c r="G32" s="139">
        <v>1</v>
      </c>
      <c r="H32" s="97"/>
      <c r="I32" s="97"/>
      <c r="J32" s="140">
        <v>1</v>
      </c>
      <c r="K32" s="140">
        <v>1</v>
      </c>
      <c r="L32" s="18"/>
      <c r="M32" s="18"/>
      <c r="N32" s="18"/>
      <c r="O32" s="374">
        <f ca="1">IEAData2!$G$19*RES_Fuels2!$Q$4</f>
        <v>0</v>
      </c>
      <c r="P32" s="374">
        <f ca="1">AuxData2!$G$19*RES_Fuels2!$Q$4</f>
        <v>0</v>
      </c>
      <c r="Q32" s="374">
        <f>P32*$Q$4</f>
        <v>0</v>
      </c>
      <c r="R32" s="374">
        <f>Q32*$Q$4</f>
        <v>0</v>
      </c>
      <c r="S32" s="515"/>
      <c r="T32" s="374"/>
      <c r="U32" s="374"/>
    </row>
    <row r="33" spans="1:23">
      <c r="A33" s="9"/>
      <c r="B33" s="142"/>
      <c r="C33" s="460"/>
      <c r="D33" s="142"/>
      <c r="E33" s="142" t="str">
        <f ca="1">IEAData2!H19</f>
        <v>RESSOL</v>
      </c>
      <c r="F33" s="142" t="s">
        <v>453</v>
      </c>
      <c r="G33" s="143"/>
      <c r="H33" s="144"/>
      <c r="I33" s="144"/>
      <c r="J33" s="145"/>
      <c r="K33" s="145"/>
      <c r="L33" s="146"/>
      <c r="M33" s="146"/>
      <c r="N33" s="146"/>
      <c r="O33" s="375"/>
      <c r="P33" s="375"/>
      <c r="Q33" s="375"/>
      <c r="R33" s="375"/>
      <c r="S33" s="517"/>
      <c r="T33" s="375"/>
      <c r="U33" s="375"/>
    </row>
    <row r="34" spans="1:23">
      <c r="A34" s="9"/>
      <c r="B34" s="22"/>
      <c r="C34" s="74"/>
      <c r="D34" s="22"/>
      <c r="E34" s="22"/>
      <c r="F34" s="22"/>
      <c r="G34" s="23"/>
      <c r="H34" s="19"/>
      <c r="J34" s="19"/>
      <c r="K34" s="137"/>
    </row>
    <row r="35" spans="1:23">
      <c r="A35" s="9"/>
      <c r="B35" s="22"/>
      <c r="C35" s="74"/>
      <c r="D35" s="22"/>
      <c r="E35" s="22"/>
      <c r="F35" s="22"/>
      <c r="G35" s="23"/>
      <c r="H35" s="19"/>
      <c r="I35" s="19"/>
      <c r="J35" s="137"/>
    </row>
    <row r="36" spans="1:23">
      <c r="F36" s="245"/>
    </row>
    <row r="37" spans="1:23" ht="18">
      <c r="A37" s="9"/>
      <c r="B37" s="253" t="s">
        <v>590</v>
      </c>
      <c r="C37" s="136"/>
      <c r="D37" s="136"/>
      <c r="E37" s="136"/>
      <c r="F37" s="136"/>
      <c r="G37" s="252" t="str">
        <f>"~FI_T: "&amp;Region</f>
        <v>~FI_T: FIM</v>
      </c>
    </row>
    <row r="38" spans="1:23" ht="26.25" thickBot="1">
      <c r="A38" s="9"/>
      <c r="B38" s="52" t="s">
        <v>57</v>
      </c>
      <c r="C38" s="52" t="s">
        <v>58</v>
      </c>
      <c r="D38" s="52" t="s">
        <v>56</v>
      </c>
      <c r="E38" s="52" t="s">
        <v>59</v>
      </c>
      <c r="F38" s="52" t="s">
        <v>385</v>
      </c>
      <c r="G38" s="52" t="s">
        <v>741</v>
      </c>
      <c r="H38" s="52" t="s">
        <v>661</v>
      </c>
      <c r="I38" s="52" t="s">
        <v>861</v>
      </c>
      <c r="J38" s="52" t="s">
        <v>534</v>
      </c>
      <c r="K38" s="52" t="s">
        <v>956</v>
      </c>
      <c r="L38" s="52" t="s">
        <v>536</v>
      </c>
      <c r="M38" s="52" t="s">
        <v>537</v>
      </c>
      <c r="N38" s="52" t="s">
        <v>88</v>
      </c>
      <c r="O38" s="52" t="s">
        <v>538</v>
      </c>
      <c r="P38" s="52" t="s">
        <v>875</v>
      </c>
      <c r="Q38" s="52" t="str">
        <f ca="1">P38&amp;"~"&amp;AuxYear</f>
        <v>FLO_EMIS~RH1~2017</v>
      </c>
      <c r="R38" s="52" t="s">
        <v>876</v>
      </c>
      <c r="S38" s="52" t="str">
        <f ca="1">R38&amp;"~"&amp;AuxYear</f>
        <v>FLO_EMIS~RH2~2017</v>
      </c>
    </row>
    <row r="39" spans="1:23">
      <c r="A39" s="13"/>
      <c r="B39" s="12" t="str">
        <f>CONCATENATE("FT-",E40,"0")</f>
        <v>FT-RESELC0</v>
      </c>
      <c r="C39" s="25" t="s">
        <v>41</v>
      </c>
      <c r="D39" s="339" t="s">
        <v>392</v>
      </c>
      <c r="E39" s="12"/>
      <c r="F39" s="12"/>
      <c r="G39" s="148"/>
      <c r="H39" s="148">
        <v>31.536000000000001</v>
      </c>
      <c r="I39" s="40">
        <v>1</v>
      </c>
      <c r="J39" s="97"/>
      <c r="K39" s="346">
        <v>0</v>
      </c>
      <c r="L39" s="18"/>
      <c r="M39" s="18"/>
      <c r="N39" s="18"/>
      <c r="O39" s="18"/>
      <c r="P39" s="140"/>
      <c r="Q39" s="140"/>
      <c r="R39" s="140"/>
      <c r="S39" s="140"/>
    </row>
    <row r="40" spans="1:23">
      <c r="A40" s="9"/>
      <c r="B40" s="142"/>
      <c r="C40" s="141"/>
      <c r="D40" s="157"/>
      <c r="E40" s="142" t="str">
        <f ca="1">IEAData2!H16</f>
        <v>RESELC</v>
      </c>
      <c r="F40" s="142" t="s">
        <v>42</v>
      </c>
      <c r="G40" s="157"/>
      <c r="H40" s="157"/>
      <c r="I40" s="340"/>
      <c r="J40" s="144"/>
      <c r="K40" s="145"/>
      <c r="L40" s="146"/>
      <c r="M40" s="146"/>
      <c r="N40" s="146"/>
      <c r="O40" s="146"/>
      <c r="P40" s="145"/>
      <c r="Q40" s="145"/>
      <c r="R40" s="145"/>
      <c r="S40" s="145"/>
    </row>
    <row r="41" spans="1:23">
      <c r="A41" s="9"/>
      <c r="B41" s="12" t="s">
        <v>859</v>
      </c>
      <c r="C41" s="25" t="s">
        <v>937</v>
      </c>
      <c r="D41" s="139" t="str">
        <f>E40</f>
        <v>RESELC</v>
      </c>
      <c r="E41" s="12"/>
      <c r="F41" s="12"/>
      <c r="G41" s="139"/>
      <c r="H41" s="139"/>
      <c r="I41" s="40"/>
      <c r="J41" s="97">
        <v>1</v>
      </c>
      <c r="K41" s="140"/>
      <c r="L41" s="18"/>
      <c r="M41" s="18"/>
      <c r="N41" s="18"/>
      <c r="O41" s="18"/>
      <c r="P41" s="140"/>
      <c r="Q41" s="140"/>
      <c r="R41" s="140"/>
      <c r="S41" s="140"/>
    </row>
    <row r="42" spans="1:23">
      <c r="A42" s="9"/>
      <c r="B42" s="12"/>
      <c r="C42" s="25"/>
      <c r="D42" s="139" t="s">
        <v>253</v>
      </c>
      <c r="E42" s="12" t="s">
        <v>835</v>
      </c>
      <c r="F42" s="12"/>
      <c r="G42" s="139"/>
      <c r="H42" s="139"/>
      <c r="I42" s="40"/>
      <c r="J42" s="97"/>
      <c r="K42" s="140"/>
      <c r="L42" s="18"/>
      <c r="M42" s="18"/>
      <c r="N42" s="18"/>
      <c r="O42" s="18"/>
      <c r="P42" s="140"/>
      <c r="Q42" s="140"/>
      <c r="R42" s="140"/>
      <c r="S42" s="140"/>
      <c r="U42" s="447" t="s">
        <v>879</v>
      </c>
      <c r="V42" s="448" t="s">
        <v>247</v>
      </c>
      <c r="W42" s="448"/>
    </row>
    <row r="43" spans="1:23">
      <c r="B43" s="12"/>
      <c r="C43" s="25"/>
      <c r="D43" s="139" t="s">
        <v>252</v>
      </c>
      <c r="E43" s="12" t="s">
        <v>836</v>
      </c>
      <c r="F43" s="12"/>
      <c r="G43" s="12" t="s">
        <v>836</v>
      </c>
      <c r="H43" s="139"/>
      <c r="I43" s="40"/>
      <c r="J43" s="97"/>
      <c r="K43" s="140"/>
      <c r="L43" s="18"/>
      <c r="M43" s="18"/>
      <c r="N43" s="18"/>
      <c r="O43" s="18"/>
      <c r="P43" s="140">
        <f ca="1">-U43/(1+'RHT2'!$H$35/'RHT2'!$H$21)</f>
        <v>-0.12879770000576649</v>
      </c>
      <c r="Q43" s="140">
        <f ca="1">-U43/(1+'RHT2'!$K$35/'RHT2'!$K$21)</f>
        <v>-0.12752342347014722</v>
      </c>
      <c r="R43" s="140">
        <f ca="1">-U43-P43</f>
        <v>-0.47120229999423346</v>
      </c>
      <c r="S43" s="140">
        <f ca="1">-U43-Q43</f>
        <v>-0.47247657652985275</v>
      </c>
      <c r="U43" s="446">
        <f ca="1">CalibData2!N133</f>
        <v>0.6</v>
      </c>
      <c r="V43" s="443">
        <f ca="1">IEAData2!$L$88</f>
        <v>1.8066993148817589</v>
      </c>
      <c r="W43" s="443">
        <f ca="1">AuxData2!$L$88</f>
        <v>1.4790787250129931</v>
      </c>
    </row>
    <row r="44" spans="1:23">
      <c r="B44" s="12"/>
      <c r="C44" s="25"/>
      <c r="D44" s="139"/>
      <c r="E44" s="12" t="s">
        <v>837</v>
      </c>
      <c r="F44" s="12"/>
      <c r="G44" s="12" t="s">
        <v>837</v>
      </c>
      <c r="H44" s="139"/>
      <c r="I44" s="40"/>
      <c r="J44" s="97"/>
      <c r="K44" s="140"/>
      <c r="L44" s="18"/>
      <c r="M44" s="18"/>
      <c r="N44" s="18"/>
      <c r="O44" s="18"/>
      <c r="P44" s="140">
        <f ca="1">-U44/(1+'RHT2'!$H$35/'RHT2'!$H$21)</f>
        <v>-8.5865133337177671E-2</v>
      </c>
      <c r="Q44" s="140">
        <f ca="1">-U44/(1+'RHT2'!$K$35/'RHT2'!$K$21)</f>
        <v>-8.5015615646764839E-2</v>
      </c>
      <c r="R44" s="140">
        <f ca="1">-U44-P44</f>
        <v>-0.31413486666282237</v>
      </c>
      <c r="S44" s="140">
        <f ca="1">-U44-Q44</f>
        <v>-0.31498438435323517</v>
      </c>
      <c r="U44" s="446">
        <f ca="1">CalibData2!N134</f>
        <v>0.4</v>
      </c>
      <c r="V44" s="443">
        <f ca="1">IEAData2!$E$88</f>
        <v>1.0518978430735593</v>
      </c>
      <c r="W44" s="443">
        <f ca="1">AuxData2!$E$88</f>
        <v>1.1261702254354671</v>
      </c>
    </row>
    <row r="45" spans="1:23">
      <c r="B45" s="12"/>
      <c r="C45" s="25"/>
      <c r="D45" s="139"/>
      <c r="E45" s="12" t="s">
        <v>838</v>
      </c>
      <c r="F45" s="12"/>
      <c r="G45" s="12" t="s">
        <v>838</v>
      </c>
      <c r="H45" s="139"/>
      <c r="I45" s="40"/>
      <c r="J45" s="97"/>
      <c r="K45" s="140"/>
      <c r="L45" s="18"/>
      <c r="M45" s="18"/>
      <c r="N45" s="18"/>
      <c r="O45" s="18"/>
      <c r="P45" s="140">
        <f ca="1">-U45/(1+'RHT2'!$H$35/'RHT2'!$H$21)</f>
        <v>-5.3665708335736043E-2</v>
      </c>
      <c r="Q45" s="140">
        <f ca="1">-U45/(1+'RHT2'!$K$35/'RHT2'!$K$21)</f>
        <v>-5.3134759779228019E-2</v>
      </c>
      <c r="R45" s="140">
        <f ca="1">-U45-P45</f>
        <v>-0.19633429166426397</v>
      </c>
      <c r="S45" s="140">
        <f ca="1">-U45-Q45</f>
        <v>-0.19686524022077198</v>
      </c>
      <c r="U45" s="446">
        <f ca="1">CalibData2!N135</f>
        <v>0.25</v>
      </c>
      <c r="V45" s="443">
        <f ca="1">SUM(IEAData2!F88:K88)</f>
        <v>4.9398564230633397</v>
      </c>
      <c r="W45" s="443">
        <f ca="1">SUM(AuxData2!F88:K88)</f>
        <v>5.5891938451996985</v>
      </c>
    </row>
    <row r="46" spans="1:23">
      <c r="A46" s="9"/>
      <c r="B46" s="12"/>
      <c r="C46" s="25"/>
      <c r="D46" s="139"/>
      <c r="E46" s="12" t="s">
        <v>839</v>
      </c>
      <c r="F46" s="12" t="s">
        <v>853</v>
      </c>
      <c r="G46" s="139"/>
      <c r="H46" s="139"/>
      <c r="I46" s="40"/>
      <c r="J46" s="97"/>
      <c r="K46" s="140"/>
      <c r="L46" s="18"/>
      <c r="M46" s="18"/>
      <c r="N46" s="18"/>
      <c r="O46" s="18"/>
      <c r="P46" s="140"/>
      <c r="Q46" s="140"/>
      <c r="R46" s="140"/>
      <c r="S46" s="140"/>
      <c r="U46" s="436"/>
      <c r="V46" s="436"/>
      <c r="W46" s="436"/>
    </row>
    <row r="47" spans="1:23">
      <c r="A47" s="9"/>
      <c r="B47" s="12"/>
      <c r="C47" s="25"/>
      <c r="D47" s="139"/>
      <c r="E47" s="12" t="s">
        <v>926</v>
      </c>
      <c r="F47" s="12" t="s">
        <v>955</v>
      </c>
      <c r="G47" s="139"/>
      <c r="H47" s="139"/>
      <c r="I47" s="40"/>
      <c r="J47" s="97"/>
      <c r="K47" s="140"/>
      <c r="L47" s="18"/>
      <c r="M47" s="18"/>
      <c r="N47" s="18"/>
      <c r="O47" s="18"/>
      <c r="P47" s="140"/>
      <c r="Q47" s="140"/>
      <c r="R47" s="140"/>
      <c r="S47" s="140"/>
      <c r="U47" s="444" t="s">
        <v>253</v>
      </c>
      <c r="V47" s="443">
        <f ca="1">-SUMPRODUCT(P43:P45,V43:V45)</f>
        <v>0.58812095893189487</v>
      </c>
      <c r="W47" s="443">
        <f ca="1">-SUMPRODUCT(Q43:Q45,W43:W45)</f>
        <v>0.58133970995819528</v>
      </c>
    </row>
    <row r="48" spans="1:23">
      <c r="A48" s="9"/>
      <c r="B48" s="12"/>
      <c r="C48" s="25"/>
      <c r="D48" s="139"/>
      <c r="E48" s="12" t="s">
        <v>840</v>
      </c>
      <c r="F48" s="12" t="s">
        <v>854</v>
      </c>
      <c r="G48" s="139"/>
      <c r="H48" s="139"/>
      <c r="I48" s="40"/>
      <c r="J48" s="97"/>
      <c r="K48" s="140"/>
      <c r="L48" s="18"/>
      <c r="M48" s="18"/>
      <c r="N48" s="18"/>
      <c r="O48" s="18"/>
      <c r="P48" s="140"/>
      <c r="Q48" s="140"/>
      <c r="R48" s="140"/>
      <c r="S48" s="140"/>
      <c r="U48" s="444" t="s">
        <v>252</v>
      </c>
      <c r="V48" s="443">
        <f ca="1">-SUMPRODUCT(R43:R45,V43:V45)</f>
        <v>2.1516218729924192</v>
      </c>
      <c r="W48" s="443">
        <f ca="1">-SUMPRODUCT(S43:S45,W43:W45)</f>
        <v>2.1538740765237119</v>
      </c>
    </row>
    <row r="49" spans="1:25">
      <c r="A49" s="9"/>
      <c r="B49" s="12"/>
      <c r="C49" s="25"/>
      <c r="D49" s="139"/>
      <c r="E49" s="12" t="s">
        <v>951</v>
      </c>
      <c r="F49" s="12" t="s">
        <v>954</v>
      </c>
      <c r="G49" s="139"/>
      <c r="H49" s="139"/>
      <c r="I49" s="40"/>
      <c r="J49" s="97"/>
      <c r="K49" s="140"/>
      <c r="L49" s="18"/>
      <c r="M49" s="18"/>
      <c r="N49" s="18"/>
      <c r="O49" s="18"/>
      <c r="P49" s="140"/>
      <c r="Q49" s="140"/>
      <c r="R49" s="140"/>
      <c r="S49" s="140"/>
    </row>
    <row r="50" spans="1:25">
      <c r="A50" s="9"/>
      <c r="B50" s="12"/>
      <c r="C50" s="25"/>
      <c r="D50" s="139"/>
      <c r="E50" s="12" t="s">
        <v>841</v>
      </c>
      <c r="F50" s="12" t="s">
        <v>855</v>
      </c>
      <c r="G50" s="139"/>
      <c r="H50" s="139"/>
      <c r="I50" s="40"/>
      <c r="J50" s="97"/>
      <c r="K50" s="140"/>
      <c r="L50" s="18"/>
      <c r="M50" s="18"/>
      <c r="N50" s="18"/>
      <c r="O50" s="18"/>
      <c r="P50" s="140"/>
      <c r="Q50" s="140"/>
      <c r="R50" s="140"/>
      <c r="S50" s="140"/>
    </row>
    <row r="51" spans="1:25">
      <c r="A51" s="9"/>
      <c r="B51" s="22"/>
      <c r="C51" s="74"/>
      <c r="D51" s="22"/>
      <c r="E51" s="22"/>
      <c r="F51" s="22"/>
      <c r="G51" s="23"/>
      <c r="H51" s="19"/>
      <c r="I51" s="19"/>
      <c r="J51" s="137"/>
    </row>
    <row r="52" spans="1:25">
      <c r="A52" s="9"/>
      <c r="B52" s="22"/>
      <c r="C52" s="74"/>
      <c r="D52" s="22"/>
      <c r="E52" s="159"/>
      <c r="F52" s="159"/>
      <c r="G52" s="23"/>
      <c r="H52" s="19"/>
      <c r="I52" s="19"/>
      <c r="J52" s="137"/>
    </row>
    <row r="53" spans="1:25">
      <c r="A53" s="9"/>
      <c r="F53" s="245"/>
      <c r="G53" s="23"/>
      <c r="H53" s="19"/>
      <c r="I53" s="19"/>
      <c r="J53" s="137"/>
    </row>
    <row r="54" spans="1:25" ht="18">
      <c r="A54" s="9"/>
      <c r="B54" s="277" t="s">
        <v>6</v>
      </c>
      <c r="C54" s="136"/>
      <c r="D54" s="136"/>
      <c r="E54" s="253"/>
      <c r="G54" s="252" t="str">
        <f>"~FI_T: "&amp;Region&amp;"~EUR10"</f>
        <v>~FI_T: FIM~EUR10</v>
      </c>
    </row>
    <row r="55" spans="1:25" ht="26.25" thickBot="1">
      <c r="A55" s="9"/>
      <c r="B55" s="52" t="s">
        <v>57</v>
      </c>
      <c r="C55" s="52" t="s">
        <v>58</v>
      </c>
      <c r="D55" s="52" t="s">
        <v>56</v>
      </c>
      <c r="E55" s="52" t="s">
        <v>59</v>
      </c>
      <c r="F55" s="52" t="s">
        <v>385</v>
      </c>
      <c r="G55" s="52" t="s">
        <v>741</v>
      </c>
      <c r="H55" s="52" t="s">
        <v>661</v>
      </c>
      <c r="I55" s="52" t="s">
        <v>539</v>
      </c>
      <c r="J55" s="52" t="s">
        <v>662</v>
      </c>
      <c r="K55" s="52" t="s">
        <v>536</v>
      </c>
      <c r="L55" s="52" t="s">
        <v>537</v>
      </c>
      <c r="M55" s="52" t="s">
        <v>538</v>
      </c>
      <c r="N55" s="52" t="s">
        <v>802</v>
      </c>
      <c r="O55" s="52" t="str">
        <f ca="1">"ACT_BND~UP~"&amp;AuxYear</f>
        <v>ACT_BND~UP~2017</v>
      </c>
      <c r="P55" s="52" t="s">
        <v>927</v>
      </c>
      <c r="Q55" s="52" t="s">
        <v>918</v>
      </c>
      <c r="R55" s="52" t="s">
        <v>88</v>
      </c>
      <c r="S55" s="52" t="s">
        <v>541</v>
      </c>
      <c r="T55" s="52" t="str">
        <f ca="1">"RESID~"&amp;AuxYear</f>
        <v>RESID~2017</v>
      </c>
      <c r="U55" s="52" t="str">
        <f ca="1">"RESID~"&amp;AuxYear+20</f>
        <v>RESID~2037</v>
      </c>
      <c r="V55" s="52" t="str">
        <f>"RESID~"&amp;2050</f>
        <v>RESID~2050</v>
      </c>
      <c r="W55" s="52" t="s">
        <v>949</v>
      </c>
      <c r="X55" s="52" t="s">
        <v>1094</v>
      </c>
      <c r="Y55" s="52" t="s">
        <v>1071</v>
      </c>
    </row>
    <row r="56" spans="1:25">
      <c r="A56" s="9"/>
      <c r="B56" s="12" t="str">
        <f>CONCATENATE("FT-",E56,"0")</f>
        <v>FT-RESHET0</v>
      </c>
      <c r="C56" s="25" t="s">
        <v>156</v>
      </c>
      <c r="D56" s="139" t="str">
        <f ca="1">IEAData2!D28</f>
        <v>HET</v>
      </c>
      <c r="E56" s="12" t="s">
        <v>421</v>
      </c>
      <c r="F56" s="12" t="s">
        <v>157</v>
      </c>
      <c r="G56" s="12"/>
      <c r="H56" s="148">
        <f>8.76*3.6</f>
        <v>31.536000000000001</v>
      </c>
      <c r="I56" s="368">
        <v>1</v>
      </c>
      <c r="J56" s="346"/>
      <c r="K56" s="18"/>
      <c r="L56" s="358">
        <v>8</v>
      </c>
      <c r="M56" s="374">
        <v>250</v>
      </c>
      <c r="N56" s="374">
        <f ca="1">IEAData2!$G$17*RES_Fuels2!$Q$4</f>
        <v>25.476821999999999</v>
      </c>
      <c r="O56" s="374">
        <f ca="1">AuxData2!$G$17*RES_Fuels2!$Q$4</f>
        <v>23.957640000000001</v>
      </c>
      <c r="P56" s="374">
        <f>N56*1.4</f>
        <v>35.667550799999994</v>
      </c>
      <c r="Q56" s="374">
        <v>1</v>
      </c>
      <c r="R56" s="374">
        <v>40</v>
      </c>
      <c r="S56" s="368">
        <f>N56*1.01/H56</f>
        <v>0.81594337328767108</v>
      </c>
      <c r="T56" s="368">
        <f>O56*1.01/H56</f>
        <v>0.76728869863013704</v>
      </c>
      <c r="U56" s="368">
        <f>T56*0.77</f>
        <v>0.59081229794520551</v>
      </c>
      <c r="V56" s="368">
        <f>U56*0.77</f>
        <v>0.45492546941780826</v>
      </c>
      <c r="W56" s="374">
        <v>1</v>
      </c>
      <c r="X56" s="374"/>
      <c r="Y56" s="374"/>
    </row>
    <row r="57" spans="1:25">
      <c r="A57" s="9"/>
      <c r="B57" s="546" t="s">
        <v>1123</v>
      </c>
      <c r="C57" s="547" t="s">
        <v>1121</v>
      </c>
      <c r="D57" s="548" t="s">
        <v>253</v>
      </c>
      <c r="E57" s="546" t="s">
        <v>1115</v>
      </c>
      <c r="F57" s="546"/>
      <c r="G57" s="546"/>
      <c r="H57" s="549"/>
      <c r="I57" s="550">
        <v>1</v>
      </c>
      <c r="J57" s="551"/>
      <c r="K57" s="552"/>
      <c r="L57" s="304"/>
      <c r="M57" s="553"/>
      <c r="N57" s="553"/>
      <c r="O57" s="553"/>
      <c r="P57" s="553"/>
      <c r="Q57" s="553"/>
      <c r="R57" s="553"/>
      <c r="S57" s="550"/>
      <c r="T57" s="550"/>
      <c r="U57" s="550"/>
      <c r="V57" s="550"/>
      <c r="W57" s="553"/>
      <c r="X57" s="553"/>
      <c r="Y57" s="553"/>
    </row>
    <row r="58" spans="1:25">
      <c r="A58" s="9"/>
      <c r="B58" s="142" t="s">
        <v>1124</v>
      </c>
      <c r="C58" s="141" t="s">
        <v>1122</v>
      </c>
      <c r="D58" s="157" t="s">
        <v>252</v>
      </c>
      <c r="E58" s="142" t="s">
        <v>1116</v>
      </c>
      <c r="F58" s="142"/>
      <c r="G58" s="142"/>
      <c r="H58" s="143"/>
      <c r="I58" s="535">
        <v>1</v>
      </c>
      <c r="J58" s="347"/>
      <c r="K58" s="146"/>
      <c r="L58" s="501"/>
      <c r="M58" s="545"/>
      <c r="N58" s="545"/>
      <c r="O58" s="545"/>
      <c r="P58" s="545"/>
      <c r="Q58" s="545"/>
      <c r="R58" s="545"/>
      <c r="S58" s="535"/>
      <c r="T58" s="535"/>
      <c r="U58" s="535"/>
      <c r="V58" s="535"/>
      <c r="W58" s="545"/>
      <c r="X58" s="545"/>
      <c r="Y58" s="545"/>
    </row>
    <row r="59" spans="1:25">
      <c r="A59" s="9"/>
      <c r="B59" s="12" t="str">
        <f>CONCATENATE("RES",D59,"000")</f>
        <v>RESRW1000</v>
      </c>
      <c r="C59" s="25" t="s">
        <v>910</v>
      </c>
      <c r="D59" s="139" t="s">
        <v>909</v>
      </c>
      <c r="E59" s="12" t="s">
        <v>1132</v>
      </c>
      <c r="F59" s="12" t="s">
        <v>912</v>
      </c>
      <c r="G59" s="369" t="s">
        <v>1128</v>
      </c>
      <c r="H59" s="148">
        <v>1</v>
      </c>
      <c r="I59" s="368">
        <v>1</v>
      </c>
      <c r="J59" s="346">
        <v>1</v>
      </c>
      <c r="K59" s="18"/>
      <c r="L59" s="18"/>
      <c r="M59" s="139"/>
      <c r="N59" s="391">
        <f ca="1">'RHW2'!J$18*'RHW2'!H$40*1.01</f>
        <v>1.4546879731091273</v>
      </c>
      <c r="O59" s="391">
        <f ca="1">'RHW2'!K$18*'RHW2'!I$40*1.01</f>
        <v>1.4546879731091273</v>
      </c>
      <c r="P59" s="374"/>
      <c r="Q59" s="374">
        <v>1</v>
      </c>
      <c r="R59" s="374">
        <v>1</v>
      </c>
      <c r="S59" s="139"/>
      <c r="T59" s="139"/>
      <c r="U59" s="139"/>
      <c r="V59" s="139"/>
      <c r="W59" s="139"/>
      <c r="X59" s="97">
        <f ca="1">'RHT2'!G47*Y60</f>
        <v>0.81633098936833026</v>
      </c>
      <c r="Y59" s="383"/>
    </row>
    <row r="60" spans="1:25">
      <c r="A60" s="9"/>
      <c r="B60" s="142"/>
      <c r="C60" s="141"/>
      <c r="D60" s="157"/>
      <c r="E60" s="142" t="s">
        <v>1128</v>
      </c>
      <c r="F60" s="142"/>
      <c r="G60" s="375" t="s">
        <v>1090</v>
      </c>
      <c r="H60" s="143"/>
      <c r="I60" s="535"/>
      <c r="J60" s="347"/>
      <c r="K60" s="146"/>
      <c r="L60" s="146"/>
      <c r="M60" s="157"/>
      <c r="N60" s="559"/>
      <c r="O60" s="559"/>
      <c r="P60" s="545"/>
      <c r="Q60" s="545"/>
      <c r="R60" s="545"/>
      <c r="S60" s="157"/>
      <c r="T60" s="157"/>
      <c r="U60" s="157"/>
      <c r="V60" s="157"/>
      <c r="W60" s="157"/>
      <c r="X60" s="534"/>
      <c r="Y60" s="144">
        <f ca="1">1/'RHW2'!L18*0.25</f>
        <v>0.17357674268821224</v>
      </c>
    </row>
    <row r="61" spans="1:25">
      <c r="A61" s="9"/>
      <c r="B61" s="12" t="str">
        <f>CONCATENATE("RES",D61,"000")</f>
        <v>RESRW2000</v>
      </c>
      <c r="C61" s="25" t="s">
        <v>911</v>
      </c>
      <c r="D61" s="139" t="s">
        <v>906</v>
      </c>
      <c r="E61" s="12" t="s">
        <v>1132</v>
      </c>
      <c r="F61" s="12" t="s">
        <v>912</v>
      </c>
      <c r="G61" s="369" t="s">
        <v>1129</v>
      </c>
      <c r="H61" s="148">
        <v>1</v>
      </c>
      <c r="I61" s="368">
        <v>1</v>
      </c>
      <c r="J61" s="346">
        <v>1</v>
      </c>
      <c r="K61" s="18"/>
      <c r="L61" s="18"/>
      <c r="M61" s="139"/>
      <c r="N61" s="391">
        <f ca="1">'RHW2'!J$30*'RHW2'!H41*1.01</f>
        <v>5.2102177414259829</v>
      </c>
      <c r="O61" s="391">
        <f ca="1">'RHW2'!K$30*'RHW2'!I41*1.01</f>
        <v>5.2102177414259829</v>
      </c>
      <c r="P61" s="374"/>
      <c r="Q61" s="374">
        <v>1</v>
      </c>
      <c r="R61" s="374">
        <v>1</v>
      </c>
      <c r="S61" s="139"/>
      <c r="T61" s="139"/>
      <c r="U61" s="139"/>
      <c r="V61" s="139"/>
      <c r="W61" s="139"/>
      <c r="X61" s="97">
        <f ca="1">'RHT2'!G48*Y62</f>
        <v>0.84444346260710212</v>
      </c>
      <c r="Y61" s="383"/>
    </row>
    <row r="62" spans="1:25">
      <c r="A62" s="9"/>
      <c r="B62" s="142"/>
      <c r="C62" s="141"/>
      <c r="D62" s="157"/>
      <c r="E62" s="142" t="s">
        <v>1129</v>
      </c>
      <c r="F62" s="142"/>
      <c r="G62" s="375" t="s">
        <v>1090</v>
      </c>
      <c r="H62" s="143"/>
      <c r="I62" s="535"/>
      <c r="J62" s="347"/>
      <c r="K62" s="146"/>
      <c r="L62" s="146"/>
      <c r="M62" s="157"/>
      <c r="N62" s="559"/>
      <c r="O62" s="559"/>
      <c r="P62" s="545"/>
      <c r="Q62" s="545"/>
      <c r="R62" s="545"/>
      <c r="S62" s="157"/>
      <c r="T62" s="157"/>
      <c r="U62" s="157"/>
      <c r="V62" s="157"/>
      <c r="W62" s="157"/>
      <c r="X62" s="144"/>
      <c r="Y62" s="144">
        <f ca="1">1/'RHW2'!L30*0.25</f>
        <v>4.8462465971891099E-2</v>
      </c>
    </row>
    <row r="63" spans="1:25">
      <c r="F63" s="245"/>
    </row>
    <row r="64" spans="1:25">
      <c r="F64" s="245"/>
    </row>
    <row r="65" spans="2:20">
      <c r="F65" s="245"/>
      <c r="G65" s="23"/>
      <c r="H65" s="19"/>
      <c r="I65" s="19"/>
      <c r="J65" s="137"/>
    </row>
    <row r="66" spans="2:20" ht="18">
      <c r="B66" s="253" t="s">
        <v>679</v>
      </c>
      <c r="C66" s="131"/>
      <c r="D66" s="131"/>
      <c r="E66" s="131"/>
      <c r="F66" s="252" t="str">
        <f>"~FI_T: "&amp;Region&amp;"~EUR10"</f>
        <v>~FI_T: FIM~EUR10</v>
      </c>
    </row>
    <row r="67" spans="2:20" ht="26.25" thickBot="1">
      <c r="B67" s="52" t="s">
        <v>57</v>
      </c>
      <c r="C67" s="52" t="s">
        <v>58</v>
      </c>
      <c r="D67" s="52" t="s">
        <v>56</v>
      </c>
      <c r="E67" s="52" t="s">
        <v>59</v>
      </c>
      <c r="F67" s="52" t="s">
        <v>385</v>
      </c>
      <c r="G67" s="52" t="s">
        <v>661</v>
      </c>
      <c r="H67" s="52" t="s">
        <v>805</v>
      </c>
      <c r="I67" s="52" t="s">
        <v>534</v>
      </c>
      <c r="J67" s="52" t="s">
        <v>535</v>
      </c>
      <c r="K67" s="52" t="s">
        <v>88</v>
      </c>
      <c r="L67" s="52" t="s">
        <v>538</v>
      </c>
      <c r="M67" s="52" t="s">
        <v>778</v>
      </c>
      <c r="N67" s="278" t="s">
        <v>378</v>
      </c>
      <c r="O67" s="278" t="s">
        <v>738</v>
      </c>
      <c r="P67" s="278" t="s">
        <v>735</v>
      </c>
      <c r="Q67" s="278" t="s">
        <v>736</v>
      </c>
      <c r="R67" s="285" t="s">
        <v>737</v>
      </c>
      <c r="S67" s="285" t="s">
        <v>533</v>
      </c>
      <c r="T67" s="285" t="str">
        <f ca="1">"ACT_BND~UP~"&amp;AuxYear</f>
        <v>ACT_BND~UP~2017</v>
      </c>
    </row>
    <row r="68" spans="2:20">
      <c r="B68" s="12" t="str">
        <f>CONCATENATE("FT-",E72,"5")</f>
        <v>FT-RESNGA5</v>
      </c>
      <c r="C68" s="404" t="s">
        <v>680</v>
      </c>
      <c r="D68" s="139" t="s">
        <v>436</v>
      </c>
      <c r="E68" s="12"/>
      <c r="F68" s="12"/>
      <c r="G68" s="139">
        <v>1</v>
      </c>
      <c r="H68" s="97">
        <f ca="1">IF(AuxData2!$G$9&lt;=0,1,AuxData2!C9/AuxData2!$G$9)</f>
        <v>1</v>
      </c>
      <c r="I68" s="140">
        <v>1</v>
      </c>
      <c r="J68" s="140">
        <v>1</v>
      </c>
      <c r="K68" s="18">
        <v>50</v>
      </c>
      <c r="L68" s="349">
        <f>20+20</f>
        <v>40</v>
      </c>
      <c r="M68" s="18"/>
      <c r="N68" s="40">
        <f>MAX($H$68:$H$70)</f>
        <v>1</v>
      </c>
      <c r="O68" s="140"/>
      <c r="P68" s="140"/>
      <c r="Q68" s="140"/>
      <c r="R68" s="346"/>
      <c r="S68" s="346">
        <f ca="1">BaseYear+1</f>
        <v>2011</v>
      </c>
      <c r="T68" s="346"/>
    </row>
    <row r="69" spans="2:20">
      <c r="B69" s="12"/>
      <c r="C69" s="378"/>
      <c r="D69" s="139" t="s">
        <v>440</v>
      </c>
      <c r="E69" s="12"/>
      <c r="F69" s="12"/>
      <c r="G69" s="139"/>
      <c r="H69" s="97">
        <f ca="1">IF(AuxData2!$G$9&lt;=0,0,AuxData2!C10/AuxData2!$G$9)</f>
        <v>0</v>
      </c>
      <c r="I69" s="140"/>
      <c r="J69" s="140"/>
      <c r="K69" s="18"/>
      <c r="L69" s="18"/>
      <c r="M69" s="18"/>
      <c r="N69" s="40">
        <f>MAX($H$68:$H$70)</f>
        <v>1</v>
      </c>
      <c r="O69" s="140"/>
      <c r="P69" s="140"/>
      <c r="Q69" s="140"/>
      <c r="R69" s="346"/>
      <c r="S69" s="346"/>
      <c r="T69" s="346"/>
    </row>
    <row r="70" spans="2:20">
      <c r="B70" s="12"/>
      <c r="C70" s="378"/>
      <c r="D70" s="139" t="s">
        <v>1009</v>
      </c>
      <c r="E70" s="12"/>
      <c r="F70" s="12"/>
      <c r="G70" s="139"/>
      <c r="H70" s="97">
        <f ca="1">IF(AuxData2!$G$9&lt;=0,0,AuxData2!C24/AuxData2!$G$9)</f>
        <v>0</v>
      </c>
      <c r="I70" s="140"/>
      <c r="J70" s="140"/>
      <c r="K70" s="18"/>
      <c r="L70" s="18"/>
      <c r="M70" s="18"/>
      <c r="N70" s="40">
        <f>MAX($H$68:$H$70)</f>
        <v>1</v>
      </c>
      <c r="O70" s="140"/>
      <c r="P70" s="140"/>
      <c r="Q70" s="140"/>
      <c r="R70" s="346"/>
      <c r="S70" s="346"/>
      <c r="T70" s="346"/>
    </row>
    <row r="71" spans="2:20">
      <c r="B71" s="12"/>
      <c r="C71" s="378"/>
      <c r="D71" s="139" t="s">
        <v>1218</v>
      </c>
      <c r="E71" s="12"/>
      <c r="F71" s="12"/>
      <c r="G71" s="139"/>
      <c r="H71" s="97"/>
      <c r="I71" s="140"/>
      <c r="J71" s="140"/>
      <c r="K71" s="18"/>
      <c r="L71" s="18"/>
      <c r="M71" s="18"/>
      <c r="N71" s="40">
        <v>0</v>
      </c>
      <c r="O71" s="346">
        <v>0.05</v>
      </c>
      <c r="P71" s="346">
        <v>0.12</v>
      </c>
      <c r="Q71" s="346">
        <v>0.15</v>
      </c>
      <c r="R71" s="346"/>
      <c r="S71" s="346"/>
      <c r="T71" s="346"/>
    </row>
    <row r="72" spans="2:20">
      <c r="B72" s="247"/>
      <c r="C72" s="460"/>
      <c r="D72" s="142"/>
      <c r="E72" s="142" t="s">
        <v>415</v>
      </c>
      <c r="F72" s="142" t="s">
        <v>202</v>
      </c>
      <c r="G72" s="143"/>
      <c r="H72" s="144"/>
      <c r="I72" s="145"/>
      <c r="J72" s="145"/>
      <c r="K72" s="146"/>
      <c r="L72" s="146"/>
      <c r="M72" s="146"/>
      <c r="N72" s="146"/>
      <c r="O72" s="145"/>
      <c r="P72" s="145"/>
      <c r="Q72" s="145"/>
      <c r="R72" s="347"/>
      <c r="S72" s="347"/>
      <c r="T72" s="347"/>
    </row>
    <row r="73" spans="2:20">
      <c r="B73" s="12" t="str">
        <f>CONCATENATE("FT-",E74,"5")</f>
        <v>FT-RESBGS5</v>
      </c>
      <c r="C73" s="378" t="s">
        <v>1237</v>
      </c>
      <c r="D73" s="139" t="s">
        <v>43</v>
      </c>
      <c r="E73" s="12"/>
      <c r="F73" s="12"/>
      <c r="G73" s="139"/>
      <c r="H73" s="97"/>
      <c r="I73" s="140">
        <v>1</v>
      </c>
      <c r="J73" s="140">
        <v>1</v>
      </c>
      <c r="K73" s="18"/>
      <c r="L73" s="18"/>
      <c r="M73" s="18"/>
      <c r="N73" s="18"/>
      <c r="O73" s="140"/>
      <c r="P73" s="140"/>
      <c r="Q73" s="140"/>
      <c r="R73" s="346"/>
      <c r="S73" s="346">
        <f ca="1">BaseYear</f>
        <v>2010</v>
      </c>
      <c r="T73" s="346"/>
    </row>
    <row r="74" spans="2:20">
      <c r="B74" s="142"/>
      <c r="C74" s="460"/>
      <c r="D74" s="142"/>
      <c r="E74" s="142" t="s">
        <v>1228</v>
      </c>
      <c r="F74" s="142" t="s">
        <v>1235</v>
      </c>
      <c r="G74" s="143"/>
      <c r="H74" s="144"/>
      <c r="I74" s="145"/>
      <c r="J74" s="145"/>
      <c r="K74" s="146"/>
      <c r="L74" s="146"/>
      <c r="M74" s="146"/>
      <c r="N74" s="146"/>
      <c r="O74" s="145"/>
      <c r="P74" s="145"/>
      <c r="Q74" s="145"/>
      <c r="R74" s="347"/>
      <c r="S74" s="347"/>
      <c r="T74" s="347"/>
    </row>
    <row r="75" spans="2:20">
      <c r="B75" s="12" t="str">
        <f>CONCATENATE("FT-",E77,"5")</f>
        <v>FT-RESDST5</v>
      </c>
      <c r="C75" s="378" t="s">
        <v>681</v>
      </c>
      <c r="D75" s="139" t="s">
        <v>221</v>
      </c>
      <c r="E75" s="12"/>
      <c r="F75" s="12"/>
      <c r="G75" s="139"/>
      <c r="H75" s="97">
        <f ca="1">IF(AuxData2!$G$10&lt;=0,1,AuxData2!C12/AuxData2!$G$10)</f>
        <v>1</v>
      </c>
      <c r="I75" s="140">
        <v>1</v>
      </c>
      <c r="J75" s="140">
        <v>1</v>
      </c>
      <c r="K75" s="18"/>
      <c r="L75" s="18"/>
      <c r="M75" s="18"/>
      <c r="N75" s="40"/>
      <c r="O75" s="140"/>
      <c r="P75" s="140"/>
      <c r="Q75" s="140"/>
      <c r="R75" s="346"/>
      <c r="S75" s="346">
        <f ca="1">BaseYear+1</f>
        <v>2011</v>
      </c>
      <c r="T75" s="346"/>
    </row>
    <row r="76" spans="2:20">
      <c r="B76" s="12"/>
      <c r="C76" s="378"/>
      <c r="D76" s="139" t="s">
        <v>742</v>
      </c>
      <c r="E76" s="12"/>
      <c r="F76" s="12"/>
      <c r="G76" s="148"/>
      <c r="H76" s="97">
        <f ca="1">IF(AuxData2!$G$10&lt;=0,0,AuxData2!C23/AuxData2!$G$10)</f>
        <v>0</v>
      </c>
      <c r="I76" s="140"/>
      <c r="J76" s="140"/>
      <c r="K76" s="18"/>
      <c r="L76" s="18"/>
      <c r="M76" s="18"/>
      <c r="N76" s="40">
        <v>0.1</v>
      </c>
      <c r="O76" s="346">
        <v>0.85</v>
      </c>
      <c r="P76" s="346">
        <v>0.9</v>
      </c>
      <c r="Q76" s="346">
        <v>0.95</v>
      </c>
      <c r="R76" s="346">
        <v>1</v>
      </c>
      <c r="S76" s="346"/>
      <c r="T76" s="346"/>
    </row>
    <row r="77" spans="2:20">
      <c r="B77" s="247"/>
      <c r="C77" s="460"/>
      <c r="D77" s="157"/>
      <c r="E77" s="142" t="s">
        <v>416</v>
      </c>
      <c r="F77" s="142" t="s">
        <v>204</v>
      </c>
      <c r="G77" s="143"/>
      <c r="H77" s="144"/>
      <c r="I77" s="145"/>
      <c r="J77" s="145"/>
      <c r="K77" s="146"/>
      <c r="L77" s="146"/>
      <c r="M77" s="146"/>
      <c r="N77" s="146"/>
      <c r="O77" s="347"/>
      <c r="P77" s="347"/>
      <c r="Q77" s="347"/>
      <c r="R77" s="347"/>
      <c r="S77" s="347"/>
      <c r="T77" s="347"/>
    </row>
    <row r="78" spans="2:20">
      <c r="B78" s="12" t="str">
        <f>CONCATENATE("FT-",E79,"5")</f>
        <v>FT-RESBFO5</v>
      </c>
      <c r="C78" s="378" t="s">
        <v>1241</v>
      </c>
      <c r="D78" s="139" t="s">
        <v>1248</v>
      </c>
      <c r="E78" s="12"/>
      <c r="F78" s="12"/>
      <c r="G78" s="148"/>
      <c r="H78" s="97">
        <f ca="1">IF(AuxData2!$G$11&lt;=0,1,AuxData2!C13/AuxData2!$G$11)</f>
        <v>1</v>
      </c>
      <c r="I78" s="140">
        <v>1</v>
      </c>
      <c r="J78" s="140">
        <v>1</v>
      </c>
      <c r="K78" s="18"/>
      <c r="L78" s="18"/>
      <c r="M78" s="18"/>
      <c r="N78" s="40"/>
      <c r="O78" s="346"/>
      <c r="P78" s="346"/>
      <c r="Q78" s="346"/>
      <c r="R78" s="346"/>
      <c r="S78" s="346">
        <f ca="1">BaseYear+1</f>
        <v>2011</v>
      </c>
      <c r="T78" s="346"/>
    </row>
    <row r="79" spans="2:20">
      <c r="B79" s="142"/>
      <c r="C79" s="460"/>
      <c r="D79" s="142"/>
      <c r="E79" s="142" t="s">
        <v>1239</v>
      </c>
      <c r="F79" s="142" t="s">
        <v>1240</v>
      </c>
      <c r="G79" s="143"/>
      <c r="H79" s="144"/>
      <c r="I79" s="145"/>
      <c r="J79" s="145"/>
      <c r="K79" s="146"/>
      <c r="L79" s="146"/>
      <c r="M79" s="146"/>
      <c r="N79" s="146"/>
      <c r="O79" s="347"/>
      <c r="P79" s="347"/>
      <c r="Q79" s="347"/>
      <c r="R79" s="347"/>
      <c r="S79" s="347"/>
      <c r="T79" s="347"/>
    </row>
    <row r="80" spans="2:20">
      <c r="B80" s="12" t="str">
        <f>CONCATENATE("FT-",E81,"5")</f>
        <v>FT-RESKER5</v>
      </c>
      <c r="C80" s="378" t="s">
        <v>682</v>
      </c>
      <c r="D80" s="139" t="s">
        <v>219</v>
      </c>
      <c r="E80" s="12"/>
      <c r="F80" s="12"/>
      <c r="G80" s="148"/>
      <c r="H80" s="97"/>
      <c r="I80" s="140">
        <v>1</v>
      </c>
      <c r="J80" s="140">
        <v>1</v>
      </c>
      <c r="K80" s="18"/>
      <c r="L80" s="18"/>
      <c r="M80" s="18"/>
      <c r="N80" s="18"/>
      <c r="O80" s="140"/>
      <c r="P80" s="140"/>
      <c r="Q80" s="140"/>
      <c r="R80" s="346"/>
      <c r="S80" s="346">
        <f ca="1">BaseYear+1</f>
        <v>2011</v>
      </c>
      <c r="T80" s="346"/>
    </row>
    <row r="81" spans="2:20">
      <c r="B81" s="142"/>
      <c r="C81" s="460"/>
      <c r="D81" s="142"/>
      <c r="E81" s="142" t="s">
        <v>577</v>
      </c>
      <c r="F81" s="142" t="s">
        <v>208</v>
      </c>
      <c r="G81" s="143"/>
      <c r="H81" s="144"/>
      <c r="I81" s="145"/>
      <c r="J81" s="145"/>
      <c r="K81" s="146"/>
      <c r="L81" s="146"/>
      <c r="M81" s="146"/>
      <c r="N81" s="146"/>
      <c r="O81" s="145"/>
      <c r="P81" s="145"/>
      <c r="Q81" s="145"/>
      <c r="R81" s="347"/>
      <c r="S81" s="347"/>
      <c r="T81" s="347"/>
    </row>
    <row r="82" spans="2:20">
      <c r="B82" s="12" t="str">
        <f>CONCATENATE("FT-",E83,"5")</f>
        <v>FT-RESCOP5</v>
      </c>
      <c r="C82" s="378" t="s">
        <v>1020</v>
      </c>
      <c r="D82" s="139" t="s">
        <v>438</v>
      </c>
      <c r="E82" s="12"/>
      <c r="F82" s="12"/>
      <c r="G82" s="139">
        <v>1</v>
      </c>
      <c r="H82" s="97">
        <v>1</v>
      </c>
      <c r="I82" s="140">
        <v>1</v>
      </c>
      <c r="J82" s="140">
        <v>1</v>
      </c>
      <c r="K82" s="18"/>
      <c r="L82" s="18"/>
      <c r="M82" s="18">
        <v>0.4</v>
      </c>
      <c r="N82" s="40">
        <f>MIN(1,MAX(2*H82,0.1))</f>
        <v>1</v>
      </c>
      <c r="O82" s="140"/>
      <c r="P82" s="140"/>
      <c r="Q82" s="140"/>
      <c r="R82" s="346"/>
      <c r="S82" s="346">
        <f ca="1">BaseYear+1</f>
        <v>2011</v>
      </c>
      <c r="T82" s="372">
        <f>MAX(4,P20*3)</f>
        <v>4</v>
      </c>
    </row>
    <row r="83" spans="2:20">
      <c r="B83" s="247"/>
      <c r="C83" s="460"/>
      <c r="D83" s="142"/>
      <c r="E83" s="142" t="s">
        <v>1016</v>
      </c>
      <c r="F83" s="142" t="s">
        <v>1021</v>
      </c>
      <c r="G83" s="143"/>
      <c r="H83" s="144"/>
      <c r="I83" s="145"/>
      <c r="J83" s="145"/>
      <c r="K83" s="146"/>
      <c r="L83" s="146"/>
      <c r="M83" s="146"/>
      <c r="N83" s="146"/>
      <c r="O83" s="145"/>
      <c r="P83" s="145"/>
      <c r="Q83" s="145"/>
      <c r="R83" s="347"/>
      <c r="S83" s="347"/>
      <c r="T83" s="347"/>
    </row>
    <row r="84" spans="2:20">
      <c r="B84" s="12" t="str">
        <f>CONCATENATE("FT-",E85,"5")</f>
        <v>FT-RESLPG5</v>
      </c>
      <c r="C84" s="378" t="s">
        <v>683</v>
      </c>
      <c r="D84" s="139" t="s">
        <v>110</v>
      </c>
      <c r="E84" s="12"/>
      <c r="F84" s="12"/>
      <c r="G84" s="139">
        <v>1</v>
      </c>
      <c r="H84" s="97"/>
      <c r="I84" s="140">
        <v>1</v>
      </c>
      <c r="J84" s="140">
        <v>1</v>
      </c>
      <c r="K84" s="18"/>
      <c r="L84" s="18"/>
      <c r="M84" s="18"/>
      <c r="N84" s="18"/>
      <c r="O84" s="140"/>
      <c r="P84" s="140"/>
      <c r="Q84" s="140"/>
      <c r="R84" s="346"/>
      <c r="S84" s="346">
        <f ca="1">BaseYear+1</f>
        <v>2011</v>
      </c>
      <c r="T84" s="346"/>
    </row>
    <row r="85" spans="2:20">
      <c r="B85" s="247"/>
      <c r="C85" s="460"/>
      <c r="D85" s="142"/>
      <c r="E85" s="142" t="s">
        <v>418</v>
      </c>
      <c r="F85" s="142" t="s">
        <v>211</v>
      </c>
      <c r="G85" s="143"/>
      <c r="H85" s="144"/>
      <c r="I85" s="145"/>
      <c r="J85" s="145"/>
      <c r="K85" s="146"/>
      <c r="L85" s="146"/>
      <c r="M85" s="146"/>
      <c r="N85" s="146"/>
      <c r="O85" s="145"/>
      <c r="P85" s="145"/>
      <c r="Q85" s="145"/>
      <c r="R85" s="347"/>
      <c r="S85" s="347"/>
      <c r="T85" s="347"/>
    </row>
    <row r="86" spans="2:20">
      <c r="B86" s="12" t="str">
        <f>CONCATENATE("FT-",E87,"5")</f>
        <v>FT-RESBIO5</v>
      </c>
      <c r="C86" s="378" t="s">
        <v>684</v>
      </c>
      <c r="D86" s="139" t="s">
        <v>943</v>
      </c>
      <c r="E86" s="12"/>
      <c r="F86" s="12"/>
      <c r="G86" s="139">
        <v>1</v>
      </c>
      <c r="H86" s="97">
        <f ca="1">IF(AuxData2!$G$15&lt;=0,1,AuxData2!C21/AuxData2!$G$15)</f>
        <v>1</v>
      </c>
      <c r="I86" s="140">
        <v>1</v>
      </c>
      <c r="J86" s="140">
        <v>1</v>
      </c>
      <c r="K86" s="18"/>
      <c r="L86" s="18"/>
      <c r="M86" s="292">
        <v>0.999</v>
      </c>
      <c r="N86" s="40">
        <f>MAX($H$86:$H$86)</f>
        <v>1</v>
      </c>
      <c r="O86" s="140"/>
      <c r="P86" s="140"/>
      <c r="Q86" s="140"/>
      <c r="R86" s="346"/>
      <c r="S86" s="346">
        <f ca="1">BaseYear</f>
        <v>2010</v>
      </c>
      <c r="T86" s="346"/>
    </row>
    <row r="87" spans="2:20">
      <c r="B87" s="247"/>
      <c r="C87" s="460"/>
      <c r="D87" s="142"/>
      <c r="E87" s="142" t="s">
        <v>419</v>
      </c>
      <c r="F87" s="142" t="s">
        <v>449</v>
      </c>
      <c r="G87" s="143"/>
      <c r="H87" s="144"/>
      <c r="I87" s="145"/>
      <c r="J87" s="145"/>
      <c r="K87" s="146"/>
      <c r="L87" s="146"/>
      <c r="M87" s="146"/>
      <c r="N87" s="146"/>
      <c r="O87" s="145"/>
      <c r="P87" s="145"/>
      <c r="Q87" s="145"/>
      <c r="R87" s="347"/>
      <c r="S87" s="347"/>
      <c r="T87" s="347"/>
    </row>
    <row r="88" spans="2:20">
      <c r="B88" s="12" t="str">
        <f>CONCATENATE("FT-",E89,"5")</f>
        <v>FT-RESBPL5</v>
      </c>
      <c r="C88" s="378" t="s">
        <v>936</v>
      </c>
      <c r="D88" s="36" t="s">
        <v>929</v>
      </c>
      <c r="E88" s="36"/>
      <c r="F88" s="36"/>
      <c r="G88" s="353"/>
      <c r="H88" s="354"/>
      <c r="I88" s="355">
        <v>1</v>
      </c>
      <c r="J88" s="355"/>
      <c r="K88" s="81"/>
      <c r="L88" s="81"/>
      <c r="M88" s="81"/>
      <c r="N88" s="81"/>
      <c r="O88" s="355"/>
      <c r="P88" s="355"/>
      <c r="Q88" s="355"/>
      <c r="R88" s="346"/>
      <c r="S88" s="346">
        <f ca="1">BaseYear</f>
        <v>2010</v>
      </c>
      <c r="T88" s="346"/>
    </row>
    <row r="89" spans="2:20">
      <c r="B89" s="247"/>
      <c r="C89" s="460"/>
      <c r="D89" s="142"/>
      <c r="E89" s="142" t="s">
        <v>931</v>
      </c>
      <c r="F89" s="142" t="s">
        <v>934</v>
      </c>
      <c r="G89" s="143"/>
      <c r="H89" s="144"/>
      <c r="I89" s="145"/>
      <c r="J89" s="145"/>
      <c r="K89" s="146"/>
      <c r="L89" s="146"/>
      <c r="M89" s="146"/>
      <c r="N89" s="146"/>
      <c r="O89" s="145"/>
      <c r="P89" s="145"/>
      <c r="Q89" s="145"/>
      <c r="R89" s="347"/>
      <c r="S89" s="347"/>
      <c r="T89" s="347"/>
    </row>
    <row r="90" spans="2:20">
      <c r="B90" s="12" t="str">
        <f>CONCATENATE("FT-",E91,"5")</f>
        <v>FT-RESSOL5</v>
      </c>
      <c r="C90" s="378" t="s">
        <v>686</v>
      </c>
      <c r="D90" s="139" t="s">
        <v>580</v>
      </c>
      <c r="E90" s="12"/>
      <c r="F90" s="12"/>
      <c r="G90" s="139">
        <v>1</v>
      </c>
      <c r="H90" s="97"/>
      <c r="I90" s="140">
        <v>1</v>
      </c>
      <c r="J90" s="140">
        <v>1</v>
      </c>
      <c r="K90" s="18">
        <v>50</v>
      </c>
      <c r="L90" s="18">
        <v>50</v>
      </c>
      <c r="M90" s="18"/>
      <c r="N90" s="18"/>
      <c r="O90" s="140"/>
      <c r="P90" s="140"/>
      <c r="Q90" s="140"/>
      <c r="R90" s="346"/>
      <c r="S90" s="346">
        <f ca="1">BaseYear+1</f>
        <v>2011</v>
      </c>
      <c r="T90" s="346"/>
    </row>
    <row r="91" spans="2:20">
      <c r="B91" s="142"/>
      <c r="C91" s="460"/>
      <c r="D91" s="142"/>
      <c r="E91" s="142" t="s">
        <v>582</v>
      </c>
      <c r="F91" s="142" t="s">
        <v>453</v>
      </c>
      <c r="G91" s="143"/>
      <c r="H91" s="144"/>
      <c r="I91" s="145"/>
      <c r="J91" s="145"/>
      <c r="K91" s="146"/>
      <c r="L91" s="146"/>
      <c r="M91" s="146"/>
      <c r="N91" s="146"/>
      <c r="O91" s="145"/>
      <c r="P91" s="145"/>
      <c r="Q91" s="145"/>
      <c r="R91" s="347"/>
      <c r="S91" s="347"/>
      <c r="T91" s="347"/>
    </row>
    <row r="92" spans="2:20">
      <c r="B92" s="12" t="str">
        <f>CONCATENATE("FT-",E93,"5")</f>
        <v>FT-RESGEO5</v>
      </c>
      <c r="C92" s="378" t="s">
        <v>685</v>
      </c>
      <c r="D92" s="139" t="s">
        <v>579</v>
      </c>
      <c r="E92" s="12"/>
      <c r="F92" s="12"/>
      <c r="G92" s="139">
        <v>1</v>
      </c>
      <c r="H92" s="97"/>
      <c r="I92" s="140">
        <v>1</v>
      </c>
      <c r="J92" s="140">
        <v>1</v>
      </c>
      <c r="K92" s="18">
        <v>20</v>
      </c>
      <c r="L92" s="18">
        <v>1</v>
      </c>
      <c r="M92" s="18"/>
      <c r="N92" s="18"/>
      <c r="O92" s="140"/>
      <c r="P92" s="140"/>
      <c r="Q92" s="140"/>
      <c r="R92" s="346"/>
      <c r="S92" s="346">
        <f ca="1">BaseYear+1</f>
        <v>2011</v>
      </c>
      <c r="T92" s="346"/>
    </row>
    <row r="93" spans="2:20">
      <c r="B93" s="142"/>
      <c r="C93" s="460"/>
      <c r="D93" s="142"/>
      <c r="E93" s="142" t="s">
        <v>581</v>
      </c>
      <c r="F93" s="142" t="s">
        <v>451</v>
      </c>
      <c r="G93" s="143"/>
      <c r="H93" s="144"/>
      <c r="I93" s="145"/>
      <c r="J93" s="145"/>
      <c r="K93" s="146"/>
      <c r="L93" s="146"/>
      <c r="M93" s="146"/>
      <c r="N93" s="146"/>
      <c r="O93" s="145"/>
      <c r="P93" s="145"/>
      <c r="Q93" s="145"/>
      <c r="R93" s="347"/>
      <c r="S93" s="347"/>
      <c r="T93" s="347"/>
    </row>
    <row r="94" spans="2:20">
      <c r="B94" s="12" t="str">
        <f>CONCATENATE("FT-",E95,"6")</f>
        <v>FT-RESGEO6</v>
      </c>
      <c r="C94" s="378" t="s">
        <v>685</v>
      </c>
      <c r="D94" s="139" t="s">
        <v>579</v>
      </c>
      <c r="E94" s="12"/>
      <c r="F94" s="12"/>
      <c r="G94" s="139">
        <v>1</v>
      </c>
      <c r="H94" s="97"/>
      <c r="I94" s="140">
        <v>1</v>
      </c>
      <c r="J94" s="140">
        <v>1</v>
      </c>
      <c r="K94" s="18">
        <v>20</v>
      </c>
      <c r="L94" s="18">
        <v>1.5</v>
      </c>
      <c r="M94" s="18"/>
      <c r="N94" s="18"/>
      <c r="O94" s="140"/>
      <c r="P94" s="140"/>
      <c r="Q94" s="140"/>
      <c r="R94" s="346"/>
      <c r="S94" s="346">
        <f ca="1">BaseYear+1</f>
        <v>2011</v>
      </c>
      <c r="T94" s="346"/>
    </row>
    <row r="95" spans="2:20">
      <c r="B95" s="142"/>
      <c r="C95" s="460"/>
      <c r="D95" s="142"/>
      <c r="E95" s="142" t="s">
        <v>581</v>
      </c>
      <c r="F95" s="142" t="s">
        <v>451</v>
      </c>
      <c r="G95" s="143"/>
      <c r="H95" s="144"/>
      <c r="I95" s="145"/>
      <c r="J95" s="145"/>
      <c r="K95" s="146"/>
      <c r="L95" s="146"/>
      <c r="M95" s="146"/>
      <c r="N95" s="146"/>
      <c r="O95" s="145"/>
      <c r="P95" s="145"/>
      <c r="Q95" s="145"/>
      <c r="R95" s="347"/>
      <c r="S95" s="347"/>
      <c r="T95" s="347"/>
    </row>
    <row r="96" spans="2:20">
      <c r="B96" s="12" t="str">
        <f>CONCATENATE("FT-",E97,"7")</f>
        <v>FT-RESGEO7</v>
      </c>
      <c r="C96" s="378" t="s">
        <v>685</v>
      </c>
      <c r="D96" s="139" t="s">
        <v>579</v>
      </c>
      <c r="E96" s="12"/>
      <c r="F96" s="12"/>
      <c r="G96" s="139">
        <v>1</v>
      </c>
      <c r="H96" s="97"/>
      <c r="I96" s="140">
        <v>1</v>
      </c>
      <c r="J96" s="140">
        <v>1</v>
      </c>
      <c r="K96" s="18">
        <v>20</v>
      </c>
      <c r="L96" s="18">
        <v>3</v>
      </c>
      <c r="M96" s="18"/>
      <c r="N96" s="18"/>
      <c r="O96" s="140"/>
      <c r="P96" s="140"/>
      <c r="Q96" s="140"/>
      <c r="R96" s="346"/>
      <c r="S96" s="346">
        <f ca="1">BaseYear+1</f>
        <v>2011</v>
      </c>
      <c r="T96" s="346"/>
    </row>
    <row r="97" spans="2:20">
      <c r="B97" s="142"/>
      <c r="C97" s="460"/>
      <c r="D97" s="142"/>
      <c r="E97" s="142" t="s">
        <v>581</v>
      </c>
      <c r="F97" s="142" t="s">
        <v>451</v>
      </c>
      <c r="G97" s="143"/>
      <c r="H97" s="144"/>
      <c r="I97" s="145"/>
      <c r="J97" s="145"/>
      <c r="K97" s="146"/>
      <c r="L97" s="146"/>
      <c r="M97" s="146"/>
      <c r="N97" s="146"/>
      <c r="O97" s="145"/>
      <c r="P97" s="145"/>
      <c r="Q97" s="145"/>
      <c r="R97" s="347"/>
      <c r="S97" s="347"/>
      <c r="T97" s="347"/>
    </row>
    <row r="99" spans="2:20">
      <c r="D99" s="15"/>
      <c r="E99" s="15"/>
      <c r="F99" s="15"/>
      <c r="G99" s="15"/>
      <c r="H99" s="15"/>
      <c r="I99" s="15"/>
      <c r="J99" s="15"/>
      <c r="K99" s="15"/>
      <c r="L99" s="15"/>
      <c r="M99" s="15"/>
      <c r="N99" s="15"/>
      <c r="O99" s="15"/>
      <c r="P99" s="15"/>
      <c r="Q99" s="15"/>
      <c r="R99" s="15"/>
      <c r="S99" s="15"/>
    </row>
  </sheetData>
  <phoneticPr fontId="0" type="noConversion"/>
  <pageMargins left="0.75" right="0.75" top="1" bottom="1" header="0.5" footer="0.5"/>
  <pageSetup orientation="landscape" horizontalDpi="300" verticalDpi="300" r:id="rId1"/>
  <headerFooter alignWithMargins="0"/>
  <legacyDrawing r:id="rId2"/>
</worksheet>
</file>

<file path=xl/worksheets/sheet34.xml><?xml version="1.0" encoding="utf-8"?>
<worksheet xmlns="http://schemas.openxmlformats.org/spreadsheetml/2006/main" xmlns:r="http://schemas.openxmlformats.org/officeDocument/2006/relationships">
  <sheetPr codeName="Sheet5"/>
  <dimension ref="A1:AD48"/>
  <sheetViews>
    <sheetView zoomScale="75" workbookViewId="0">
      <selection activeCell="D4" sqref="D4"/>
    </sheetView>
  </sheetViews>
  <sheetFormatPr defaultColWidth="11.42578125" defaultRowHeight="12.75"/>
  <cols>
    <col min="1" max="1" width="13.140625" customWidth="1"/>
    <col min="2" max="2" width="13.5703125" customWidth="1"/>
    <col min="3" max="3" width="51.7109375" customWidth="1"/>
    <col min="4" max="4" width="12.85546875" customWidth="1"/>
    <col min="5" max="8" width="9.85546875" customWidth="1"/>
    <col min="9" max="13" width="9.140625" customWidth="1"/>
    <col min="14" max="14" width="9.7109375" customWidth="1"/>
    <col min="15" max="15" width="9.140625" customWidth="1"/>
    <col min="16" max="16" width="10.28515625" customWidth="1"/>
    <col min="17" max="17" width="12.85546875" bestFit="1" customWidth="1"/>
    <col min="18" max="21" width="9.140625" customWidth="1"/>
    <col min="22" max="22" width="10.7109375" customWidth="1"/>
    <col min="23" max="24" width="11.42578125" customWidth="1"/>
    <col min="25" max="27" width="7.7109375" customWidth="1"/>
    <col min="28" max="28" width="8" customWidth="1"/>
    <col min="29" max="30" width="8.7109375" customWidth="1"/>
  </cols>
  <sheetData>
    <row r="1" spans="1:30" ht="18">
      <c r="A1" s="10" t="s">
        <v>447</v>
      </c>
    </row>
    <row r="2" spans="1:30">
      <c r="A2" s="9"/>
      <c r="D2" s="245"/>
    </row>
    <row r="3" spans="1:30">
      <c r="B3" s="16"/>
      <c r="C3" s="17"/>
      <c r="D3" s="245"/>
      <c r="P3" s="18">
        <v>1</v>
      </c>
      <c r="Q3" t="s">
        <v>666</v>
      </c>
      <c r="AC3" s="463">
        <v>0</v>
      </c>
      <c r="AD3" s="463">
        <v>1</v>
      </c>
    </row>
    <row r="4" spans="1:30" ht="18">
      <c r="B4" s="131" t="s">
        <v>594</v>
      </c>
      <c r="C4" s="98"/>
      <c r="D4" s="252" t="str">
        <f>"~FI_T: "&amp;Region&amp;"~EUR10"</f>
        <v>~FI_T: FIM~EUR10</v>
      </c>
      <c r="E4" s="4"/>
    </row>
    <row r="5" spans="1:30" ht="46.5" customHeight="1"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52" t="s">
        <v>1091</v>
      </c>
      <c r="J5" s="52" t="s">
        <v>534</v>
      </c>
      <c r="K5" s="52" t="str">
        <f ca="1">J5&amp;"~"&amp;AuxYear</f>
        <v>EFF~2017</v>
      </c>
      <c r="L5" s="52" t="s">
        <v>758</v>
      </c>
      <c r="M5" s="52" t="s">
        <v>661</v>
      </c>
      <c r="N5" s="52" t="str">
        <f ca="1">"CF~"&amp;AuxYear</f>
        <v>CF~2017</v>
      </c>
      <c r="O5" s="52" t="s">
        <v>88</v>
      </c>
      <c r="P5" s="52" t="s">
        <v>541</v>
      </c>
      <c r="Q5" s="52" t="str">
        <f ca="1">P5&amp;"~"&amp;AuxYear</f>
        <v>RESID~2017</v>
      </c>
      <c r="R5" s="52" t="str">
        <f ca="1">"RESID~"&amp;CEILING(AuxYear+7,5)</f>
        <v>RESID~2025</v>
      </c>
      <c r="S5" s="52" t="str">
        <f ca="1">"RESID~"&amp;CEILING(AuxYear+17,5)</f>
        <v>RESID~2035</v>
      </c>
      <c r="T5" s="52" t="str">
        <f ca="1">"RESID~"&amp;CEILING(AuxYear+30,5)</f>
        <v>RESID~2050</v>
      </c>
      <c r="U5" s="52" t="s">
        <v>537</v>
      </c>
      <c r="V5" s="52" t="str">
        <f ca="1">"CF~"&amp;CEILING(AuxYear+2,5)</f>
        <v>CF~2020</v>
      </c>
      <c r="W5" s="360" t="s">
        <v>381</v>
      </c>
      <c r="Y5" s="427" t="s">
        <v>993</v>
      </c>
      <c r="Z5" s="427" t="s">
        <v>994</v>
      </c>
      <c r="AA5" s="427" t="s">
        <v>995</v>
      </c>
      <c r="AB5" s="427" t="s">
        <v>996</v>
      </c>
      <c r="AC5" s="427" t="s">
        <v>997</v>
      </c>
      <c r="AD5" s="427" t="s">
        <v>998</v>
      </c>
    </row>
    <row r="6" spans="1:30" ht="17.25" customHeight="1" thickBot="1">
      <c r="A6" s="14"/>
      <c r="B6" s="429" t="s">
        <v>999</v>
      </c>
      <c r="C6" s="190"/>
      <c r="D6" s="190"/>
      <c r="E6" s="191"/>
      <c r="F6" s="191"/>
      <c r="G6" s="191"/>
      <c r="H6" s="191"/>
      <c r="I6" s="190"/>
      <c r="J6" s="315"/>
      <c r="K6" s="315"/>
      <c r="L6" s="191"/>
      <c r="M6" s="190"/>
      <c r="N6" s="190"/>
      <c r="O6" s="191"/>
      <c r="P6" s="192"/>
      <c r="Q6" s="190"/>
      <c r="R6" s="190"/>
      <c r="S6" s="192"/>
      <c r="T6" s="190"/>
      <c r="U6" s="190"/>
      <c r="V6" s="190"/>
      <c r="W6" s="360"/>
      <c r="Y6" s="428"/>
      <c r="Z6" s="428"/>
      <c r="AA6" s="428"/>
      <c r="AB6" s="428"/>
      <c r="AC6" s="428"/>
      <c r="AD6" s="428"/>
    </row>
    <row r="7" spans="1:30" ht="15" customHeight="1">
      <c r="B7" s="76" t="s">
        <v>222</v>
      </c>
      <c r="C7" s="378" t="s">
        <v>284</v>
      </c>
      <c r="D7" s="12" t="str">
        <f ca="1">IEAData2!H9</f>
        <v>RESNGA</v>
      </c>
      <c r="E7" s="33">
        <f ca="1">IEAData2!B81*IEAData2!B52*AC7</f>
        <v>0.23336556683005882</v>
      </c>
      <c r="F7" s="33">
        <f ca="1">AuxData2!B81*AuxData2!B52*AD7</f>
        <v>0.13617821388596979</v>
      </c>
      <c r="G7" s="29">
        <v>0.78</v>
      </c>
      <c r="H7" s="343" t="str">
        <f t="shared" ref="H7:H20" si="0">RIGHT(D7,3)</f>
        <v>NGA</v>
      </c>
      <c r="I7" s="65">
        <v>1.08</v>
      </c>
      <c r="J7" s="6">
        <f>G7</f>
        <v>0.78</v>
      </c>
      <c r="K7" s="6">
        <f>J7^IF(J7&gt;1,I7,1/I7)</f>
        <v>0.7944884630222161</v>
      </c>
      <c r="L7" s="38">
        <f ca="1">F7*K7</f>
        <v>0.10819201984737474</v>
      </c>
      <c r="M7" s="19">
        <v>1</v>
      </c>
      <c r="N7" s="32">
        <v>0.15</v>
      </c>
      <c r="O7" s="32">
        <v>20</v>
      </c>
      <c r="P7" s="160">
        <f t="shared" ref="P7:P20" ca="1" si="1">E7*J7/$N7</f>
        <v>1.2135009475163059</v>
      </c>
      <c r="Q7" s="104">
        <f ca="1">F7*K7/$N7</f>
        <v>0.72128013231583166</v>
      </c>
      <c r="R7" s="104">
        <f ca="1">MAX(P7*0.33,Q7*AA7)</f>
        <v>0.40045531268038098</v>
      </c>
      <c r="S7" s="104">
        <f t="shared" ref="S7:S15" ca="1" si="2">R7*$AB7</f>
        <v>0.1601821250721524</v>
      </c>
      <c r="T7" s="40"/>
      <c r="U7" s="40"/>
      <c r="V7" s="40">
        <f ca="1">N7*$I$43</f>
        <v>0.15957446808510636</v>
      </c>
      <c r="W7" s="258">
        <f t="shared" ref="W7:W19" ca="1" si="3">IF($L$21=0,0,L7/$L$21)</f>
        <v>2.4473305186653256E-2</v>
      </c>
      <c r="Y7" s="430">
        <f ca="1">IF(B6="*",MATCH(LEFT(B7,3),OFFSET(CalibData2!$C$78,1,0,100),0),Y6)</f>
        <v>1</v>
      </c>
      <c r="Z7" s="430"/>
      <c r="AA7" s="430">
        <v>0.45</v>
      </c>
      <c r="AB7" s="430">
        <v>0.4</v>
      </c>
      <c r="AC7" s="359">
        <f ca="1">OFFSET(TechShar,$Y7+$Z7,AC$3)</f>
        <v>1</v>
      </c>
      <c r="AD7" s="359">
        <f ca="1">OFFSET(TechShar,$Y7+$Z7,AD$3)</f>
        <v>1</v>
      </c>
    </row>
    <row r="8" spans="1:30" ht="15" customHeight="1">
      <c r="B8" s="76" t="s">
        <v>338</v>
      </c>
      <c r="C8" s="378" t="s">
        <v>285</v>
      </c>
      <c r="D8" s="12" t="str">
        <f ca="1">IEAData2!H9</f>
        <v>RESNGA</v>
      </c>
      <c r="E8" s="33">
        <f ca="1">IEAData2!B81*IEAData2!B52*AC8</f>
        <v>0</v>
      </c>
      <c r="F8" s="33">
        <f ca="1">AuxData2!B81*AuxData2!B52*AD8</f>
        <v>0</v>
      </c>
      <c r="G8" s="29">
        <v>1.8</v>
      </c>
      <c r="H8" s="343" t="str">
        <f t="shared" si="0"/>
        <v>NGA</v>
      </c>
      <c r="I8" s="65">
        <v>1.05</v>
      </c>
      <c r="J8" s="6">
        <f t="shared" ref="J8:J20" si="4">G8</f>
        <v>1.8</v>
      </c>
      <c r="K8" s="6">
        <f t="shared" ref="K8:K20" si="5">J8^IF(J8&gt;1,I8,1/I8)</f>
        <v>1.853685831102299</v>
      </c>
      <c r="L8" s="38">
        <f t="shared" ref="L8:L20" ca="1" si="6">F8*K8</f>
        <v>0</v>
      </c>
      <c r="M8" s="19">
        <v>1</v>
      </c>
      <c r="N8" s="32">
        <v>0.15</v>
      </c>
      <c r="O8" s="32">
        <v>20</v>
      </c>
      <c r="P8" s="161">
        <f t="shared" ca="1" si="1"/>
        <v>0</v>
      </c>
      <c r="Q8" s="104">
        <f t="shared" ref="Q8:Q20" ca="1" si="7">F8*K8/N8</f>
        <v>0</v>
      </c>
      <c r="R8" s="104">
        <f t="shared" ref="R8:R19" ca="1" si="8">MAX(P8*0.33,Q8*AA8)</f>
        <v>0</v>
      </c>
      <c r="S8" s="104">
        <f t="shared" ca="1" si="2"/>
        <v>0</v>
      </c>
      <c r="T8" s="40"/>
      <c r="U8" s="40"/>
      <c r="V8" s="40">
        <f t="shared" ref="V8:V19" ca="1" si="9">N8*$I$43</f>
        <v>0.15957446808510636</v>
      </c>
      <c r="W8" s="258">
        <f t="shared" ca="1" si="3"/>
        <v>0</v>
      </c>
      <c r="Y8" s="430">
        <f ca="1">IF(B7="*",MATCH(LEFT(B8,3),OFFSET(CalibData2!$C$78,1,0,100),0),Y7)</f>
        <v>1</v>
      </c>
      <c r="Z8" s="430"/>
      <c r="AA8" s="430">
        <v>0.45</v>
      </c>
      <c r="AB8" s="430">
        <v>0.4</v>
      </c>
      <c r="AC8" s="358">
        <f ca="1">1-AC7</f>
        <v>0</v>
      </c>
      <c r="AD8" s="358">
        <f ca="1">1-AD7</f>
        <v>0</v>
      </c>
    </row>
    <row r="9" spans="1:30" ht="15" customHeight="1">
      <c r="B9" s="76" t="s">
        <v>223</v>
      </c>
      <c r="C9" s="378" t="s">
        <v>286</v>
      </c>
      <c r="D9" s="12" t="str">
        <f ca="1">IEAData2!H10</f>
        <v>RESDST</v>
      </c>
      <c r="E9" s="33">
        <f ca="1">IEAData2!B82*IEAData2!B53</f>
        <v>0.90270745904916683</v>
      </c>
      <c r="F9" s="33">
        <f ca="1">AuxData2!B82*AuxData2!B53</f>
        <v>0.53252172099748352</v>
      </c>
      <c r="G9" s="29">
        <v>0.75</v>
      </c>
      <c r="H9" s="343" t="str">
        <f t="shared" si="0"/>
        <v>DST</v>
      </c>
      <c r="I9" s="65">
        <v>1.08</v>
      </c>
      <c r="J9" s="6">
        <f t="shared" si="4"/>
        <v>0.75</v>
      </c>
      <c r="K9" s="6">
        <f t="shared" si="5"/>
        <v>0.76615384351661076</v>
      </c>
      <c r="L9" s="38">
        <f t="shared" ca="1" si="6"/>
        <v>0.40799356329830222</v>
      </c>
      <c r="M9" s="19">
        <v>1</v>
      </c>
      <c r="N9" s="32">
        <v>0.15</v>
      </c>
      <c r="O9" s="32">
        <v>20</v>
      </c>
      <c r="P9" s="161">
        <f t="shared" ca="1" si="1"/>
        <v>4.5135372952458344</v>
      </c>
      <c r="Q9" s="104">
        <f t="shared" ca="1" si="7"/>
        <v>2.7199570886553484</v>
      </c>
      <c r="R9" s="104">
        <f t="shared" ca="1" si="8"/>
        <v>1.4894673074311253</v>
      </c>
      <c r="S9" s="104">
        <f t="shared" ca="1" si="2"/>
        <v>0.59578692297245017</v>
      </c>
      <c r="T9" s="40"/>
      <c r="U9" s="40"/>
      <c r="V9" s="40">
        <f t="shared" ca="1" si="9"/>
        <v>0.15957446808510636</v>
      </c>
      <c r="W9" s="258">
        <f t="shared" ca="1" si="3"/>
        <v>9.2289163312369443E-2</v>
      </c>
      <c r="Y9" s="430">
        <f ca="1">IF(B8="*",MATCH(LEFT(B9,3),OFFSET(CalibData2!$C$78,1,0,100),0),Y8)</f>
        <v>1</v>
      </c>
      <c r="Z9" s="430"/>
      <c r="AA9" s="430">
        <v>0.45</v>
      </c>
      <c r="AB9" s="430">
        <v>0.4</v>
      </c>
      <c r="AC9" s="294"/>
      <c r="AD9" s="358"/>
    </row>
    <row r="10" spans="1:30" ht="15" customHeight="1">
      <c r="B10" s="265" t="s">
        <v>224</v>
      </c>
      <c r="C10" s="404" t="s">
        <v>131</v>
      </c>
      <c r="D10" s="12" t="str">
        <f ca="1">IEAData2!H11</f>
        <v>RESHFO</v>
      </c>
      <c r="E10" s="33">
        <f ca="1">IEAData2!B83*IEAData2!B54</f>
        <v>0</v>
      </c>
      <c r="F10" s="33">
        <f ca="1">AuxData2!B83*AuxData2!B54</f>
        <v>0</v>
      </c>
      <c r="G10" s="69">
        <v>0.75</v>
      </c>
      <c r="H10" s="343" t="str">
        <f t="shared" si="0"/>
        <v>HFO</v>
      </c>
      <c r="I10" s="65">
        <v>1.08</v>
      </c>
      <c r="J10" s="67">
        <f t="shared" si="4"/>
        <v>0.75</v>
      </c>
      <c r="K10" s="6">
        <f t="shared" si="5"/>
        <v>0.76615384351661076</v>
      </c>
      <c r="L10" s="38">
        <f t="shared" ca="1" si="6"/>
        <v>0</v>
      </c>
      <c r="M10" s="19">
        <v>1</v>
      </c>
      <c r="N10" s="65">
        <v>0.15</v>
      </c>
      <c r="O10" s="68">
        <v>20</v>
      </c>
      <c r="P10" s="161">
        <f t="shared" ca="1" si="1"/>
        <v>0</v>
      </c>
      <c r="Q10" s="104">
        <f t="shared" ca="1" si="7"/>
        <v>0</v>
      </c>
      <c r="R10" s="104">
        <f t="shared" ca="1" si="8"/>
        <v>0</v>
      </c>
      <c r="S10" s="104">
        <f t="shared" ca="1" si="2"/>
        <v>0</v>
      </c>
      <c r="T10" s="53"/>
      <c r="U10" s="40"/>
      <c r="V10" s="40">
        <f t="shared" ca="1" si="9"/>
        <v>0.15957446808510636</v>
      </c>
      <c r="W10" s="258">
        <f t="shared" ca="1" si="3"/>
        <v>0</v>
      </c>
      <c r="Y10" s="430">
        <f ca="1">IF(B9="*",MATCH(LEFT(B10,3),OFFSET(CalibData2!$C$78,1,0,100),0),Y9)</f>
        <v>1</v>
      </c>
      <c r="Z10" s="430"/>
      <c r="AA10" s="430">
        <v>0.45</v>
      </c>
      <c r="AB10" s="430">
        <v>0.4</v>
      </c>
      <c r="AC10" s="294"/>
      <c r="AD10" s="358"/>
    </row>
    <row r="11" spans="1:30" ht="15" customHeight="1">
      <c r="B11" s="265" t="s">
        <v>298</v>
      </c>
      <c r="C11" s="402" t="s">
        <v>287</v>
      </c>
      <c r="D11" s="12" t="str">
        <f ca="1">IEAData2!H12</f>
        <v>RESKER</v>
      </c>
      <c r="E11" s="33">
        <f ca="1">IEAData2!B84*IEAData2!B55</f>
        <v>0</v>
      </c>
      <c r="F11" s="33">
        <f ca="1">AuxData2!B84*AuxData2!B55</f>
        <v>0</v>
      </c>
      <c r="G11" s="69">
        <v>0.72</v>
      </c>
      <c r="H11" s="343" t="str">
        <f t="shared" si="0"/>
        <v>KER</v>
      </c>
      <c r="I11" s="65">
        <v>1.08</v>
      </c>
      <c r="J11" s="67">
        <f t="shared" si="4"/>
        <v>0.72</v>
      </c>
      <c r="K11" s="6">
        <f t="shared" si="5"/>
        <v>0.73773512178168144</v>
      </c>
      <c r="L11" s="38">
        <f t="shared" ca="1" si="6"/>
        <v>0</v>
      </c>
      <c r="M11" s="19">
        <v>1</v>
      </c>
      <c r="N11" s="65">
        <v>0.15</v>
      </c>
      <c r="O11" s="68">
        <v>20</v>
      </c>
      <c r="P11" s="161">
        <f t="shared" ca="1" si="1"/>
        <v>0</v>
      </c>
      <c r="Q11" s="104">
        <f t="shared" ca="1" si="7"/>
        <v>0</v>
      </c>
      <c r="R11" s="104">
        <f t="shared" ca="1" si="8"/>
        <v>0</v>
      </c>
      <c r="S11" s="104">
        <f t="shared" ca="1" si="2"/>
        <v>0</v>
      </c>
      <c r="T11" s="53"/>
      <c r="U11" s="40"/>
      <c r="V11" s="40">
        <f t="shared" ca="1" si="9"/>
        <v>0.15957446808510636</v>
      </c>
      <c r="W11" s="258">
        <f t="shared" ca="1" si="3"/>
        <v>0</v>
      </c>
      <c r="Y11" s="430">
        <f ca="1">IF(B10="*",MATCH(LEFT(B11,3),OFFSET(CalibData2!$C$78,1,0,100),0),Y10)</f>
        <v>1</v>
      </c>
      <c r="Z11" s="430"/>
      <c r="AA11" s="430">
        <v>0.45</v>
      </c>
      <c r="AB11" s="430">
        <v>0.4</v>
      </c>
      <c r="AC11" s="294"/>
      <c r="AD11" s="358"/>
    </row>
    <row r="12" spans="1:30" ht="15" customHeight="1">
      <c r="B12" s="76" t="s">
        <v>1032</v>
      </c>
      <c r="C12" s="378" t="s">
        <v>1039</v>
      </c>
      <c r="D12" s="12" t="str">
        <f ca="1">IEAData2!H13</f>
        <v>RESCOP</v>
      </c>
      <c r="E12" s="33">
        <f ca="1">IEAData2!B85*IEAData2!B56</f>
        <v>0</v>
      </c>
      <c r="F12" s="33">
        <f ca="1">AuxData2!B85*AuxData2!B56</f>
        <v>0</v>
      </c>
      <c r="G12" s="30">
        <v>0.69</v>
      </c>
      <c r="H12" s="343" t="str">
        <f t="shared" si="0"/>
        <v>COP</v>
      </c>
      <c r="I12" s="65">
        <v>1.08</v>
      </c>
      <c r="J12" s="6">
        <f t="shared" si="4"/>
        <v>0.69</v>
      </c>
      <c r="K12" s="6">
        <f t="shared" si="5"/>
        <v>0.70922852602515762</v>
      </c>
      <c r="L12" s="38">
        <f t="shared" ca="1" si="6"/>
        <v>0</v>
      </c>
      <c r="M12" s="19">
        <v>1</v>
      </c>
      <c r="N12" s="32">
        <v>0.15</v>
      </c>
      <c r="O12" s="32">
        <v>20</v>
      </c>
      <c r="P12" s="161">
        <f t="shared" ca="1" si="1"/>
        <v>0</v>
      </c>
      <c r="Q12" s="104">
        <f t="shared" ca="1" si="7"/>
        <v>0</v>
      </c>
      <c r="R12" s="104">
        <f t="shared" ca="1" si="8"/>
        <v>0</v>
      </c>
      <c r="S12" s="104">
        <f t="shared" ca="1" si="2"/>
        <v>0</v>
      </c>
      <c r="T12" s="40"/>
      <c r="U12" s="40"/>
      <c r="V12" s="40">
        <f t="shared" ca="1" si="9"/>
        <v>0.15957446808510636</v>
      </c>
      <c r="W12" s="258">
        <f t="shared" ca="1" si="3"/>
        <v>0</v>
      </c>
      <c r="Y12" s="430">
        <f ca="1">IF(B11="*",MATCH(LEFT(B12,3),OFFSET(CalibData2!$C$78,1,0,100),0),Y11)</f>
        <v>1</v>
      </c>
      <c r="Z12" s="430"/>
      <c r="AA12" s="430">
        <v>0.45</v>
      </c>
      <c r="AB12" s="430">
        <v>0.4</v>
      </c>
      <c r="AC12" s="294"/>
      <c r="AD12" s="358"/>
    </row>
    <row r="13" spans="1:30" ht="15" customHeight="1">
      <c r="B13" s="76" t="s">
        <v>225</v>
      </c>
      <c r="C13" s="378" t="s">
        <v>288</v>
      </c>
      <c r="D13" s="12" t="str">
        <f ca="1">IEAData2!H14</f>
        <v>RESLPG</v>
      </c>
      <c r="E13" s="33">
        <f ca="1">IEAData2!B86*IEAData2!B57</f>
        <v>0</v>
      </c>
      <c r="F13" s="33">
        <f ca="1">AuxData2!B86*AuxData2!B57</f>
        <v>0</v>
      </c>
      <c r="G13" s="30">
        <v>0.74</v>
      </c>
      <c r="H13" s="343" t="str">
        <f t="shared" si="0"/>
        <v>LPG</v>
      </c>
      <c r="I13" s="65">
        <v>1.08</v>
      </c>
      <c r="J13" s="6">
        <f t="shared" si="4"/>
        <v>0.74</v>
      </c>
      <c r="K13" s="6">
        <f t="shared" si="5"/>
        <v>0.75669046067973111</v>
      </c>
      <c r="L13" s="38">
        <f t="shared" ca="1" si="6"/>
        <v>0</v>
      </c>
      <c r="M13" s="19">
        <v>1</v>
      </c>
      <c r="N13" s="32">
        <v>0.15</v>
      </c>
      <c r="O13" s="32">
        <v>20</v>
      </c>
      <c r="P13" s="161">
        <f t="shared" ca="1" si="1"/>
        <v>0</v>
      </c>
      <c r="Q13" s="104">
        <f t="shared" ca="1" si="7"/>
        <v>0</v>
      </c>
      <c r="R13" s="104">
        <f t="shared" ca="1" si="8"/>
        <v>0</v>
      </c>
      <c r="S13" s="104">
        <f t="shared" ca="1" si="2"/>
        <v>0</v>
      </c>
      <c r="T13" s="40"/>
      <c r="U13" s="40"/>
      <c r="V13" s="40">
        <f t="shared" ca="1" si="9"/>
        <v>0.15957446808510636</v>
      </c>
      <c r="W13" s="258">
        <f t="shared" ca="1" si="3"/>
        <v>0</v>
      </c>
      <c r="Y13" s="430">
        <f ca="1">IF(B12="*",MATCH(LEFT(B13,3),OFFSET(CalibData2!$C$78,1,0,100),0),Y12)</f>
        <v>1</v>
      </c>
      <c r="Z13" s="430"/>
      <c r="AA13" s="430">
        <v>0.45</v>
      </c>
      <c r="AB13" s="430">
        <v>0.4</v>
      </c>
      <c r="AC13" s="294"/>
      <c r="AD13" s="358"/>
    </row>
    <row r="14" spans="1:30" ht="15" customHeight="1">
      <c r="B14" s="76" t="s">
        <v>226</v>
      </c>
      <c r="C14" s="378" t="s">
        <v>917</v>
      </c>
      <c r="D14" s="12" t="str">
        <f ca="1">IEAData2!H15</f>
        <v>RESBIO</v>
      </c>
      <c r="E14" s="33">
        <f ca="1">IEAData2!B87*IEAData2!B58*AC14</f>
        <v>2.0667194292845022E-2</v>
      </c>
      <c r="F14" s="33">
        <f ca="1">AuxData2!B87*AuxData2!B58*AD14</f>
        <v>1.9841408048969982E-2</v>
      </c>
      <c r="G14" s="30">
        <v>0.68</v>
      </c>
      <c r="H14" s="343" t="str">
        <f t="shared" si="0"/>
        <v>BIO</v>
      </c>
      <c r="I14" s="65">
        <v>1.08</v>
      </c>
      <c r="J14" s="6">
        <f t="shared" si="4"/>
        <v>0.68</v>
      </c>
      <c r="K14" s="6">
        <f t="shared" si="5"/>
        <v>0.69970609972400222</v>
      </c>
      <c r="L14" s="38">
        <f t="shared" ca="1" si="6"/>
        <v>1.3883154238977211E-2</v>
      </c>
      <c r="M14" s="19">
        <v>1</v>
      </c>
      <c r="N14" s="32">
        <v>0.15</v>
      </c>
      <c r="O14" s="32">
        <v>20</v>
      </c>
      <c r="P14" s="161">
        <f t="shared" ca="1" si="1"/>
        <v>9.369128079423078E-2</v>
      </c>
      <c r="Q14" s="104">
        <f t="shared" ca="1" si="7"/>
        <v>9.2554361593181408E-2</v>
      </c>
      <c r="R14" s="104">
        <f t="shared" ca="1" si="8"/>
        <v>5.0904898876249778E-2</v>
      </c>
      <c r="S14" s="104">
        <f t="shared" ca="1" si="2"/>
        <v>2.5452449438124889E-2</v>
      </c>
      <c r="T14" s="185"/>
      <c r="U14" s="40"/>
      <c r="V14" s="40">
        <f t="shared" ca="1" si="9"/>
        <v>0.15957446808510636</v>
      </c>
      <c r="W14" s="258">
        <f t="shared" ca="1" si="3"/>
        <v>3.1404041732761168E-3</v>
      </c>
      <c r="Y14" s="430">
        <f ca="1">IF(B13="*",MATCH(LEFT(B14,3),OFFSET(CalibData2!$C$78,1,0,100),0),Y13)</f>
        <v>1</v>
      </c>
      <c r="Z14" s="430">
        <v>1</v>
      </c>
      <c r="AA14" s="430">
        <v>0.55000000000000004</v>
      </c>
      <c r="AB14" s="430">
        <v>0.5</v>
      </c>
      <c r="AC14" s="359">
        <f ca="1">OFFSET(TechShar,$Y14+$Z14,AC$3)</f>
        <v>0.3</v>
      </c>
      <c r="AD14" s="359">
        <f ca="1">OFFSET(TechShar,$Y14+$Z14,AD$3)</f>
        <v>0.3</v>
      </c>
    </row>
    <row r="15" spans="1:30" ht="15" customHeight="1">
      <c r="B15" s="76" t="s">
        <v>1010</v>
      </c>
      <c r="C15" s="378" t="s">
        <v>980</v>
      </c>
      <c r="D15" s="12" t="s">
        <v>931</v>
      </c>
      <c r="E15" s="33">
        <f ca="1">IEAData2!B87*IEAData2!B58*AC15</f>
        <v>1.4467036004991515E-2</v>
      </c>
      <c r="F15" s="33">
        <f ca="1">AuxData2!B87*AuxData2!B58*AD15</f>
        <v>1.7857267244072987E-2</v>
      </c>
      <c r="G15" s="30">
        <v>0.78400000000000003</v>
      </c>
      <c r="H15" s="343" t="str">
        <f>MID(B15,4,3)</f>
        <v>BIO</v>
      </c>
      <c r="I15" s="65">
        <v>1.08</v>
      </c>
      <c r="J15" s="6">
        <f>G15</f>
        <v>0.78400000000000003</v>
      </c>
      <c r="K15" s="6">
        <f>J15^IF(J15&gt;1,I15,1/I15)</f>
        <v>0.79826024763451831</v>
      </c>
      <c r="L15" s="38">
        <f ca="1">F15*K15</f>
        <v>1.4254746572329474E-2</v>
      </c>
      <c r="M15" s="19">
        <v>1</v>
      </c>
      <c r="N15" s="32">
        <v>0.15</v>
      </c>
      <c r="O15" s="32">
        <v>20</v>
      </c>
      <c r="P15" s="161">
        <f ca="1">E15*J15/$N15</f>
        <v>7.5614374852755656E-2</v>
      </c>
      <c r="Q15" s="104">
        <f ca="1">F15*K15/N15</f>
        <v>9.5031643815529837E-2</v>
      </c>
      <c r="R15" s="104">
        <f t="shared" ca="1" si="8"/>
        <v>5.2267404098541415E-2</v>
      </c>
      <c r="S15" s="104">
        <f t="shared" ca="1" si="2"/>
        <v>2.6133702049270707E-2</v>
      </c>
      <c r="T15" s="185"/>
      <c r="U15" s="40"/>
      <c r="V15" s="40">
        <f ca="1">N15*$I$43</f>
        <v>0.15957446808510636</v>
      </c>
      <c r="W15" s="258">
        <f ca="1">IF($L$21=0,0,L15/$L$21)</f>
        <v>3.2244592874331448E-3</v>
      </c>
      <c r="Y15" s="430">
        <f ca="1">IF(B14="*",MATCH(LEFT(B15,3),OFFSET(CalibData2!$C$78,1,0,100),0),Y14)</f>
        <v>1</v>
      </c>
      <c r="Z15" s="430">
        <v>2</v>
      </c>
      <c r="AA15" s="430">
        <v>0.55000000000000004</v>
      </c>
      <c r="AB15" s="430">
        <v>0.5</v>
      </c>
      <c r="AC15" s="359">
        <f ca="1">OFFSET(TechShar,$Y15+$Z15,AC$3)</f>
        <v>0.21</v>
      </c>
      <c r="AD15" s="359">
        <f ca="1">OFFSET(TechShar,$Y15+$Z15,AD$3)</f>
        <v>0.27</v>
      </c>
    </row>
    <row r="16" spans="1:30" ht="15" customHeight="1">
      <c r="B16" s="76" t="s">
        <v>916</v>
      </c>
      <c r="C16" s="378" t="s">
        <v>289</v>
      </c>
      <c r="D16" s="12" t="str">
        <f ca="1">IEAData2!H15</f>
        <v>RESBIO</v>
      </c>
      <c r="E16" s="33">
        <f ca="1">IEAData2!B87*IEAData2!B58*AC16</f>
        <v>3.3756417344980201E-2</v>
      </c>
      <c r="F16" s="33">
        <f ca="1">AuxData2!B87*AuxData2!B58*AD16</f>
        <v>2.843935153685697E-2</v>
      </c>
      <c r="G16" s="30">
        <f ca="1">0.6*CalibData2!$N$131</f>
        <v>0.54</v>
      </c>
      <c r="H16" s="343" t="str">
        <f t="shared" si="0"/>
        <v>BIO</v>
      </c>
      <c r="I16" s="65">
        <v>1.08</v>
      </c>
      <c r="J16" s="6">
        <f t="shared" ca="1" si="4"/>
        <v>0.54</v>
      </c>
      <c r="K16" s="6">
        <f t="shared" ca="1" si="5"/>
        <v>0.5652185990502302</v>
      </c>
      <c r="L16" s="38">
        <f t="shared" ca="1" si="6"/>
        <v>1.6074450433559307E-2</v>
      </c>
      <c r="M16" s="19">
        <v>1</v>
      </c>
      <c r="N16" s="32">
        <v>0.15</v>
      </c>
      <c r="O16" s="32">
        <v>20</v>
      </c>
      <c r="P16" s="161">
        <f t="shared" ca="1" si="1"/>
        <v>0.12152310244192874</v>
      </c>
      <c r="Q16" s="104">
        <f t="shared" ca="1" si="7"/>
        <v>0.10716300289039539</v>
      </c>
      <c r="R16" s="104">
        <f t="shared" ca="1" si="8"/>
        <v>4.0102623805836485E-2</v>
      </c>
      <c r="S16" s="104">
        <f ca="1">R16*0.99^10</f>
        <v>3.626809413081987E-2</v>
      </c>
      <c r="T16" s="104">
        <f ca="1">S16*0.985^20</f>
        <v>2.6807069740151155E-2</v>
      </c>
      <c r="U16" s="40"/>
      <c r="V16" s="40">
        <f t="shared" ca="1" si="9"/>
        <v>0.15957446808510636</v>
      </c>
      <c r="W16" s="258">
        <f t="shared" ca="1" si="3"/>
        <v>3.6360808470272156E-3</v>
      </c>
      <c r="Y16" s="430">
        <f ca="1">IF(B15="*",MATCH(LEFT(B16,3),OFFSET(CalibData2!$C$78,1,0,100),0),Y15)</f>
        <v>1</v>
      </c>
      <c r="Z16" s="430"/>
      <c r="AA16" s="430"/>
      <c r="AB16" s="430"/>
      <c r="AC16" s="359">
        <f ca="1">1-AC14-AC15</f>
        <v>0.49</v>
      </c>
      <c r="AD16" s="359">
        <f ca="1">1-AD14-AD15</f>
        <v>0.42999999999999994</v>
      </c>
    </row>
    <row r="17" spans="2:30" ht="15" customHeight="1">
      <c r="B17" s="76" t="s">
        <v>227</v>
      </c>
      <c r="C17" s="378" t="s">
        <v>291</v>
      </c>
      <c r="D17" s="12" t="s">
        <v>839</v>
      </c>
      <c r="E17" s="33">
        <f ca="1">IEAData2!B88*IEAData2!B59*AC17</f>
        <v>1.8898381574500491</v>
      </c>
      <c r="F17" s="33">
        <f ca="1">AuxData2!B88*AuxData2!B59*AD17</f>
        <v>1.7879046609974161</v>
      </c>
      <c r="G17" s="30">
        <v>0.99</v>
      </c>
      <c r="H17" s="343" t="str">
        <f t="shared" si="0"/>
        <v>ELC</v>
      </c>
      <c r="I17" s="65">
        <v>1.08</v>
      </c>
      <c r="J17" s="6">
        <f t="shared" si="4"/>
        <v>0.99</v>
      </c>
      <c r="K17" s="6">
        <f t="shared" si="5"/>
        <v>0.99073729904346342</v>
      </c>
      <c r="L17" s="38">
        <f t="shared" ca="1" si="6"/>
        <v>1.7713438347837991</v>
      </c>
      <c r="M17" s="19">
        <v>1</v>
      </c>
      <c r="N17" s="32">
        <v>0.15</v>
      </c>
      <c r="O17" s="32">
        <v>20</v>
      </c>
      <c r="P17" s="161">
        <f t="shared" ca="1" si="1"/>
        <v>12.472931839170325</v>
      </c>
      <c r="Q17" s="104">
        <f t="shared" ca="1" si="7"/>
        <v>11.808958898558661</v>
      </c>
      <c r="R17" s="104">
        <f t="shared" ca="1" si="8"/>
        <v>5.9044794492793304</v>
      </c>
      <c r="S17" s="104">
        <f ca="1">R17*$AB17</f>
        <v>2.3617917797117323</v>
      </c>
      <c r="T17" s="40"/>
      <c r="U17" s="40"/>
      <c r="V17" s="40">
        <f t="shared" ca="1" si="9"/>
        <v>0.15957446808510636</v>
      </c>
      <c r="W17" s="258">
        <f t="shared" ca="1" si="3"/>
        <v>0.40068240079365258</v>
      </c>
      <c r="Y17" s="430">
        <f ca="1">IF(B16="*",MATCH(LEFT(B17,3),OFFSET(CalibData2!$C$78,1,0,100),0),Y16)</f>
        <v>1</v>
      </c>
      <c r="Z17" s="430">
        <v>3</v>
      </c>
      <c r="AA17" s="430">
        <v>0.5</v>
      </c>
      <c r="AB17" s="430">
        <v>0.4</v>
      </c>
      <c r="AC17" s="359">
        <f ca="1">OFFSET(TechShar,$Y17+$Z17,AC$3)</f>
        <v>0.85</v>
      </c>
      <c r="AD17" s="359">
        <f ca="1">OFFSET(TechShar,$Y17+$Z17,AD$3)</f>
        <v>0.82499999999999996</v>
      </c>
    </row>
    <row r="18" spans="2:30" ht="15" customHeight="1">
      <c r="B18" s="265" t="s">
        <v>228</v>
      </c>
      <c r="C18" s="402" t="s">
        <v>978</v>
      </c>
      <c r="D18" s="12" t="s">
        <v>926</v>
      </c>
      <c r="E18" s="33">
        <f ca="1">IEAData2!B88*IEAData2!B59*AC18</f>
        <v>0.33350085131471463</v>
      </c>
      <c r="F18" s="33">
        <f ca="1">AuxData2!B88*AuxData2!B59*AD18</f>
        <v>0.37925250384793685</v>
      </c>
      <c r="G18" s="65">
        <v>2.63</v>
      </c>
      <c r="H18" s="343" t="str">
        <f t="shared" si="0"/>
        <v>ELC</v>
      </c>
      <c r="I18" s="65">
        <v>1.0269999999999999</v>
      </c>
      <c r="J18" s="67">
        <f t="shared" si="4"/>
        <v>2.63</v>
      </c>
      <c r="K18" s="6">
        <f t="shared" si="5"/>
        <v>2.6995697542551107</v>
      </c>
      <c r="L18" s="38">
        <f t="shared" ca="1" si="6"/>
        <v>1.0238185886134104</v>
      </c>
      <c r="M18" s="19">
        <v>1</v>
      </c>
      <c r="N18" s="65">
        <v>0.15</v>
      </c>
      <c r="O18" s="66">
        <v>15</v>
      </c>
      <c r="P18" s="161">
        <f t="shared" ca="1" si="1"/>
        <v>5.8473815930513302</v>
      </c>
      <c r="Q18" s="104">
        <f t="shared" ca="1" si="7"/>
        <v>6.8254572574227357</v>
      </c>
      <c r="R18" s="104">
        <f t="shared" ca="1" si="8"/>
        <v>3.7540014915825051</v>
      </c>
      <c r="S18" s="104">
        <f ca="1">R18*$AB18</f>
        <v>1.8770007457912525</v>
      </c>
      <c r="T18" s="53"/>
      <c r="U18" s="53"/>
      <c r="V18" s="53">
        <f t="shared" ca="1" si="9"/>
        <v>0.15957446808510636</v>
      </c>
      <c r="W18" s="258">
        <f t="shared" ca="1" si="3"/>
        <v>0.23159032256030643</v>
      </c>
      <c r="Y18" s="430">
        <f ca="1">IF(B17="*",MATCH(LEFT(B18,3),OFFSET(CalibData2!$C$78,1,0,100),0),Y17)</f>
        <v>1</v>
      </c>
      <c r="Z18" s="430"/>
      <c r="AA18" s="430">
        <v>0.55000000000000004</v>
      </c>
      <c r="AB18" s="430">
        <v>0.5</v>
      </c>
      <c r="AC18" s="358">
        <f ca="1">1-AC17</f>
        <v>0.15000000000000002</v>
      </c>
      <c r="AD18" s="358">
        <f ca="1">1-AD17</f>
        <v>0.17500000000000004</v>
      </c>
    </row>
    <row r="19" spans="2:30" ht="15" customHeight="1">
      <c r="B19" s="265" t="s">
        <v>230</v>
      </c>
      <c r="C19" s="402" t="s">
        <v>292</v>
      </c>
      <c r="D19" s="36" t="str">
        <f ca="1">IEAData2!H17</f>
        <v>RESHET</v>
      </c>
      <c r="E19" s="33">
        <f ca="1">IEAData2!B89*IEAData2!B60</f>
        <v>1.2064453423141912</v>
      </c>
      <c r="F19" s="33">
        <f ca="1">AuxData2!B89*AuxData2!B60</f>
        <v>1.1185879466039828</v>
      </c>
      <c r="G19" s="65">
        <v>0.95</v>
      </c>
      <c r="H19" s="343" t="str">
        <f t="shared" si="0"/>
        <v>HET</v>
      </c>
      <c r="I19" s="65">
        <v>1.05</v>
      </c>
      <c r="J19" s="67">
        <f t="shared" si="4"/>
        <v>0.95</v>
      </c>
      <c r="K19" s="6">
        <f t="shared" si="5"/>
        <v>0.95232324709099225</v>
      </c>
      <c r="L19" s="38">
        <f t="shared" ca="1" si="6"/>
        <v>1.0652573054667502</v>
      </c>
      <c r="M19" s="19">
        <v>1</v>
      </c>
      <c r="N19" s="65">
        <v>0.15</v>
      </c>
      <c r="O19" s="66">
        <v>20</v>
      </c>
      <c r="P19" s="161">
        <f t="shared" ca="1" si="1"/>
        <v>7.6408205013232111</v>
      </c>
      <c r="Q19" s="104">
        <f t="shared" ca="1" si="7"/>
        <v>7.1017153697783355</v>
      </c>
      <c r="R19" s="104">
        <f t="shared" ca="1" si="8"/>
        <v>5.3262865273337514</v>
      </c>
      <c r="S19" s="104">
        <f ca="1">R19*$AB19</f>
        <v>2.6631432636668757</v>
      </c>
      <c r="T19" s="53"/>
      <c r="U19" s="53"/>
      <c r="V19" s="53">
        <f t="shared" ca="1" si="9"/>
        <v>0.15957446808510636</v>
      </c>
      <c r="W19" s="258">
        <f t="shared" ca="1" si="3"/>
        <v>0.24096386383928189</v>
      </c>
      <c r="Y19" s="430">
        <f ca="1">IF(B18="*",MATCH(LEFT(B19,3),OFFSET(CalibData2!$C$78,1,0,100),0),Y18)</f>
        <v>1</v>
      </c>
      <c r="Z19" s="430"/>
      <c r="AA19" s="430">
        <v>0.75</v>
      </c>
      <c r="AB19" s="430">
        <v>0.5</v>
      </c>
      <c r="AC19" s="299"/>
      <c r="AD19" s="358"/>
    </row>
    <row r="20" spans="2:30" ht="15" customHeight="1" thickBot="1">
      <c r="B20" s="266" t="s">
        <v>229</v>
      </c>
      <c r="C20" s="403" t="s">
        <v>293</v>
      </c>
      <c r="D20" s="24" t="str">
        <f ca="1">IEAData2!H$18</f>
        <v>RESGEO</v>
      </c>
      <c r="E20" s="34">
        <f ca="1">IEAData2!B90*IEAData2!B61</f>
        <v>0</v>
      </c>
      <c r="F20" s="34">
        <f ca="1">AuxData2!B90*AuxData2!B61</f>
        <v>0</v>
      </c>
      <c r="G20" s="71">
        <v>3</v>
      </c>
      <c r="H20" s="464" t="str">
        <f t="shared" si="0"/>
        <v>GEO</v>
      </c>
      <c r="I20" s="86">
        <v>1.08</v>
      </c>
      <c r="J20" s="21">
        <f t="shared" si="4"/>
        <v>3</v>
      </c>
      <c r="K20" s="21">
        <f t="shared" si="5"/>
        <v>3.2756006988416777</v>
      </c>
      <c r="L20" s="465">
        <f t="shared" ca="1" si="6"/>
        <v>0</v>
      </c>
      <c r="M20" s="73">
        <v>1</v>
      </c>
      <c r="N20" s="31">
        <v>0.15</v>
      </c>
      <c r="O20" s="72">
        <v>20</v>
      </c>
      <c r="P20" s="162">
        <f t="shared" ca="1" si="1"/>
        <v>0</v>
      </c>
      <c r="Q20" s="117">
        <f t="shared" ca="1" si="7"/>
        <v>0</v>
      </c>
      <c r="R20" s="117">
        <f ca="1">Q20*AA20</f>
        <v>0</v>
      </c>
      <c r="S20" s="352">
        <f ca="1">Q20*$AB20</f>
        <v>0</v>
      </c>
      <c r="T20" s="54"/>
      <c r="U20" s="54"/>
      <c r="V20" s="54">
        <f ca="1">N20*$I$44</f>
        <v>0.15957446808510636</v>
      </c>
      <c r="W20" s="258">
        <f ca="1">IF($L$35=0,0,L20/$L$35)</f>
        <v>0</v>
      </c>
      <c r="Y20" s="430">
        <v>1</v>
      </c>
      <c r="Z20" s="430"/>
      <c r="AA20" s="430">
        <v>0.8</v>
      </c>
      <c r="AB20" s="430">
        <v>0.5</v>
      </c>
      <c r="AC20" s="299"/>
      <c r="AD20" s="358"/>
    </row>
    <row r="21" spans="2:30" ht="15" customHeight="1">
      <c r="B21" s="575" t="s">
        <v>999</v>
      </c>
      <c r="C21" s="452" t="s">
        <v>1001</v>
      </c>
      <c r="D21" s="452"/>
      <c r="E21" s="453">
        <f ca="1">SUM(E7:E19)</f>
        <v>4.6347480246009969</v>
      </c>
      <c r="F21" s="453">
        <f ca="1">SUM(F7:F19)</f>
        <v>4.0205830731626886</v>
      </c>
      <c r="G21" s="453"/>
      <c r="H21" s="453">
        <f ca="1">J21</f>
        <v>4.7968501401593882</v>
      </c>
      <c r="I21" s="452"/>
      <c r="J21" s="467">
        <f ca="1">SUMPRODUCT(J7:J20,E7:E20)</f>
        <v>4.7968501401593882</v>
      </c>
      <c r="K21" s="467">
        <f ca="1">SUMPRODUCT(K7:K20,F7:F20)</f>
        <v>4.4208176632545024</v>
      </c>
      <c r="L21" s="453">
        <f ca="1">SUM(L7:L20)</f>
        <v>4.4208176632545024</v>
      </c>
      <c r="M21" s="452"/>
      <c r="N21" s="452"/>
      <c r="O21" s="453"/>
      <c r="P21" s="467">
        <f ca="1">SUM(P7:P20)</f>
        <v>31.979000934395923</v>
      </c>
      <c r="Q21" s="452"/>
      <c r="R21" s="452"/>
      <c r="S21" s="260"/>
      <c r="T21" s="452"/>
      <c r="U21" s="452"/>
      <c r="V21" s="452"/>
      <c r="W21" s="259">
        <f ca="1">SUM(W7:W19)</f>
        <v>1</v>
      </c>
    </row>
    <row r="22" spans="2:30" ht="15" customHeight="1">
      <c r="B22" s="76" t="s">
        <v>648</v>
      </c>
      <c r="C22" s="378" t="s">
        <v>294</v>
      </c>
      <c r="D22" s="12" t="str">
        <f ca="1">IEAData2!H9</f>
        <v>RESNGA</v>
      </c>
      <c r="E22" s="33">
        <f ca="1">IEAData2!B81*IEAData2!C52*AC22</f>
        <v>0.12357781835231607</v>
      </c>
      <c r="F22" s="33">
        <f ca="1">AuxData2!B81*AuxData2!C52*AD22</f>
        <v>0.18473959433320825</v>
      </c>
      <c r="G22" s="29">
        <v>0.78</v>
      </c>
      <c r="H22" s="343" t="str">
        <f t="shared" ref="H22:H34" si="10">RIGHT(D22,3)</f>
        <v>NGA</v>
      </c>
      <c r="I22" s="66">
        <v>1.08</v>
      </c>
      <c r="J22" s="6">
        <f t="shared" ref="J22:J34" si="11">G22</f>
        <v>0.78</v>
      </c>
      <c r="K22" s="6">
        <f t="shared" ref="K22:K34" si="12">J22^IF(J22&gt;1,I22,1/I22)</f>
        <v>0.7944884630222161</v>
      </c>
      <c r="L22" s="38">
        <f t="shared" ref="L22:L34" ca="1" si="13">F22*K22</f>
        <v>0.14677347636113833</v>
      </c>
      <c r="M22" s="19">
        <v>1</v>
      </c>
      <c r="N22" s="30">
        <v>0.2</v>
      </c>
      <c r="O22" s="32">
        <v>20</v>
      </c>
      <c r="P22" s="38">
        <f t="shared" ref="P22:P34" ca="1" si="14">E22*J22/$N22</f>
        <v>0.48195349157403267</v>
      </c>
      <c r="Q22" s="104">
        <f t="shared" ref="Q22:Q34" ca="1" si="15">F22*K22/N22</f>
        <v>0.73386738180569155</v>
      </c>
      <c r="R22" s="185">
        <f t="shared" ref="R22:R32" ca="1" si="16">Q22*AA22</f>
        <v>0.51370716726398402</v>
      </c>
      <c r="S22" s="185">
        <f ca="1">Q22*$AB22</f>
        <v>0.14677347636113833</v>
      </c>
      <c r="T22" s="40"/>
      <c r="U22" s="40"/>
      <c r="V22" s="40">
        <f t="shared" ref="V22:V34" ca="1" si="17">N22*$I$44</f>
        <v>0.21276595744680851</v>
      </c>
      <c r="W22" s="258">
        <f t="shared" ref="W22:W34" ca="1" si="18">IF($L$35=0,0,L22/$L$35)</f>
        <v>8.9609624672993462E-3</v>
      </c>
      <c r="Y22" s="430">
        <f ca="1">IF(B21="*",MATCH(LEFT(B22,3),OFFSET(CalibData2!$C$78,1,0,100),0),Y21)</f>
        <v>5</v>
      </c>
      <c r="Z22" s="430">
        <v>0</v>
      </c>
      <c r="AA22" s="430">
        <v>0.7</v>
      </c>
      <c r="AB22" s="430">
        <v>0.2</v>
      </c>
      <c r="AC22" s="359">
        <f ca="1">OFFSET(TechShar,$Y22+$Z22,AC$3)</f>
        <v>1</v>
      </c>
      <c r="AD22" s="359">
        <f ca="1">OFFSET(TechShar,$Y22+$Z22,AD$3)</f>
        <v>1</v>
      </c>
    </row>
    <row r="23" spans="2:30" ht="15" customHeight="1">
      <c r="B23" s="76" t="s">
        <v>339</v>
      </c>
      <c r="C23" s="378" t="s">
        <v>295</v>
      </c>
      <c r="D23" s="12" t="str">
        <f ca="1">IEAData2!H9</f>
        <v>RESNGA</v>
      </c>
      <c r="E23" s="33">
        <f ca="1">IEAData2!B81*IEAData2!C52*AC23</f>
        <v>0</v>
      </c>
      <c r="F23" s="33">
        <f ca="1">AuxData2!B81*AuxData2!C52*AD23</f>
        <v>0</v>
      </c>
      <c r="G23" s="29">
        <v>1.8</v>
      </c>
      <c r="H23" s="343" t="str">
        <f t="shared" si="10"/>
        <v>NGA</v>
      </c>
      <c r="I23" s="66">
        <v>1.05</v>
      </c>
      <c r="J23" s="6">
        <f t="shared" si="11"/>
        <v>1.8</v>
      </c>
      <c r="K23" s="6">
        <f t="shared" si="12"/>
        <v>1.853685831102299</v>
      </c>
      <c r="L23" s="38">
        <f t="shared" ca="1" si="13"/>
        <v>0</v>
      </c>
      <c r="M23" s="19">
        <v>1</v>
      </c>
      <c r="N23" s="30">
        <v>0.2</v>
      </c>
      <c r="O23" s="32">
        <v>20</v>
      </c>
      <c r="P23" s="161">
        <f t="shared" ca="1" si="14"/>
        <v>0</v>
      </c>
      <c r="Q23" s="104">
        <f t="shared" ca="1" si="15"/>
        <v>0</v>
      </c>
      <c r="R23" s="185">
        <f t="shared" ca="1" si="16"/>
        <v>0</v>
      </c>
      <c r="S23" s="185">
        <f t="shared" ref="S23:S34" ca="1" si="19">Q23*$AB23</f>
        <v>0</v>
      </c>
      <c r="T23" s="40"/>
      <c r="U23" s="40"/>
      <c r="V23" s="40">
        <f t="shared" ca="1" si="17"/>
        <v>0.21276595744680851</v>
      </c>
      <c r="W23" s="258">
        <f t="shared" ca="1" si="18"/>
        <v>0</v>
      </c>
      <c r="Y23" s="430">
        <f ca="1">IF(B22="*",MATCH(LEFT(B23,3),OFFSET(CalibData2!$C$78,1,0,100),0),Y22)</f>
        <v>5</v>
      </c>
      <c r="Z23" s="430">
        <v>0</v>
      </c>
      <c r="AA23" s="430">
        <v>0.7</v>
      </c>
      <c r="AB23" s="430">
        <v>0.2</v>
      </c>
      <c r="AC23" s="358">
        <f ca="1">1-AC22</f>
        <v>0</v>
      </c>
      <c r="AD23" s="358">
        <f ca="1">1-AD22</f>
        <v>0</v>
      </c>
    </row>
    <row r="24" spans="2:30" ht="15" customHeight="1">
      <c r="B24" s="76" t="s">
        <v>649</v>
      </c>
      <c r="C24" s="378" t="s">
        <v>296</v>
      </c>
      <c r="D24" s="12" t="str">
        <f ca="1">IEAData2!H10</f>
        <v>RESDST</v>
      </c>
      <c r="E24" s="33">
        <f ca="1">IEAData2!B82*IEAData2!C53</f>
        <v>0.47802518561315838</v>
      </c>
      <c r="F24" s="33">
        <f ca="1">AuxData2!B82*AuxData2!C53</f>
        <v>0.30828914073155417</v>
      </c>
      <c r="G24" s="29">
        <v>0.78</v>
      </c>
      <c r="H24" s="343" t="str">
        <f t="shared" si="10"/>
        <v>DST</v>
      </c>
      <c r="I24" s="66">
        <v>1.08</v>
      </c>
      <c r="J24" s="6">
        <f t="shared" si="11"/>
        <v>0.78</v>
      </c>
      <c r="K24" s="6">
        <f t="shared" si="12"/>
        <v>0.7944884630222161</v>
      </c>
      <c r="L24" s="38">
        <f t="shared" ca="1" si="13"/>
        <v>0.24493216558625214</v>
      </c>
      <c r="M24" s="19">
        <v>1</v>
      </c>
      <c r="N24" s="30">
        <v>0.2</v>
      </c>
      <c r="O24" s="32">
        <v>20</v>
      </c>
      <c r="P24" s="161">
        <f t="shared" ca="1" si="14"/>
        <v>1.8642982238913177</v>
      </c>
      <c r="Q24" s="104">
        <f t="shared" ca="1" si="15"/>
        <v>1.2246608279312605</v>
      </c>
      <c r="R24" s="185">
        <f t="shared" ca="1" si="16"/>
        <v>0.85726257955188234</v>
      </c>
      <c r="S24" s="185">
        <f t="shared" ca="1" si="19"/>
        <v>0.24493216558625211</v>
      </c>
      <c r="T24" s="40"/>
      <c r="U24" s="40"/>
      <c r="V24" s="40">
        <f t="shared" ca="1" si="17"/>
        <v>0.21276595744680851</v>
      </c>
      <c r="W24" s="258">
        <f t="shared" ca="1" si="18"/>
        <v>1.4953845866894555E-2</v>
      </c>
      <c r="Y24" s="430">
        <f ca="1">IF(B23="*",MATCH(LEFT(B24,3),OFFSET(CalibData2!$C$78,1,0,100),0),Y23)</f>
        <v>5</v>
      </c>
      <c r="Z24" s="430"/>
      <c r="AA24" s="430">
        <v>0.7</v>
      </c>
      <c r="AB24" s="430">
        <v>0.2</v>
      </c>
      <c r="AC24" s="294"/>
      <c r="AD24" s="358"/>
    </row>
    <row r="25" spans="2:30" ht="15" customHeight="1">
      <c r="B25" s="265" t="s">
        <v>650</v>
      </c>
      <c r="C25" s="404" t="s">
        <v>132</v>
      </c>
      <c r="D25" s="12" t="str">
        <f ca="1">IEAData2!H11</f>
        <v>RESHFO</v>
      </c>
      <c r="E25" s="33">
        <f ca="1">IEAData2!B83*IEAData2!C54</f>
        <v>0</v>
      </c>
      <c r="F25" s="33">
        <f ca="1">AuxData2!B83*AuxData2!C54</f>
        <v>0</v>
      </c>
      <c r="G25" s="29">
        <v>0.75</v>
      </c>
      <c r="H25" s="343" t="str">
        <f t="shared" si="10"/>
        <v>HFO</v>
      </c>
      <c r="I25" s="66">
        <v>1.08</v>
      </c>
      <c r="J25" s="67">
        <f t="shared" si="11"/>
        <v>0.75</v>
      </c>
      <c r="K25" s="6">
        <f t="shared" si="12"/>
        <v>0.76615384351661076</v>
      </c>
      <c r="L25" s="38">
        <f t="shared" ca="1" si="13"/>
        <v>0</v>
      </c>
      <c r="M25" s="19">
        <v>1</v>
      </c>
      <c r="N25" s="65">
        <v>0.2</v>
      </c>
      <c r="O25" s="68">
        <v>20</v>
      </c>
      <c r="P25" s="161">
        <f t="shared" ca="1" si="14"/>
        <v>0</v>
      </c>
      <c r="Q25" s="104">
        <f t="shared" ca="1" si="15"/>
        <v>0</v>
      </c>
      <c r="R25" s="185">
        <f t="shared" ca="1" si="16"/>
        <v>0</v>
      </c>
      <c r="S25" s="185">
        <f t="shared" ca="1" si="19"/>
        <v>0</v>
      </c>
      <c r="T25" s="53"/>
      <c r="U25" s="40"/>
      <c r="V25" s="40">
        <f t="shared" ca="1" si="17"/>
        <v>0.21276595744680851</v>
      </c>
      <c r="W25" s="258">
        <f t="shared" ca="1" si="18"/>
        <v>0</v>
      </c>
      <c r="Y25" s="430">
        <f ca="1">IF(B24="*",MATCH(LEFT(B25,3),OFFSET(CalibData2!$C$78,1,0,100),0),Y24)</f>
        <v>5</v>
      </c>
      <c r="Z25" s="430"/>
      <c r="AA25" s="430">
        <v>0.7</v>
      </c>
      <c r="AB25" s="430">
        <v>0.2</v>
      </c>
      <c r="AC25" s="294"/>
      <c r="AD25" s="358"/>
    </row>
    <row r="26" spans="2:30" ht="15" customHeight="1">
      <c r="B26" s="265" t="s">
        <v>299</v>
      </c>
      <c r="C26" s="402" t="s">
        <v>297</v>
      </c>
      <c r="D26" s="12" t="str">
        <f ca="1">IEAData2!H12</f>
        <v>RESKER</v>
      </c>
      <c r="E26" s="33">
        <f ca="1">IEAData2!B84*IEAData2!C55</f>
        <v>0</v>
      </c>
      <c r="F26" s="33">
        <f ca="1">AuxData2!B84*AuxData2!C55</f>
        <v>0</v>
      </c>
      <c r="G26" s="69">
        <v>0.7</v>
      </c>
      <c r="H26" s="343" t="str">
        <f t="shared" si="10"/>
        <v>KER</v>
      </c>
      <c r="I26" s="66">
        <v>1.08</v>
      </c>
      <c r="J26" s="67">
        <f t="shared" si="11"/>
        <v>0.7</v>
      </c>
      <c r="K26" s="6">
        <f t="shared" si="12"/>
        <v>0.71874073476094202</v>
      </c>
      <c r="L26" s="38">
        <f t="shared" ca="1" si="13"/>
        <v>0</v>
      </c>
      <c r="M26" s="19">
        <v>1</v>
      </c>
      <c r="N26" s="65">
        <v>0.2</v>
      </c>
      <c r="O26" s="68">
        <v>20</v>
      </c>
      <c r="P26" s="161">
        <f t="shared" ca="1" si="14"/>
        <v>0</v>
      </c>
      <c r="Q26" s="104">
        <f t="shared" ca="1" si="15"/>
        <v>0</v>
      </c>
      <c r="R26" s="185">
        <f t="shared" ca="1" si="16"/>
        <v>0</v>
      </c>
      <c r="S26" s="185">
        <f t="shared" ca="1" si="19"/>
        <v>0</v>
      </c>
      <c r="T26" s="53"/>
      <c r="U26" s="40"/>
      <c r="V26" s="40">
        <f t="shared" ca="1" si="17"/>
        <v>0.21276595744680851</v>
      </c>
      <c r="W26" s="258">
        <f t="shared" ca="1" si="18"/>
        <v>0</v>
      </c>
      <c r="Y26" s="430">
        <f ca="1">IF(B25="*",MATCH(LEFT(B26,3),OFFSET(CalibData2!$C$78,1,0,100),0),Y25)</f>
        <v>5</v>
      </c>
      <c r="Z26" s="430"/>
      <c r="AA26" s="430">
        <v>0.7</v>
      </c>
      <c r="AB26" s="430">
        <v>0.2</v>
      </c>
      <c r="AC26" s="294"/>
      <c r="AD26" s="358"/>
    </row>
    <row r="27" spans="2:30" ht="15" customHeight="1">
      <c r="B27" s="76" t="s">
        <v>1033</v>
      </c>
      <c r="C27" s="378" t="s">
        <v>1040</v>
      </c>
      <c r="D27" s="12" t="str">
        <f ca="1">IEAData2!H13</f>
        <v>RESCOP</v>
      </c>
      <c r="E27" s="33">
        <f ca="1">IEAData2!B85*IEAData2!C56</f>
        <v>0</v>
      </c>
      <c r="F27" s="33">
        <f ca="1">AuxData2!B85*AuxData2!C56</f>
        <v>0</v>
      </c>
      <c r="G27" s="30">
        <v>0.69</v>
      </c>
      <c r="H27" s="343" t="str">
        <f t="shared" si="10"/>
        <v>COP</v>
      </c>
      <c r="I27" s="66">
        <v>1.08</v>
      </c>
      <c r="J27" s="6">
        <f t="shared" si="11"/>
        <v>0.69</v>
      </c>
      <c r="K27" s="6">
        <f t="shared" si="12"/>
        <v>0.70922852602515762</v>
      </c>
      <c r="L27" s="38">
        <f t="shared" ca="1" si="13"/>
        <v>0</v>
      </c>
      <c r="M27" s="19">
        <v>1</v>
      </c>
      <c r="N27" s="30">
        <v>0.2</v>
      </c>
      <c r="O27" s="32">
        <v>20</v>
      </c>
      <c r="P27" s="161">
        <f t="shared" ca="1" si="14"/>
        <v>0</v>
      </c>
      <c r="Q27" s="104">
        <f t="shared" ca="1" si="15"/>
        <v>0</v>
      </c>
      <c r="R27" s="185">
        <f t="shared" ca="1" si="16"/>
        <v>0</v>
      </c>
      <c r="S27" s="185">
        <f t="shared" ca="1" si="19"/>
        <v>0</v>
      </c>
      <c r="T27" s="40"/>
      <c r="U27" s="40"/>
      <c r="V27" s="40">
        <f t="shared" ca="1" si="17"/>
        <v>0.21276595744680851</v>
      </c>
      <c r="W27" s="258">
        <f t="shared" ca="1" si="18"/>
        <v>0</v>
      </c>
      <c r="Y27" s="430">
        <f ca="1">IF(B26="*",MATCH(LEFT(B27,3),OFFSET(CalibData2!$C$78,1,0,100),0),Y26)</f>
        <v>5</v>
      </c>
      <c r="Z27" s="430"/>
      <c r="AA27" s="430">
        <v>0.7</v>
      </c>
      <c r="AB27" s="430">
        <v>0.2</v>
      </c>
      <c r="AC27" s="294"/>
      <c r="AD27" s="358"/>
    </row>
    <row r="28" spans="2:30" ht="15" customHeight="1">
      <c r="B28" s="76" t="s">
        <v>651</v>
      </c>
      <c r="C28" s="378" t="s">
        <v>120</v>
      </c>
      <c r="D28" s="12" t="str">
        <f ca="1">IEAData2!H14</f>
        <v>RESLPG</v>
      </c>
      <c r="E28" s="33">
        <f ca="1">IEAData2!B86*IEAData2!C57</f>
        <v>0</v>
      </c>
      <c r="F28" s="33">
        <f ca="1">AuxData2!B86*AuxData2!C57</f>
        <v>0</v>
      </c>
      <c r="G28" s="30">
        <v>0.75</v>
      </c>
      <c r="H28" s="343" t="str">
        <f t="shared" si="10"/>
        <v>LPG</v>
      </c>
      <c r="I28" s="66">
        <v>1.08</v>
      </c>
      <c r="J28" s="6">
        <f t="shared" si="11"/>
        <v>0.75</v>
      </c>
      <c r="K28" s="6">
        <f t="shared" si="12"/>
        <v>0.76615384351661076</v>
      </c>
      <c r="L28" s="38">
        <f t="shared" ca="1" si="13"/>
        <v>0</v>
      </c>
      <c r="M28" s="19">
        <v>1</v>
      </c>
      <c r="N28" s="30">
        <v>0.2</v>
      </c>
      <c r="O28" s="32">
        <v>20</v>
      </c>
      <c r="P28" s="161">
        <f t="shared" ca="1" si="14"/>
        <v>0</v>
      </c>
      <c r="Q28" s="104">
        <f t="shared" ca="1" si="15"/>
        <v>0</v>
      </c>
      <c r="R28" s="185">
        <f t="shared" ca="1" si="16"/>
        <v>0</v>
      </c>
      <c r="S28" s="185">
        <f t="shared" ca="1" si="19"/>
        <v>0</v>
      </c>
      <c r="T28" s="40"/>
      <c r="U28" s="40"/>
      <c r="V28" s="40">
        <f t="shared" ca="1" si="17"/>
        <v>0.21276595744680851</v>
      </c>
      <c r="W28" s="258">
        <f t="shared" ca="1" si="18"/>
        <v>0</v>
      </c>
      <c r="Y28" s="430">
        <f ca="1">IF(B27="*",MATCH(LEFT(B28,3),OFFSET(CalibData2!$C$78,1,0,100),0),Y27)</f>
        <v>5</v>
      </c>
      <c r="Z28" s="430"/>
      <c r="AA28" s="430">
        <v>0.7</v>
      </c>
      <c r="AB28" s="430">
        <v>0.2</v>
      </c>
      <c r="AC28" s="294"/>
      <c r="AD28" s="358"/>
    </row>
    <row r="29" spans="2:30" ht="15" customHeight="1">
      <c r="B29" s="76" t="s">
        <v>1011</v>
      </c>
      <c r="C29" s="378" t="s">
        <v>1012</v>
      </c>
      <c r="D29" s="12" t="s">
        <v>931</v>
      </c>
      <c r="E29" s="33">
        <f ca="1">IEAData2!B87*IEAData2!C58*AC29</f>
        <v>7.517897320059027E-3</v>
      </c>
      <c r="F29" s="33">
        <f ca="1">AuxData2!B87*AuxData2!C58*AD29</f>
        <v>7.1789889658228816E-3</v>
      </c>
      <c r="G29" s="30">
        <f>G15*1.05</f>
        <v>0.82320000000000004</v>
      </c>
      <c r="H29" s="343" t="str">
        <f>MID(B29,4,3)</f>
        <v>BIO</v>
      </c>
      <c r="I29" s="65">
        <v>1.08</v>
      </c>
      <c r="J29" s="6">
        <f>G29</f>
        <v>0.82320000000000004</v>
      </c>
      <c r="K29" s="6">
        <f>J29^IF(J29&gt;1,I29,1/I29)</f>
        <v>0.83514949693639651</v>
      </c>
      <c r="L29" s="38">
        <f ca="1">F29*K29</f>
        <v>5.9955290233189209E-3</v>
      </c>
      <c r="M29" s="19">
        <v>1</v>
      </c>
      <c r="N29" s="30">
        <v>0.2</v>
      </c>
      <c r="O29" s="32">
        <v>20</v>
      </c>
      <c r="P29" s="161">
        <f ca="1">E29*J29/$N29</f>
        <v>3.0943665369362956E-2</v>
      </c>
      <c r="Q29" s="104">
        <f ca="1">F29*K29/N29</f>
        <v>2.9977645116594603E-2</v>
      </c>
      <c r="R29" s="104">
        <f ca="1">MAX(P29*0.33,Q29*AA29)</f>
        <v>2.0984351581616222E-2</v>
      </c>
      <c r="S29" s="104">
        <f ca="1">R29*$AB29</f>
        <v>4.1968703163232446E-3</v>
      </c>
      <c r="T29" s="185"/>
      <c r="U29" s="40"/>
      <c r="V29" s="40">
        <f ca="1">N29*$I$43</f>
        <v>0.21276595744680851</v>
      </c>
      <c r="W29" s="258">
        <f t="shared" ca="1" si="18"/>
        <v>3.6604509126275545E-4</v>
      </c>
      <c r="Y29" s="430">
        <f ca="1">IF(B28="*",MATCH(LEFT(B29,3),OFFSET(CalibData2!$C$78,1,0,100),0),Y28)</f>
        <v>5</v>
      </c>
      <c r="Z29" s="430">
        <v>1</v>
      </c>
      <c r="AA29" s="430">
        <v>0.7</v>
      </c>
      <c r="AB29" s="430">
        <v>0.2</v>
      </c>
      <c r="AC29" s="359">
        <f ca="1">OFFSET(TechShar,$Y29+$Z29,AC$3)</f>
        <v>0.4</v>
      </c>
      <c r="AD29" s="359">
        <f ca="1">OFFSET(TechShar,$Y29+$Z29,AD$3)</f>
        <v>0.5</v>
      </c>
    </row>
    <row r="30" spans="2:30" ht="15" customHeight="1">
      <c r="B30" s="76" t="s">
        <v>652</v>
      </c>
      <c r="C30" s="378" t="s">
        <v>1051</v>
      </c>
      <c r="D30" s="12" t="str">
        <f ca="1">IEAData2!H15</f>
        <v>RESBIO</v>
      </c>
      <c r="E30" s="33">
        <f ca="1">IEAData2!B87*IEAData2!C58*AC30</f>
        <v>1.1276845980088539E-2</v>
      </c>
      <c r="F30" s="33">
        <f ca="1">AuxData2!B87*AuxData2!C58*AD30</f>
        <v>7.1789889658228816E-3</v>
      </c>
      <c r="G30" s="30">
        <f>G14*1.05</f>
        <v>0.71400000000000008</v>
      </c>
      <c r="H30" s="343" t="str">
        <f t="shared" si="10"/>
        <v>BIO</v>
      </c>
      <c r="I30" s="66">
        <v>1.08</v>
      </c>
      <c r="J30" s="6">
        <f t="shared" si="11"/>
        <v>0.71400000000000008</v>
      </c>
      <c r="K30" s="6">
        <f t="shared" si="12"/>
        <v>0.73204095897228749</v>
      </c>
      <c r="L30" s="38">
        <f t="shared" ca="1" si="13"/>
        <v>5.2553139669924524E-3</v>
      </c>
      <c r="M30" s="19">
        <v>1</v>
      </c>
      <c r="N30" s="30">
        <v>0.2</v>
      </c>
      <c r="O30" s="32">
        <v>20</v>
      </c>
      <c r="P30" s="161">
        <f t="shared" ca="1" si="14"/>
        <v>4.0258340148916084E-2</v>
      </c>
      <c r="Q30" s="104">
        <f t="shared" ca="1" si="15"/>
        <v>2.6276569834962262E-2</v>
      </c>
      <c r="R30" s="185">
        <f t="shared" ca="1" si="16"/>
        <v>1.8393598884473582E-2</v>
      </c>
      <c r="S30" s="185">
        <f t="shared" ca="1" si="19"/>
        <v>5.2553139669924524E-3</v>
      </c>
      <c r="T30" s="40"/>
      <c r="U30" s="40"/>
      <c r="V30" s="40">
        <f t="shared" ca="1" si="17"/>
        <v>0.21276595744680851</v>
      </c>
      <c r="W30" s="258">
        <f t="shared" ca="1" si="18"/>
        <v>3.2085273429254468E-4</v>
      </c>
      <c r="Y30" s="430">
        <f ca="1">IF(B28="*",MATCH(LEFT(B30,3),OFFSET(CalibData2!$C$78,1,0,100),0),Y28)</f>
        <v>5</v>
      </c>
      <c r="Z30" s="430"/>
      <c r="AA30" s="430">
        <v>0.7</v>
      </c>
      <c r="AB30" s="430">
        <v>0.2</v>
      </c>
      <c r="AC30" s="359">
        <f ca="1">1-AC29</f>
        <v>0.6</v>
      </c>
      <c r="AD30" s="359">
        <f ca="1">1-AD29</f>
        <v>0.5</v>
      </c>
    </row>
    <row r="31" spans="2:30" ht="15" customHeight="1">
      <c r="B31" s="76" t="s">
        <v>653</v>
      </c>
      <c r="C31" s="378" t="s">
        <v>121</v>
      </c>
      <c r="D31" s="12" t="s">
        <v>839</v>
      </c>
      <c r="E31" s="33">
        <f ca="1">IEAData2!B88*IEAData2!C59*AC31</f>
        <v>0.45549618790580176</v>
      </c>
      <c r="F31" s="33">
        <f ca="1">AuxData2!B88*AuxData2!C59*AD31</f>
        <v>0.40429343999436046</v>
      </c>
      <c r="G31" s="30">
        <v>0.99</v>
      </c>
      <c r="H31" s="343" t="str">
        <f t="shared" si="10"/>
        <v>ELC</v>
      </c>
      <c r="I31" s="66">
        <v>1.08</v>
      </c>
      <c r="J31" s="6">
        <f t="shared" si="11"/>
        <v>0.99</v>
      </c>
      <c r="K31" s="6">
        <f t="shared" si="12"/>
        <v>0.99073729904346342</v>
      </c>
      <c r="L31" s="38">
        <f t="shared" ca="1" si="13"/>
        <v>0.40054859076100324</v>
      </c>
      <c r="M31" s="19">
        <v>1</v>
      </c>
      <c r="N31" s="30">
        <v>0.2</v>
      </c>
      <c r="O31" s="32">
        <v>20</v>
      </c>
      <c r="P31" s="161">
        <f t="shared" ca="1" si="14"/>
        <v>2.2547061301337186</v>
      </c>
      <c r="Q31" s="104">
        <f t="shared" ca="1" si="15"/>
        <v>2.0027429538050159</v>
      </c>
      <c r="R31" s="185">
        <f t="shared" ca="1" si="16"/>
        <v>1.4019200676635111</v>
      </c>
      <c r="S31" s="185">
        <f t="shared" ca="1" si="19"/>
        <v>0.40054859076100319</v>
      </c>
      <c r="T31" s="40"/>
      <c r="U31" s="40"/>
      <c r="V31" s="40">
        <f t="shared" ca="1" si="17"/>
        <v>0.21276595744680851</v>
      </c>
      <c r="W31" s="258">
        <f t="shared" ca="1" si="18"/>
        <v>2.4454696973365046E-2</v>
      </c>
      <c r="Y31" s="430">
        <f ca="1">IF(B30="*",MATCH(LEFT(B31,3),OFFSET(CalibData2!$C$78,1,0,100),0),Y30)</f>
        <v>5</v>
      </c>
      <c r="Z31" s="430">
        <v>2</v>
      </c>
      <c r="AA31" s="430">
        <v>0.7</v>
      </c>
      <c r="AB31" s="430">
        <v>0.2</v>
      </c>
      <c r="AC31" s="359">
        <f ca="1">OFFSET(TechShar,$Y31+$Z31,AC$3)</f>
        <v>0.99</v>
      </c>
      <c r="AD31" s="359">
        <f ca="1">OFFSET(TechShar,$Y31+$Z31,AD$3)</f>
        <v>0.91</v>
      </c>
    </row>
    <row r="32" spans="2:30" ht="15" customHeight="1">
      <c r="B32" s="265" t="s">
        <v>992</v>
      </c>
      <c r="C32" s="402" t="s">
        <v>271</v>
      </c>
      <c r="D32" s="12" t="s">
        <v>926</v>
      </c>
      <c r="E32" s="33">
        <f ca="1">IEAData2!B88*IEAData2!C59*AC32</f>
        <v>4.6009715950081024E-3</v>
      </c>
      <c r="F32" s="33">
        <f ca="1">AuxData2!B88*AuxData2!C59*AD32</f>
        <v>3.9985065493947723E-2</v>
      </c>
      <c r="G32" s="65">
        <v>2.6</v>
      </c>
      <c r="H32" s="343" t="str">
        <f t="shared" si="10"/>
        <v>ELC</v>
      </c>
      <c r="I32" s="66">
        <v>1.02</v>
      </c>
      <c r="J32" s="6">
        <f t="shared" si="11"/>
        <v>2.6</v>
      </c>
      <c r="K32" s="6">
        <f t="shared" si="12"/>
        <v>2.6501643950130953</v>
      </c>
      <c r="L32" s="38">
        <f t="shared" ca="1" si="13"/>
        <v>0.10596699690432695</v>
      </c>
      <c r="M32" s="19">
        <v>1</v>
      </c>
      <c r="N32" s="65">
        <v>0.2</v>
      </c>
      <c r="O32" s="66">
        <v>15</v>
      </c>
      <c r="P32" s="161">
        <f t="shared" ca="1" si="14"/>
        <v>5.9812630735105329E-2</v>
      </c>
      <c r="Q32" s="104">
        <f t="shared" ca="1" si="15"/>
        <v>0.52983498452163469</v>
      </c>
      <c r="R32" s="185">
        <f t="shared" ca="1" si="16"/>
        <v>0.37088448916514427</v>
      </c>
      <c r="S32" s="185">
        <f t="shared" ca="1" si="19"/>
        <v>0.10596699690432694</v>
      </c>
      <c r="T32" s="53"/>
      <c r="U32" s="53"/>
      <c r="V32" s="40">
        <f t="shared" ca="1" si="17"/>
        <v>0.21276595744680851</v>
      </c>
      <c r="W32" s="258">
        <f t="shared" ca="1" si="18"/>
        <v>6.4696040836130222E-3</v>
      </c>
      <c r="Y32" s="430">
        <f ca="1">IF(B31="*",MATCH(LEFT(B32,3),OFFSET(CalibData2!$C$78,1,0,100),0),Y31)</f>
        <v>5</v>
      </c>
      <c r="Z32" s="430">
        <v>2</v>
      </c>
      <c r="AA32" s="430">
        <v>0.7</v>
      </c>
      <c r="AB32" s="430">
        <v>0.2</v>
      </c>
      <c r="AC32" s="358">
        <f ca="1">1-AC31</f>
        <v>1.0000000000000009E-2</v>
      </c>
      <c r="AD32" s="358">
        <f ca="1">1-AD31</f>
        <v>8.9999999999999969E-2</v>
      </c>
    </row>
    <row r="33" spans="1:30" ht="15" customHeight="1">
      <c r="B33" s="265" t="s">
        <v>155</v>
      </c>
      <c r="C33" s="402" t="s">
        <v>272</v>
      </c>
      <c r="D33" s="12" t="str">
        <f ca="1">IEAData2!H17</f>
        <v>RESHET</v>
      </c>
      <c r="E33" s="33">
        <f ca="1">IEAData2!B89*IEAData2!C60</f>
        <v>17.476557457685811</v>
      </c>
      <c r="F33" s="33">
        <f ca="1">AuxData2!B89*AuxData2!C60</f>
        <v>16.222180053396016</v>
      </c>
      <c r="G33" s="65">
        <v>0.95</v>
      </c>
      <c r="H33" s="343" t="str">
        <f t="shared" si="10"/>
        <v>HET</v>
      </c>
      <c r="I33" s="66">
        <v>1.08</v>
      </c>
      <c r="J33" s="67">
        <f t="shared" si="11"/>
        <v>0.95</v>
      </c>
      <c r="K33" s="6">
        <f t="shared" si="12"/>
        <v>0.95361639402347087</v>
      </c>
      <c r="L33" s="38">
        <f t="shared" ca="1" si="13"/>
        <v>15.469736845718986</v>
      </c>
      <c r="M33" s="19">
        <v>1</v>
      </c>
      <c r="N33" s="65">
        <v>0.2</v>
      </c>
      <c r="O33" s="66">
        <v>20</v>
      </c>
      <c r="P33" s="161">
        <f t="shared" ca="1" si="14"/>
        <v>83.013647924007586</v>
      </c>
      <c r="Q33" s="104">
        <f t="shared" ca="1" si="15"/>
        <v>77.348684228594919</v>
      </c>
      <c r="R33" s="185">
        <f ca="1">Q33*0.81</f>
        <v>62.65243422516189</v>
      </c>
      <c r="S33" s="185">
        <f ca="1">Q33*0.64</f>
        <v>49.50315790630075</v>
      </c>
      <c r="T33" s="185">
        <f ca="1">Q33*0.4</f>
        <v>30.939473691437968</v>
      </c>
      <c r="U33" s="18"/>
      <c r="V33" s="53">
        <f t="shared" ca="1" si="17"/>
        <v>0.21276595744680851</v>
      </c>
      <c r="W33" s="258">
        <f t="shared" ca="1" si="18"/>
        <v>0.94447399278327271</v>
      </c>
      <c r="Y33" s="430">
        <f ca="1">IF(B32="*",MATCH(LEFT(B33,3),OFFSET(CalibData2!$C$78,1,0,100),0),Y32)</f>
        <v>5</v>
      </c>
      <c r="Z33" s="430"/>
      <c r="AA33" s="430">
        <v>0.81</v>
      </c>
      <c r="AB33" s="430">
        <v>0.64</v>
      </c>
      <c r="AC33" s="299"/>
      <c r="AD33" s="358"/>
    </row>
    <row r="34" spans="1:30" ht="15" customHeight="1" thickBot="1">
      <c r="B34" s="266" t="s">
        <v>654</v>
      </c>
      <c r="C34" s="403" t="s">
        <v>273</v>
      </c>
      <c r="D34" s="24" t="str">
        <f ca="1">IEAData2!H$18</f>
        <v>RESGEO</v>
      </c>
      <c r="E34" s="34">
        <f ca="1">IEAData2!B90*IEAData2!C61</f>
        <v>0</v>
      </c>
      <c r="F34" s="34">
        <f ca="1">AuxData2!B90*AuxData2!C61</f>
        <v>0</v>
      </c>
      <c r="G34" s="71">
        <v>0.95</v>
      </c>
      <c r="H34" s="464" t="str">
        <f t="shared" si="10"/>
        <v>GEO</v>
      </c>
      <c r="I34" s="86">
        <v>1.08</v>
      </c>
      <c r="J34" s="21">
        <f t="shared" si="11"/>
        <v>0.95</v>
      </c>
      <c r="K34" s="21">
        <f t="shared" si="12"/>
        <v>0.95361639402347087</v>
      </c>
      <c r="L34" s="465">
        <f t="shared" ca="1" si="13"/>
        <v>0</v>
      </c>
      <c r="M34" s="73">
        <v>1</v>
      </c>
      <c r="N34" s="31">
        <v>0.2</v>
      </c>
      <c r="O34" s="72">
        <v>20</v>
      </c>
      <c r="P34" s="162">
        <f t="shared" ca="1" si="14"/>
        <v>0</v>
      </c>
      <c r="Q34" s="117">
        <f t="shared" ca="1" si="15"/>
        <v>0</v>
      </c>
      <c r="R34" s="117">
        <f ca="1">Q34*AA34</f>
        <v>0</v>
      </c>
      <c r="S34" s="352">
        <f t="shared" ca="1" si="19"/>
        <v>0</v>
      </c>
      <c r="T34" s="54"/>
      <c r="U34" s="54"/>
      <c r="V34" s="54">
        <f t="shared" ca="1" si="17"/>
        <v>0.21276595744680851</v>
      </c>
      <c r="W34" s="258">
        <f t="shared" ca="1" si="18"/>
        <v>0</v>
      </c>
      <c r="Y34" s="430">
        <f ca="1">IF(B33="*",MATCH(LEFT(B34,3),OFFSET(CalibData2!$C$78,1,0,100),0),Y33)</f>
        <v>5</v>
      </c>
      <c r="Z34" s="430"/>
      <c r="AA34" s="430">
        <v>0.8</v>
      </c>
      <c r="AB34" s="430">
        <v>0.5</v>
      </c>
      <c r="AC34" s="299"/>
      <c r="AD34" s="358"/>
    </row>
    <row r="35" spans="1:30" ht="15" customHeight="1">
      <c r="B35" s="575" t="s">
        <v>999</v>
      </c>
      <c r="C35" s="452" t="s">
        <v>1001</v>
      </c>
      <c r="D35" s="452"/>
      <c r="E35" s="453">
        <f ca="1">SUM(E22:E34)</f>
        <v>18.557052364452243</v>
      </c>
      <c r="F35" s="453">
        <f ca="1">SUM(F22:F34)</f>
        <v>17.173845271880733</v>
      </c>
      <c r="G35" s="453"/>
      <c r="H35" s="453">
        <f ca="1">J35</f>
        <v>17.54912408117201</v>
      </c>
      <c r="I35" s="452"/>
      <c r="J35" s="467">
        <f ca="1">SUMPRODUCT(J22:J34,E22:E34)</f>
        <v>17.54912408117201</v>
      </c>
      <c r="K35" s="467">
        <f ca="1">SUMPRODUCT(K22:K34,F22:F34)</f>
        <v>16.379208918322018</v>
      </c>
      <c r="L35" s="453">
        <f ca="1">SUM(L22:L34)</f>
        <v>16.379208918322018</v>
      </c>
      <c r="M35" s="452"/>
      <c r="N35" s="452"/>
      <c r="O35" s="453"/>
      <c r="P35" s="260">
        <f ca="1">SUM(P22:P34)</f>
        <v>87.745620405860038</v>
      </c>
      <c r="Q35" s="452"/>
      <c r="R35" s="452"/>
      <c r="S35" s="260"/>
      <c r="T35" s="452"/>
      <c r="U35" s="452"/>
      <c r="V35" s="452"/>
      <c r="W35" s="259">
        <f ca="1">SUM(W22:W34)</f>
        <v>1</v>
      </c>
    </row>
    <row r="36" spans="1:30">
      <c r="B36" s="123"/>
      <c r="C36" s="55"/>
      <c r="D36" s="55"/>
      <c r="E36" s="57"/>
      <c r="G36" s="57"/>
      <c r="H36" s="57"/>
      <c r="I36" s="55"/>
      <c r="J36" s="254"/>
      <c r="L36" s="57"/>
      <c r="M36" s="55"/>
      <c r="N36" s="55"/>
      <c r="O36" s="57"/>
      <c r="P36" s="161"/>
      <c r="Q36" s="55"/>
      <c r="R36" s="55"/>
      <c r="S36" s="161"/>
      <c r="T36" s="55"/>
      <c r="U36" s="55"/>
      <c r="V36" s="55"/>
    </row>
    <row r="37" spans="1:30">
      <c r="B37" s="123"/>
      <c r="C37" s="55"/>
      <c r="D37" s="256"/>
      <c r="E37" s="57"/>
      <c r="G37" s="57"/>
      <c r="H37" s="57"/>
      <c r="I37" s="55"/>
      <c r="J37" s="254"/>
      <c r="L37" s="57"/>
      <c r="M37" s="55"/>
      <c r="N37" s="55"/>
      <c r="O37" s="57"/>
      <c r="P37" s="161"/>
      <c r="Q37" s="55"/>
      <c r="R37" s="55"/>
      <c r="S37" s="161"/>
      <c r="T37" s="55"/>
      <c r="U37" s="55"/>
      <c r="V37" s="55"/>
      <c r="Y37" s="436"/>
      <c r="Z37" s="512">
        <v>2010</v>
      </c>
      <c r="AA37" s="512">
        <v>2017</v>
      </c>
      <c r="AB37" s="436"/>
    </row>
    <row r="38" spans="1:30">
      <c r="Y38" s="512" t="s">
        <v>1014</v>
      </c>
      <c r="Z38" s="513">
        <f ca="1">SUM(E15,E29)</f>
        <v>2.198493332505054E-2</v>
      </c>
      <c r="AA38" s="514">
        <f ca="1">SUM(F15,F29)</f>
        <v>2.5036256209895868E-2</v>
      </c>
      <c r="AB38" s="436"/>
    </row>
    <row r="39" spans="1:30">
      <c r="B39" s="123"/>
      <c r="C39" s="55"/>
      <c r="D39" s="55"/>
      <c r="E39" s="57"/>
      <c r="G39" s="57"/>
      <c r="H39" s="57"/>
      <c r="I39" s="55"/>
      <c r="J39" s="254"/>
      <c r="L39" s="57"/>
      <c r="M39" s="55"/>
      <c r="N39" s="55"/>
      <c r="O39" s="57"/>
      <c r="P39" s="161"/>
      <c r="Q39" s="55"/>
      <c r="R39" s="55"/>
      <c r="S39" s="161"/>
      <c r="T39" s="55"/>
      <c r="U39" s="55"/>
      <c r="V39" s="55"/>
      <c r="X39" s="22"/>
      <c r="Z39" s="22"/>
    </row>
    <row r="40" spans="1:30">
      <c r="B40" s="123"/>
      <c r="C40" s="55"/>
      <c r="D40" s="256"/>
      <c r="E40" s="57"/>
      <c r="G40" s="57"/>
      <c r="H40" s="57"/>
      <c r="I40" s="55"/>
      <c r="J40" s="254"/>
      <c r="L40" s="57"/>
      <c r="M40" s="55"/>
      <c r="N40" s="55"/>
      <c r="O40" s="57"/>
      <c r="P40" s="161"/>
      <c r="Q40" s="55"/>
      <c r="R40" s="55"/>
      <c r="S40" s="161"/>
      <c r="T40" s="55"/>
      <c r="U40" s="55"/>
      <c r="V40" s="55"/>
      <c r="X40" s="22"/>
      <c r="Z40" s="22"/>
    </row>
    <row r="41" spans="1:30" ht="18">
      <c r="B41" s="155" t="s">
        <v>592</v>
      </c>
      <c r="C41" s="156"/>
      <c r="D41" s="252"/>
      <c r="M41" s="5"/>
      <c r="N41" s="5"/>
      <c r="O41" s="5"/>
      <c r="P41" s="5"/>
      <c r="Q41" s="5"/>
      <c r="R41" s="5"/>
      <c r="S41" s="15"/>
    </row>
    <row r="42" spans="1:30" ht="13.5" thickBot="1">
      <c r="B42" s="27" t="s">
        <v>384</v>
      </c>
      <c r="C42" s="27" t="s">
        <v>385</v>
      </c>
      <c r="D42" s="27" t="s">
        <v>243</v>
      </c>
      <c r="E42" s="344" t="s">
        <v>942</v>
      </c>
      <c r="F42" s="344" t="s">
        <v>942</v>
      </c>
      <c r="G42" s="344" t="s">
        <v>942</v>
      </c>
      <c r="H42" s="386" t="s">
        <v>974</v>
      </c>
      <c r="I42" s="386" t="s">
        <v>974</v>
      </c>
      <c r="J42" s="27"/>
      <c r="K42" s="27"/>
      <c r="M42" s="5"/>
      <c r="N42" s="5"/>
      <c r="O42" s="5"/>
      <c r="P42" s="5"/>
      <c r="Q42" s="5"/>
      <c r="R42" s="5"/>
      <c r="S42" s="3"/>
      <c r="T42" s="3"/>
    </row>
    <row r="43" spans="1:30">
      <c r="A43" s="7"/>
      <c r="B43" s="58" t="s">
        <v>253</v>
      </c>
      <c r="C43" s="28" t="str">
        <f>CONCATENATE("Residential Space Heat - ","Detached")</f>
        <v>Residential Space Heat - Detached</v>
      </c>
      <c r="D43" s="80" t="s">
        <v>249</v>
      </c>
      <c r="E43" s="342">
        <f ca="1">(H21/HT_DD+RES_Fuels2!$V$47)</f>
        <v>5.0012230878785324</v>
      </c>
      <c r="F43" s="342">
        <f ca="1">G47+RES_Fuels2!$V47</f>
        <v>5.2911184730324292</v>
      </c>
      <c r="G43" s="342">
        <f ca="1">K21/OFFSET(HT_DD,0,1)+RES_Fuels2!$W$47</f>
        <v>5.2843372240587296</v>
      </c>
      <c r="H43" s="342">
        <f ca="1">(F43-RES_Fuels2!V47)/H21</f>
        <v>0.98043453030289263</v>
      </c>
      <c r="I43" s="342">
        <f ca="1">(G43-RES_Fuels2!W47)/K21</f>
        <v>1.0638297872340425</v>
      </c>
      <c r="J43" s="18"/>
      <c r="K43" s="18"/>
      <c r="M43" s="5"/>
      <c r="N43" s="133"/>
      <c r="O43" s="5"/>
      <c r="P43" s="5"/>
      <c r="Q43" s="5"/>
      <c r="R43" s="5"/>
      <c r="S43" s="6"/>
      <c r="T43" s="6"/>
    </row>
    <row r="44" spans="1:30">
      <c r="B44" s="58" t="s">
        <v>252</v>
      </c>
      <c r="C44" s="28" t="str">
        <f>CONCATENATE("Residential Space Heat - ","Flats")</f>
        <v>Residential Space Heat - Flats</v>
      </c>
      <c r="D44" s="80" t="s">
        <v>249</v>
      </c>
      <c r="E44" s="342">
        <f ca="1">(H35/HT_DD+RES_Fuels2!$V$48)</f>
        <v>18.296816027670669</v>
      </c>
      <c r="F44" s="342">
        <f ca="1">G48+RES_Fuels2!$V48</f>
        <v>19.576312211632864</v>
      </c>
      <c r="G44" s="342">
        <f ca="1">K35/OFFSET(HT_DD,0,1)+RES_Fuels2!$W$48</f>
        <v>19.578564415164159</v>
      </c>
      <c r="H44" s="342">
        <f ca="1">IF(H35&gt;0,(F44-RES_Fuels2!V48)/H35,1)</f>
        <v>0.99290940436935726</v>
      </c>
      <c r="I44" s="342">
        <f ca="1">IF(K35&gt;0,(G44-RES_Fuels2!W48)/K35,1)</f>
        <v>1.0638297872340425</v>
      </c>
      <c r="J44" s="18"/>
      <c r="K44" s="18"/>
    </row>
    <row r="47" spans="1:30" ht="18.75" customHeight="1">
      <c r="F47" s="498">
        <f ca="1">H21*H43</f>
        <v>4.7029975141005345</v>
      </c>
      <c r="G47" s="498">
        <f ca="1">K21*I43</f>
        <v>4.7029975141005345</v>
      </c>
      <c r="H47" s="412">
        <f ca="1">(F47+RES_Fuels2!V47)</f>
        <v>5.2911184730324292</v>
      </c>
      <c r="I47" s="412">
        <f ca="1">(G47+RES_Fuels2!W47)</f>
        <v>5.2843372240587296</v>
      </c>
      <c r="J47" s="544">
        <f ca="1">F47/H47</f>
        <v>0.88884751646945592</v>
      </c>
      <c r="K47" s="544">
        <f ca="1">G47/I47</f>
        <v>0.88998815077292004</v>
      </c>
    </row>
    <row r="48" spans="1:30">
      <c r="F48" s="498">
        <f ca="1">H35*H44</f>
        <v>17.424690338640445</v>
      </c>
      <c r="G48" s="498">
        <f ca="1">K35*I44</f>
        <v>17.424690338640445</v>
      </c>
      <c r="H48" s="412">
        <f ca="1">(F48+RES_Fuels2!V48)</f>
        <v>19.576312211632864</v>
      </c>
      <c r="I48" s="412">
        <f ca="1">(G48+RES_Fuels2!W48)</f>
        <v>19.578564415164159</v>
      </c>
      <c r="J48" s="544">
        <f ca="1">F48/H48</f>
        <v>0.89009054158250211</v>
      </c>
      <c r="K48" s="544">
        <f ca="1">G48/I48</f>
        <v>0.88998815077291993</v>
      </c>
    </row>
  </sheetData>
  <phoneticPr fontId="0" type="noConversion"/>
  <pageMargins left="0.75" right="0.75" top="1" bottom="1" header="0.5" footer="0.5"/>
  <pageSetup orientation="landscape" horizontalDpi="300" verticalDpi="300" r:id="rId1"/>
  <headerFooter alignWithMargins="0"/>
  <legacyDrawing r:id="rId2"/>
</worksheet>
</file>

<file path=xl/worksheets/sheet35.xml><?xml version="1.0" encoding="utf-8"?>
<worksheet xmlns="http://schemas.openxmlformats.org/spreadsheetml/2006/main" xmlns:r="http://schemas.openxmlformats.org/officeDocument/2006/relationships">
  <sheetPr codeName="Sheet55"/>
  <dimension ref="A1:Z104"/>
  <sheetViews>
    <sheetView zoomScale="75" workbookViewId="0">
      <selection activeCell="F4" sqref="F4"/>
    </sheetView>
  </sheetViews>
  <sheetFormatPr defaultColWidth="11.42578125" defaultRowHeight="12.75"/>
  <cols>
    <col min="1" max="1" width="15.85546875" customWidth="1"/>
    <col min="2" max="2" width="13.5703125" customWidth="1"/>
    <col min="3" max="3" width="33.28515625" customWidth="1"/>
    <col min="4" max="4" width="10.85546875" customWidth="1"/>
    <col min="5" max="6" width="9.7109375" bestFit="1" customWidth="1"/>
    <col min="7" max="11" width="9.140625" customWidth="1"/>
    <col min="12" max="12" width="7.85546875" customWidth="1"/>
    <col min="13" max="24" width="11.42578125" customWidth="1"/>
    <col min="25" max="26" width="8" customWidth="1"/>
  </cols>
  <sheetData>
    <row r="1" spans="1:26" ht="18">
      <c r="A1" s="10" t="s">
        <v>123</v>
      </c>
      <c r="D1" t="s">
        <v>250</v>
      </c>
    </row>
    <row r="2" spans="1:26" ht="18">
      <c r="A2" s="10"/>
      <c r="D2" s="245"/>
    </row>
    <row r="3" spans="1:26" ht="18">
      <c r="A3" s="10"/>
      <c r="B3" s="16"/>
      <c r="C3" s="17"/>
      <c r="D3" s="245"/>
      <c r="P3" s="18">
        <v>1</v>
      </c>
      <c r="Q3" t="s">
        <v>666</v>
      </c>
    </row>
    <row r="4" spans="1:26" ht="18">
      <c r="B4" s="131" t="s">
        <v>594</v>
      </c>
      <c r="C4" s="98"/>
      <c r="D4" s="252" t="str">
        <f>"~FI_T: "&amp;Region&amp;"~EUR10"</f>
        <v>~FI_T: FIM~EUR10</v>
      </c>
      <c r="E4" s="4"/>
      <c r="S4" s="4"/>
      <c r="T4" s="4"/>
    </row>
    <row r="5" spans="1:26" ht="39"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tr">
        <f ca="1">J5&amp;"~"&amp;AuxYear</f>
        <v>EFF~2017</v>
      </c>
      <c r="L5" s="52" t="s">
        <v>758</v>
      </c>
      <c r="M5" s="52" t="s">
        <v>661</v>
      </c>
      <c r="N5" s="52" t="s">
        <v>662</v>
      </c>
      <c r="O5" s="52" t="s">
        <v>88</v>
      </c>
      <c r="P5" s="52" t="s">
        <v>541</v>
      </c>
      <c r="Q5" s="52" t="str">
        <f ca="1">P5&amp;"~"&amp;AuxYear</f>
        <v>RESID~2017</v>
      </c>
      <c r="R5" s="52" t="str">
        <f ca="1">"RESID~"&amp;CEILING(AuxYear+7,5)</f>
        <v>RESID~2025</v>
      </c>
      <c r="S5" s="52" t="str">
        <f ca="1">"RESID~"&amp;CEILING(AuxYear+17,5)</f>
        <v>RESID~2035</v>
      </c>
      <c r="T5" s="52" t="str">
        <f ca="1">"RESID~"&amp;CEILING(AuxYear+29,5)</f>
        <v>RESID~2050</v>
      </c>
      <c r="U5" s="52" t="s">
        <v>1254</v>
      </c>
      <c r="V5" s="52" t="str">
        <f ca="1">"CF~"&amp;CEILING(AuxYear+2,5)</f>
        <v>CF~2020</v>
      </c>
      <c r="W5" s="257" t="s">
        <v>381</v>
      </c>
      <c r="Y5" s="427" t="s">
        <v>997</v>
      </c>
      <c r="Z5" s="427" t="s">
        <v>998</v>
      </c>
    </row>
    <row r="6" spans="1:26" ht="15" thickBot="1">
      <c r="A6" s="14"/>
      <c r="B6" s="434" t="s">
        <v>999</v>
      </c>
      <c r="C6" s="190"/>
      <c r="D6" s="190"/>
      <c r="E6" s="191"/>
      <c r="F6" s="191"/>
      <c r="G6" s="191"/>
      <c r="H6" s="191"/>
      <c r="I6" s="190"/>
      <c r="J6" s="191"/>
      <c r="K6" s="191"/>
      <c r="L6" s="191"/>
      <c r="M6" s="190"/>
      <c r="N6" s="190"/>
      <c r="O6" s="191"/>
      <c r="P6" s="192"/>
      <c r="Q6" s="190"/>
      <c r="R6" s="190"/>
      <c r="S6" s="260"/>
      <c r="T6" s="190"/>
      <c r="U6" s="190"/>
      <c r="V6" s="190"/>
      <c r="W6" s="257"/>
      <c r="Y6" s="190"/>
      <c r="Z6" s="190"/>
    </row>
    <row r="7" spans="1:26" ht="17.25" customHeight="1">
      <c r="B7" s="76" t="s">
        <v>889</v>
      </c>
      <c r="C7" s="165" t="s">
        <v>542</v>
      </c>
      <c r="D7" s="12" t="str">
        <f ca="1">IEAData2!H9</f>
        <v>RESNGA</v>
      </c>
      <c r="E7" s="33">
        <f ca="1">IEAData2!P81</f>
        <v>8.4774283101256662E-2</v>
      </c>
      <c r="F7" s="33">
        <f ca="1">AuxData2!P81</f>
        <v>4.2624881362061183E-2</v>
      </c>
      <c r="G7" s="77">
        <v>0.75</v>
      </c>
      <c r="H7" s="343" t="str">
        <f t="shared" ref="H7:H17" si="0">RIGHT(D7,3)</f>
        <v>NGA</v>
      </c>
      <c r="I7" s="89">
        <v>1.01</v>
      </c>
      <c r="J7" s="6">
        <f t="shared" ref="J7:J17" si="1">G7</f>
        <v>0.75</v>
      </c>
      <c r="K7" s="6">
        <f t="shared" ref="K7:K17" si="2">J7^IF(J7&gt;1,I7,1/I7)</f>
        <v>0.75213929828851755</v>
      </c>
      <c r="L7" s="38">
        <f ca="1">F7*K7</f>
        <v>3.205984835729201E-2</v>
      </c>
      <c r="M7" s="19">
        <v>1</v>
      </c>
      <c r="N7" s="18">
        <v>0.1</v>
      </c>
      <c r="O7" s="18">
        <v>15</v>
      </c>
      <c r="P7" s="160">
        <f t="shared" ref="P7:P17" ca="1" si="3">E7*J7/$N7</f>
        <v>0.6358071232594249</v>
      </c>
      <c r="Q7" s="185">
        <f ca="1">F7*K7/$N7</f>
        <v>0.32059848357292009</v>
      </c>
      <c r="R7" s="104"/>
      <c r="S7" s="104">
        <f ca="1">Q7*0.2</f>
        <v>6.4119696714584021E-2</v>
      </c>
      <c r="T7" s="40"/>
      <c r="U7" s="40"/>
      <c r="V7" s="40">
        <f t="shared" ref="V7:V17" si="4">N7*$I$40</f>
        <v>0.1</v>
      </c>
      <c r="W7" s="258">
        <f t="shared" ref="W7:W17" ca="1" si="5">IF($L$18=0,0,L7/$L$18)</f>
        <v>2.2259376195747117E-2</v>
      </c>
      <c r="Y7" s="18"/>
      <c r="Z7" s="18"/>
    </row>
    <row r="8" spans="1:26" ht="17.25" customHeight="1">
      <c r="B8" s="270" t="s">
        <v>890</v>
      </c>
      <c r="C8" s="187" t="s">
        <v>571</v>
      </c>
      <c r="D8" s="12" t="str">
        <f ca="1">IEAData2!H11</f>
        <v>RESHFO</v>
      </c>
      <c r="E8" s="33">
        <f ca="1">IEAData2!P83</f>
        <v>0</v>
      </c>
      <c r="F8" s="33">
        <f ca="1">AuxData2!P83</f>
        <v>0</v>
      </c>
      <c r="G8" s="77">
        <v>0.68</v>
      </c>
      <c r="H8" s="343" t="str">
        <f t="shared" si="0"/>
        <v>HFO</v>
      </c>
      <c r="I8" s="81">
        <v>1.01</v>
      </c>
      <c r="J8" s="6">
        <f t="shared" si="1"/>
        <v>0.68</v>
      </c>
      <c r="K8" s="6">
        <f t="shared" si="2"/>
        <v>0.68260150315622414</v>
      </c>
      <c r="L8" s="38">
        <f t="shared" ref="L8:L17" ca="1" si="6">F8*K8</f>
        <v>0</v>
      </c>
      <c r="M8" s="19">
        <v>1</v>
      </c>
      <c r="N8" s="18">
        <v>0.1</v>
      </c>
      <c r="O8" s="18">
        <v>15</v>
      </c>
      <c r="P8" s="161">
        <f t="shared" ca="1" si="3"/>
        <v>0</v>
      </c>
      <c r="Q8" s="185">
        <f t="shared" ref="Q8:Q17" ca="1" si="7">F8*K8/$N8</f>
        <v>0</v>
      </c>
      <c r="R8" s="104"/>
      <c r="S8" s="104">
        <f t="shared" ref="S8:S17" ca="1" si="8">Q8*0.2</f>
        <v>0</v>
      </c>
      <c r="T8" s="40"/>
      <c r="U8" s="40">
        <v>7.0000000000000007E-2</v>
      </c>
      <c r="V8" s="40">
        <f t="shared" si="4"/>
        <v>0.1</v>
      </c>
      <c r="W8" s="258">
        <f t="shared" ca="1" si="5"/>
        <v>0</v>
      </c>
      <c r="Y8" s="18"/>
      <c r="Z8" s="18"/>
    </row>
    <row r="9" spans="1:26" ht="17.25" customHeight="1">
      <c r="A9" s="11"/>
      <c r="B9" s="76" t="s">
        <v>891</v>
      </c>
      <c r="C9" s="37" t="s">
        <v>543</v>
      </c>
      <c r="D9" s="12" t="str">
        <f ca="1">IEAData2!H10</f>
        <v>RESDST</v>
      </c>
      <c r="E9" s="33">
        <f ca="1">IEAData2!P82</f>
        <v>0.24572263804230182</v>
      </c>
      <c r="F9" s="33">
        <f ca="1">AuxData2!P82</f>
        <v>0.15316475642486732</v>
      </c>
      <c r="G9" s="77">
        <v>0.7</v>
      </c>
      <c r="H9" s="343" t="str">
        <f t="shared" si="0"/>
        <v>DST</v>
      </c>
      <c r="I9" s="81">
        <v>1.01</v>
      </c>
      <c r="J9" s="6">
        <f t="shared" si="1"/>
        <v>0.7</v>
      </c>
      <c r="K9" s="6">
        <f t="shared" si="2"/>
        <v>0.70247637456639089</v>
      </c>
      <c r="L9" s="38">
        <f t="shared" ca="1" si="6"/>
        <v>0.10759462280468512</v>
      </c>
      <c r="M9" s="19">
        <v>1</v>
      </c>
      <c r="N9" s="18">
        <v>0.1</v>
      </c>
      <c r="O9" s="18">
        <v>15</v>
      </c>
      <c r="P9" s="161">
        <f t="shared" ca="1" si="3"/>
        <v>1.7200584662961127</v>
      </c>
      <c r="Q9" s="185">
        <f t="shared" ca="1" si="7"/>
        <v>1.0759462280468512</v>
      </c>
      <c r="R9" s="104"/>
      <c r="S9" s="104">
        <f t="shared" ca="1" si="8"/>
        <v>0.21518924560937025</v>
      </c>
      <c r="T9" s="40"/>
      <c r="U9" s="40"/>
      <c r="V9" s="40">
        <f t="shared" si="4"/>
        <v>0.1</v>
      </c>
      <c r="W9" s="258">
        <f t="shared" ca="1" si="5"/>
        <v>7.4703696628816332E-2</v>
      </c>
      <c r="Y9" s="18"/>
      <c r="Z9" s="18"/>
    </row>
    <row r="10" spans="1:26" ht="17.25" customHeight="1">
      <c r="A10" s="11"/>
      <c r="B10" s="76" t="s">
        <v>1027</v>
      </c>
      <c r="C10" s="37" t="s">
        <v>1041</v>
      </c>
      <c r="D10" s="12" t="str">
        <f ca="1">IEAData2!H13</f>
        <v>RESCOP</v>
      </c>
      <c r="E10" s="33">
        <f ca="1">IEAData2!P85</f>
        <v>0</v>
      </c>
      <c r="F10" s="33">
        <f ca="1">AuxData2!P85</f>
        <v>0</v>
      </c>
      <c r="G10" s="40">
        <v>0.6</v>
      </c>
      <c r="H10" s="343" t="str">
        <f>RIGHT(D10,3)</f>
        <v>COP</v>
      </c>
      <c r="I10" s="81">
        <v>1.01</v>
      </c>
      <c r="J10" s="6">
        <f>G10</f>
        <v>0.6</v>
      </c>
      <c r="K10" s="6">
        <f>J10^IF(J10&gt;1,I10,1/I10)</f>
        <v>0.6030422946563222</v>
      </c>
      <c r="L10" s="38">
        <f ca="1">F10*K10</f>
        <v>0</v>
      </c>
      <c r="M10" s="19">
        <v>1</v>
      </c>
      <c r="N10" s="18">
        <v>0.1</v>
      </c>
      <c r="O10" s="18">
        <v>15</v>
      </c>
      <c r="P10" s="161">
        <f t="shared" ref="P10:Q13" ca="1" si="9">E10*J10/$N10</f>
        <v>0</v>
      </c>
      <c r="Q10" s="185">
        <f t="shared" ca="1" si="9"/>
        <v>0</v>
      </c>
      <c r="R10" s="104"/>
      <c r="S10" s="104">
        <f ca="1">Q10*0.2</f>
        <v>0</v>
      </c>
      <c r="T10" s="40"/>
      <c r="U10" s="40"/>
      <c r="V10" s="40">
        <f t="shared" si="4"/>
        <v>0.1</v>
      </c>
      <c r="W10" s="258">
        <f t="shared" ca="1" si="5"/>
        <v>0</v>
      </c>
      <c r="Y10" s="18"/>
      <c r="Z10" s="18"/>
    </row>
    <row r="11" spans="1:26" ht="17.25" customHeight="1">
      <c r="A11" s="11"/>
      <c r="B11" s="76" t="s">
        <v>892</v>
      </c>
      <c r="C11" s="37" t="s">
        <v>544</v>
      </c>
      <c r="D11" s="12" t="str">
        <f ca="1">IEAData2!H14</f>
        <v>RESLPG</v>
      </c>
      <c r="E11" s="33">
        <f ca="1">IEAData2!P86</f>
        <v>0</v>
      </c>
      <c r="F11" s="33">
        <f ca="1">AuxData2!P86</f>
        <v>0</v>
      </c>
      <c r="G11" s="40">
        <v>0.73</v>
      </c>
      <c r="H11" s="343" t="str">
        <f>RIGHT(D11,3)</f>
        <v>LPG</v>
      </c>
      <c r="I11" s="81">
        <v>1.01</v>
      </c>
      <c r="J11" s="6">
        <f>G11</f>
        <v>0.73</v>
      </c>
      <c r="K11" s="6">
        <f>J11^IF(J11&gt;1,I11,1/I11)</f>
        <v>0.73227818953391355</v>
      </c>
      <c r="L11" s="38">
        <f ca="1">F11*K11</f>
        <v>0</v>
      </c>
      <c r="M11" s="19">
        <v>1</v>
      </c>
      <c r="N11" s="18">
        <v>0.1</v>
      </c>
      <c r="O11" s="18">
        <v>15</v>
      </c>
      <c r="P11" s="161">
        <f t="shared" ca="1" si="9"/>
        <v>0</v>
      </c>
      <c r="Q11" s="185">
        <f t="shared" ca="1" si="9"/>
        <v>0</v>
      </c>
      <c r="R11" s="104"/>
      <c r="S11" s="104">
        <f ca="1">Q11*0.2</f>
        <v>0</v>
      </c>
      <c r="T11" s="40"/>
      <c r="U11" s="40"/>
      <c r="V11" s="40">
        <f t="shared" si="4"/>
        <v>0.1</v>
      </c>
      <c r="W11" s="258">
        <f t="shared" ca="1" si="5"/>
        <v>0</v>
      </c>
      <c r="Y11" s="18"/>
      <c r="Z11" s="18"/>
    </row>
    <row r="12" spans="1:26" ht="17.25" customHeight="1">
      <c r="A12" s="11"/>
      <c r="B12" s="76" t="s">
        <v>893</v>
      </c>
      <c r="C12" s="37" t="s">
        <v>545</v>
      </c>
      <c r="D12" s="12" t="str">
        <f ca="1">IEAData2!H15</f>
        <v>RESBIO</v>
      </c>
      <c r="E12" s="33">
        <f ca="1">IEAData2!P87*Y12</f>
        <v>6.5008689217083806E-3</v>
      </c>
      <c r="F12" s="33">
        <f ca="1">AuxData2!P87*Z12</f>
        <v>6.0469134292943831E-3</v>
      </c>
      <c r="G12" s="30">
        <f ca="1">'RHT2'!$G14</f>
        <v>0.68</v>
      </c>
      <c r="H12" s="343" t="str">
        <f>RIGHT(D12,3)</f>
        <v>BIO</v>
      </c>
      <c r="I12" s="81">
        <v>1.01</v>
      </c>
      <c r="J12" s="6">
        <f>G12</f>
        <v>0.68</v>
      </c>
      <c r="K12" s="6">
        <f>J12^IF(J12&gt;1,I12,1/I12)</f>
        <v>0.68260150315622414</v>
      </c>
      <c r="L12" s="38">
        <f ca="1">F12*K12</f>
        <v>4.1276321962919037E-3</v>
      </c>
      <c r="M12" s="19">
        <v>1</v>
      </c>
      <c r="N12" s="18">
        <v>0.1</v>
      </c>
      <c r="O12" s="18">
        <v>15</v>
      </c>
      <c r="P12" s="161">
        <f t="shared" ca="1" si="9"/>
        <v>4.4205908667616992E-2</v>
      </c>
      <c r="Q12" s="185">
        <f t="shared" ca="1" si="9"/>
        <v>4.1276321962919034E-2</v>
      </c>
      <c r="R12" s="104"/>
      <c r="S12" s="104">
        <f ca="1">Q12*0.2</f>
        <v>8.2552643925838075E-3</v>
      </c>
      <c r="T12" s="40"/>
      <c r="U12" s="40"/>
      <c r="V12" s="40">
        <f t="shared" si="4"/>
        <v>0.1</v>
      </c>
      <c r="W12" s="258">
        <f t="shared" ca="1" si="5"/>
        <v>2.8658438065893607E-3</v>
      </c>
      <c r="Y12" s="40">
        <f ca="1">1/(1+'RHT2'!AC15/'RHT2'!AC14)</f>
        <v>0.58823529411764708</v>
      </c>
      <c r="Z12" s="40">
        <f ca="1">1/(1+'RHT2'!AD15/'RHT2'!AD14)</f>
        <v>0.52631578947368418</v>
      </c>
    </row>
    <row r="13" spans="1:26" ht="17.25" customHeight="1">
      <c r="A13" s="11"/>
      <c r="B13" s="76" t="s">
        <v>1048</v>
      </c>
      <c r="C13" s="37" t="s">
        <v>1050</v>
      </c>
      <c r="D13" s="12" t="s">
        <v>931</v>
      </c>
      <c r="E13" s="33">
        <f ca="1">IEAData2!P87*Y13</f>
        <v>4.5506082451958656E-3</v>
      </c>
      <c r="F13" s="33">
        <f ca="1">AuxData2!P87*Z13</f>
        <v>5.4422220863649456E-3</v>
      </c>
      <c r="G13" s="30">
        <f ca="1">'RHT2'!G15</f>
        <v>0.78400000000000003</v>
      </c>
      <c r="H13" s="343" t="str">
        <f>MID(B13,4,3)</f>
        <v>BIO</v>
      </c>
      <c r="I13" s="81">
        <v>1.01</v>
      </c>
      <c r="J13" s="6">
        <f>G13</f>
        <v>0.78400000000000003</v>
      </c>
      <c r="K13" s="6">
        <f>J13^IF(J13&gt;1,I13,1/I13)</f>
        <v>0.78589122262711741</v>
      </c>
      <c r="L13" s="38">
        <f ca="1">F13*K13</f>
        <v>4.2769945692616492E-3</v>
      </c>
      <c r="M13" s="19">
        <v>1</v>
      </c>
      <c r="N13" s="18">
        <v>0.1</v>
      </c>
      <c r="O13" s="18">
        <v>15</v>
      </c>
      <c r="P13" s="161">
        <f t="shared" ca="1" si="9"/>
        <v>3.5676768642335585E-2</v>
      </c>
      <c r="Q13" s="185">
        <f t="shared" ca="1" si="9"/>
        <v>4.2769945692616489E-2</v>
      </c>
      <c r="R13" s="104"/>
      <c r="S13" s="104">
        <f ca="1">Q13*0.2</f>
        <v>8.5539891385232984E-3</v>
      </c>
      <c r="T13" s="40"/>
      <c r="U13" s="40"/>
      <c r="V13" s="40">
        <f t="shared" si="4"/>
        <v>0.1</v>
      </c>
      <c r="W13" s="258">
        <f t="shared" ca="1" si="5"/>
        <v>2.9695471433104415E-3</v>
      </c>
      <c r="Y13" s="40">
        <f ca="1">1-Y12</f>
        <v>0.41176470588235292</v>
      </c>
      <c r="Z13" s="40">
        <f ca="1">1-Z12</f>
        <v>0.47368421052631582</v>
      </c>
    </row>
    <row r="14" spans="1:26" ht="17.25" customHeight="1">
      <c r="A14" s="11"/>
      <c r="B14" s="76" t="s">
        <v>894</v>
      </c>
      <c r="C14" s="37" t="s">
        <v>546</v>
      </c>
      <c r="D14" s="12" t="s">
        <v>951</v>
      </c>
      <c r="E14" s="33">
        <f ca="1">IEAData2!P88*Y14</f>
        <v>0.61258992549809699</v>
      </c>
      <c r="F14" s="33">
        <f ca="1">AuxData2!P88*Z14</f>
        <v>0.73534873151506486</v>
      </c>
      <c r="G14" s="40">
        <v>0.95</v>
      </c>
      <c r="H14" s="343" t="str">
        <f t="shared" si="0"/>
        <v>ELC</v>
      </c>
      <c r="I14" s="81">
        <v>1.01</v>
      </c>
      <c r="J14" s="6">
        <f t="shared" si="1"/>
        <v>0.95</v>
      </c>
      <c r="K14" s="6">
        <f t="shared" si="2"/>
        <v>0.95048258421076803</v>
      </c>
      <c r="L14" s="38">
        <f t="shared" ca="1" si="6"/>
        <v>0.69893616262654912</v>
      </c>
      <c r="M14" s="19">
        <v>1</v>
      </c>
      <c r="N14" s="18">
        <v>0.1</v>
      </c>
      <c r="O14" s="18">
        <v>15</v>
      </c>
      <c r="P14" s="161">
        <f t="shared" ca="1" si="3"/>
        <v>5.8196042922319213</v>
      </c>
      <c r="Q14" s="185">
        <f t="shared" ca="1" si="7"/>
        <v>6.9893616262654907</v>
      </c>
      <c r="R14" s="104"/>
      <c r="S14" s="104">
        <f t="shared" ca="1" si="8"/>
        <v>1.3978723252530982</v>
      </c>
      <c r="T14" s="40"/>
      <c r="U14" s="40"/>
      <c r="V14" s="40">
        <f t="shared" si="4"/>
        <v>0.1</v>
      </c>
      <c r="W14" s="258">
        <f t="shared" ca="1" si="5"/>
        <v>0.48527624982285994</v>
      </c>
      <c r="Y14" s="40">
        <f ca="1">'RHT2'!AC17^0.9</f>
        <v>0.86392697230281912</v>
      </c>
      <c r="Z14" s="40">
        <f ca="1">'RHT2'!AD17^0.9</f>
        <v>0.84102431839345748</v>
      </c>
    </row>
    <row r="15" spans="1:26" ht="17.25" customHeight="1">
      <c r="A15" s="11"/>
      <c r="B15" s="271" t="s">
        <v>1052</v>
      </c>
      <c r="C15" s="187" t="s">
        <v>570</v>
      </c>
      <c r="D15" s="36" t="s">
        <v>841</v>
      </c>
      <c r="E15" s="64">
        <f ca="1">IEAData2!P88*Y15</f>
        <v>9.648612506810203E-2</v>
      </c>
      <c r="F15" s="64">
        <f ca="1">AuxData2!P88*Z15</f>
        <v>0.13900022062908196</v>
      </c>
      <c r="G15" s="69">
        <f ca="1">'RHT2'!G18^0.75</f>
        <v>2.065222326210828</v>
      </c>
      <c r="H15" s="343" t="str">
        <f>RIGHT(D15,3)</f>
        <v>ELC</v>
      </c>
      <c r="I15" s="81">
        <v>1.01</v>
      </c>
      <c r="J15" s="67">
        <f>G15</f>
        <v>2.065222326210828</v>
      </c>
      <c r="K15" s="6">
        <f>J15^IF(J15&gt;1,I15,1/I15)</f>
        <v>2.0802545447069098</v>
      </c>
      <c r="L15" s="38">
        <f ca="1">F15*K15</f>
        <v>0.28915584067891092</v>
      </c>
      <c r="M15" s="57">
        <v>1</v>
      </c>
      <c r="N15" s="81">
        <v>0.1</v>
      </c>
      <c r="O15" s="81">
        <v>15</v>
      </c>
      <c r="P15" s="161">
        <f ca="1">E15*J15/$N15</f>
        <v>1.9926529966021456</v>
      </c>
      <c r="Q15" s="185">
        <f ca="1">F15*K15/$N15</f>
        <v>2.8915584067891089</v>
      </c>
      <c r="R15" s="118"/>
      <c r="S15" s="104">
        <f ca="1">Q15*0.2</f>
        <v>0.57831168135782185</v>
      </c>
      <c r="T15" s="53"/>
      <c r="U15" s="53">
        <v>0.82</v>
      </c>
      <c r="V15" s="40">
        <f t="shared" si="4"/>
        <v>0.1</v>
      </c>
      <c r="W15" s="258">
        <f t="shared" ca="1" si="5"/>
        <v>0.20076291581726807</v>
      </c>
      <c r="Y15" s="40">
        <f ca="1">1-Y14</f>
        <v>0.13607302769718088</v>
      </c>
      <c r="Z15" s="40">
        <f ca="1">1-Z14</f>
        <v>0.15897568160654252</v>
      </c>
    </row>
    <row r="16" spans="1:26" ht="17.25" customHeight="1">
      <c r="A16" s="11"/>
      <c r="B16" s="271" t="s">
        <v>895</v>
      </c>
      <c r="C16" s="187" t="s">
        <v>569</v>
      </c>
      <c r="D16" s="36" t="str">
        <f ca="1">IEAData2!H17</f>
        <v>RESHET</v>
      </c>
      <c r="E16" s="64">
        <f ca="1">IEAData2!P89</f>
        <v>0.32643806862359831</v>
      </c>
      <c r="F16" s="64">
        <f ca="1">AuxData2!P89</f>
        <v>0.31997853060061221</v>
      </c>
      <c r="G16" s="69">
        <v>0.95</v>
      </c>
      <c r="H16" s="343" t="str">
        <f t="shared" si="0"/>
        <v>HET</v>
      </c>
      <c r="I16" s="81">
        <v>1.01</v>
      </c>
      <c r="J16" s="67">
        <f t="shared" si="1"/>
        <v>0.95</v>
      </c>
      <c r="K16" s="6">
        <f t="shared" si="2"/>
        <v>0.95048258421076803</v>
      </c>
      <c r="L16" s="38">
        <f t="shared" ca="1" si="6"/>
        <v>0.30413402065723422</v>
      </c>
      <c r="M16" s="57">
        <v>1</v>
      </c>
      <c r="N16" s="81">
        <v>0.1</v>
      </c>
      <c r="O16" s="81">
        <v>15</v>
      </c>
      <c r="P16" s="161">
        <f t="shared" ca="1" si="3"/>
        <v>3.1011616519241834</v>
      </c>
      <c r="Q16" s="185">
        <f t="shared" ca="1" si="7"/>
        <v>3.0413402065723418</v>
      </c>
      <c r="R16" s="118"/>
      <c r="S16" s="104">
        <f t="shared" ca="1" si="8"/>
        <v>0.60826804131446843</v>
      </c>
      <c r="T16" s="53"/>
      <c r="U16" s="53">
        <v>0.82</v>
      </c>
      <c r="V16" s="40">
        <f t="shared" si="4"/>
        <v>0.1</v>
      </c>
      <c r="W16" s="258">
        <f t="shared" ca="1" si="5"/>
        <v>0.21116237058540868</v>
      </c>
      <c r="Y16" s="18"/>
      <c r="Z16" s="18"/>
    </row>
    <row r="17" spans="1:26" ht="17.25" customHeight="1" thickBot="1">
      <c r="A17" s="11"/>
      <c r="B17" s="266" t="s">
        <v>896</v>
      </c>
      <c r="C17" s="26" t="s">
        <v>547</v>
      </c>
      <c r="D17" s="24" t="str">
        <f ca="1">IEAData2!H19</f>
        <v>RESSOL</v>
      </c>
      <c r="E17" s="34">
        <f ca="1">IEAData2!P91</f>
        <v>0</v>
      </c>
      <c r="F17" s="34">
        <f ca="1">AuxData2!P91</f>
        <v>0</v>
      </c>
      <c r="G17" s="71">
        <v>0.95</v>
      </c>
      <c r="H17" s="343" t="str">
        <f t="shared" si="0"/>
        <v>SOL</v>
      </c>
      <c r="I17" s="20">
        <v>1.01</v>
      </c>
      <c r="J17" s="21">
        <f t="shared" si="1"/>
        <v>0.95</v>
      </c>
      <c r="K17" s="6">
        <f t="shared" si="2"/>
        <v>0.95048258421076803</v>
      </c>
      <c r="L17" s="38">
        <f t="shared" ca="1" si="6"/>
        <v>0</v>
      </c>
      <c r="M17" s="73">
        <v>1</v>
      </c>
      <c r="N17" s="20">
        <v>0.1</v>
      </c>
      <c r="O17" s="20">
        <v>15</v>
      </c>
      <c r="P17" s="162">
        <f t="shared" ca="1" si="3"/>
        <v>0</v>
      </c>
      <c r="Q17" s="185">
        <f t="shared" ca="1" si="7"/>
        <v>0</v>
      </c>
      <c r="R17" s="117"/>
      <c r="S17" s="117">
        <f t="shared" ca="1" si="8"/>
        <v>0</v>
      </c>
      <c r="T17" s="54"/>
      <c r="U17" s="54"/>
      <c r="V17" s="53">
        <f t="shared" si="4"/>
        <v>0.1</v>
      </c>
      <c r="W17" s="258">
        <f t="shared" ca="1" si="5"/>
        <v>0</v>
      </c>
      <c r="Y17" s="18"/>
      <c r="Z17" s="18"/>
    </row>
    <row r="18" spans="1:26" ht="15" thickBot="1">
      <c r="B18" s="434" t="s">
        <v>999</v>
      </c>
      <c r="C18" s="190" t="s">
        <v>1001</v>
      </c>
      <c r="D18" s="190"/>
      <c r="E18" s="191">
        <f ca="1">SUM(E7:E17)</f>
        <v>1.37706251750026</v>
      </c>
      <c r="F18" s="191">
        <f ca="1">SUM(F7:F17)</f>
        <v>1.4016062560473468</v>
      </c>
      <c r="G18" s="191"/>
      <c r="H18" s="191">
        <f ca="1">J18</f>
        <v>1.334916720762374</v>
      </c>
      <c r="I18" s="190"/>
      <c r="J18" s="191">
        <f ca="1">SUMPRODUCT(J7:J17,E7:E17)</f>
        <v>1.334916720762374</v>
      </c>
      <c r="K18" s="191">
        <f ca="1">SUMPRODUCT(K7:K17,F7:F17)</f>
        <v>1.4402851218902251</v>
      </c>
      <c r="L18" s="191">
        <f ca="1">SUM(L7:L17)</f>
        <v>1.4402851218902251</v>
      </c>
      <c r="M18" s="190"/>
      <c r="N18" s="190"/>
      <c r="O18" s="191"/>
      <c r="P18" s="192">
        <f ca="1">SUM(P7:P17)</f>
        <v>13.34916720762374</v>
      </c>
      <c r="Q18" s="190"/>
      <c r="R18" s="190"/>
      <c r="S18" s="260"/>
      <c r="T18" s="190"/>
      <c r="U18" s="190"/>
      <c r="V18" s="190"/>
      <c r="W18" s="258">
        <f ca="1">SUM(W7:W17)</f>
        <v>1</v>
      </c>
      <c r="Y18" s="190"/>
      <c r="Z18" s="190"/>
    </row>
    <row r="19" spans="1:26" ht="16.5" customHeight="1">
      <c r="B19" s="76" t="s">
        <v>897</v>
      </c>
      <c r="C19" s="431" t="s">
        <v>542</v>
      </c>
      <c r="D19" s="12" t="str">
        <f ca="1">IEAData2!H9</f>
        <v>RESNGA</v>
      </c>
      <c r="E19" s="33">
        <f ca="1">IEAData2!Q81</f>
        <v>3.7152766923132269E-2</v>
      </c>
      <c r="F19" s="33">
        <f ca="1">AuxData2!Q81</f>
        <v>5.8717584391363466E-2</v>
      </c>
      <c r="G19" s="77">
        <v>0.78</v>
      </c>
      <c r="H19" s="343" t="str">
        <f t="shared" ref="H19:H29" si="10">RIGHT(D19,3)</f>
        <v>NGA</v>
      </c>
      <c r="I19" s="89">
        <v>1.01</v>
      </c>
      <c r="J19" s="6">
        <f t="shared" ref="J19:J29" si="11">G19</f>
        <v>0.78</v>
      </c>
      <c r="K19" s="6">
        <f t="shared" ref="K19:K29" si="12">J19^IF(J19&gt;1,I19,1/I19)</f>
        <v>0.78192117258390115</v>
      </c>
      <c r="L19" s="38">
        <f t="shared" ref="L19:L29" ca="1" si="13">F19*K19</f>
        <v>4.5912522438589093E-2</v>
      </c>
      <c r="M19" s="19">
        <v>1</v>
      </c>
      <c r="N19" s="18">
        <v>0.1</v>
      </c>
      <c r="O19" s="18">
        <v>15</v>
      </c>
      <c r="P19" s="160">
        <f t="shared" ref="P19:P29" ca="1" si="14">E19*J19/$N19</f>
        <v>0.2897915820004317</v>
      </c>
      <c r="Q19" s="185">
        <f t="shared" ref="Q19:Q29" ca="1" si="15">F19*K19/$N19</f>
        <v>0.45912522438589093</v>
      </c>
      <c r="R19" s="104"/>
      <c r="S19" s="104">
        <f t="shared" ref="S19:S29" ca="1" si="16">Q19*0.2</f>
        <v>9.1825044877178186E-2</v>
      </c>
      <c r="T19" s="40"/>
      <c r="U19" s="40"/>
      <c r="V19" s="40">
        <f t="shared" ref="V19:V29" si="17">N19*$I$41</f>
        <v>0.1</v>
      </c>
      <c r="W19" s="258">
        <f t="shared" ref="W19:W24" ca="1" si="18">IF($L$30=0,0,L19/$L$30)</f>
        <v>8.9001362254552425E-3</v>
      </c>
      <c r="Y19" s="18"/>
      <c r="Z19" s="18"/>
    </row>
    <row r="20" spans="1:26" ht="16.5" customHeight="1">
      <c r="B20" s="270" t="s">
        <v>898</v>
      </c>
      <c r="C20" s="432" t="s">
        <v>571</v>
      </c>
      <c r="D20" s="12" t="str">
        <f ca="1">IEAData2!H11</f>
        <v>RESHFO</v>
      </c>
      <c r="E20" s="33">
        <f ca="1">IEAData2!Q83</f>
        <v>0</v>
      </c>
      <c r="F20" s="33">
        <f ca="1">AuxData2!Q83</f>
        <v>0</v>
      </c>
      <c r="G20" s="77">
        <v>0.72</v>
      </c>
      <c r="H20" s="343" t="str">
        <f t="shared" si="10"/>
        <v>HFO</v>
      </c>
      <c r="I20" s="81">
        <v>1.01</v>
      </c>
      <c r="J20" s="6">
        <f t="shared" si="11"/>
        <v>0.72</v>
      </c>
      <c r="K20" s="6">
        <f t="shared" si="12"/>
        <v>0.722345623691383</v>
      </c>
      <c r="L20" s="38">
        <f t="shared" ca="1" si="13"/>
        <v>0</v>
      </c>
      <c r="M20" s="19">
        <v>1</v>
      </c>
      <c r="N20" s="18">
        <v>0.1</v>
      </c>
      <c r="O20" s="18">
        <v>15</v>
      </c>
      <c r="P20" s="161">
        <f t="shared" ca="1" si="14"/>
        <v>0</v>
      </c>
      <c r="Q20" s="185">
        <f t="shared" ca="1" si="15"/>
        <v>0</v>
      </c>
      <c r="R20" s="104"/>
      <c r="S20" s="104">
        <f t="shared" ca="1" si="16"/>
        <v>0</v>
      </c>
      <c r="T20" s="40"/>
      <c r="U20" s="40">
        <v>7.0000000000000007E-2</v>
      </c>
      <c r="V20" s="40">
        <f t="shared" si="17"/>
        <v>0.1</v>
      </c>
      <c r="W20" s="258">
        <f t="shared" ca="1" si="18"/>
        <v>0</v>
      </c>
      <c r="Y20" s="18"/>
      <c r="Z20" s="18"/>
    </row>
    <row r="21" spans="1:26" ht="16.5" customHeight="1">
      <c r="A21" s="7"/>
      <c r="B21" s="76" t="s">
        <v>899</v>
      </c>
      <c r="C21" s="402" t="s">
        <v>543</v>
      </c>
      <c r="D21" s="12" t="str">
        <f ca="1">IEAData2!H10</f>
        <v>RESDST</v>
      </c>
      <c r="E21" s="33">
        <f ca="1">IEAData2!Q82</f>
        <v>0.14371477455476422</v>
      </c>
      <c r="F21" s="33">
        <f ca="1">AuxData2!Q82</f>
        <v>9.7986539935754291E-2</v>
      </c>
      <c r="G21" s="77">
        <v>0.77</v>
      </c>
      <c r="H21" s="343" t="str">
        <f t="shared" si="10"/>
        <v>DST</v>
      </c>
      <c r="I21" s="81">
        <v>1.01</v>
      </c>
      <c r="J21" s="6">
        <f t="shared" si="11"/>
        <v>0.77</v>
      </c>
      <c r="K21" s="6">
        <f t="shared" si="12"/>
        <v>0.77199516325363771</v>
      </c>
      <c r="L21" s="38">
        <f t="shared" ca="1" si="13"/>
        <v>7.5645134894361726E-2</v>
      </c>
      <c r="M21" s="19">
        <v>1</v>
      </c>
      <c r="N21" s="18">
        <v>0.1</v>
      </c>
      <c r="O21" s="18">
        <v>15</v>
      </c>
      <c r="P21" s="161">
        <f t="shared" ca="1" si="14"/>
        <v>1.1066037640716846</v>
      </c>
      <c r="Q21" s="185">
        <f t="shared" ca="1" si="15"/>
        <v>0.75645134894361721</v>
      </c>
      <c r="R21" s="104"/>
      <c r="S21" s="104">
        <f t="shared" ca="1" si="16"/>
        <v>0.15129026978872345</v>
      </c>
      <c r="T21" s="40"/>
      <c r="U21" s="40"/>
      <c r="V21" s="40">
        <f t="shared" si="17"/>
        <v>0.1</v>
      </c>
      <c r="W21" s="258">
        <f t="shared" ca="1" si="18"/>
        <v>1.4663799103028469E-2</v>
      </c>
      <c r="Y21" s="18"/>
      <c r="Z21" s="18"/>
    </row>
    <row r="22" spans="1:26" ht="16.5" customHeight="1">
      <c r="B22" s="76" t="s">
        <v>1028</v>
      </c>
      <c r="C22" s="402" t="s">
        <v>1041</v>
      </c>
      <c r="D22" s="12" t="str">
        <f ca="1">IEAData2!H13</f>
        <v>RESCOP</v>
      </c>
      <c r="E22" s="33">
        <f ca="1">IEAData2!Q85</f>
        <v>0</v>
      </c>
      <c r="F22" s="33">
        <f ca="1">AuxData2!Q85</f>
        <v>0</v>
      </c>
      <c r="G22" s="40">
        <v>0.6</v>
      </c>
      <c r="H22" s="343" t="str">
        <f t="shared" si="10"/>
        <v>COP</v>
      </c>
      <c r="I22" s="81">
        <v>1.01</v>
      </c>
      <c r="J22" s="6">
        <f t="shared" si="11"/>
        <v>0.6</v>
      </c>
      <c r="K22" s="6">
        <f t="shared" si="12"/>
        <v>0.6030422946563222</v>
      </c>
      <c r="L22" s="38">
        <f t="shared" ca="1" si="13"/>
        <v>0</v>
      </c>
      <c r="M22" s="19">
        <v>1</v>
      </c>
      <c r="N22" s="18">
        <v>0.1</v>
      </c>
      <c r="O22" s="18">
        <v>15</v>
      </c>
      <c r="P22" s="161">
        <f t="shared" ca="1" si="14"/>
        <v>0</v>
      </c>
      <c r="Q22" s="185">
        <f t="shared" ca="1" si="15"/>
        <v>0</v>
      </c>
      <c r="R22" s="104"/>
      <c r="S22" s="104">
        <f t="shared" ca="1" si="16"/>
        <v>0</v>
      </c>
      <c r="T22" s="40"/>
      <c r="U22" s="40"/>
      <c r="V22" s="40">
        <f t="shared" si="17"/>
        <v>0.1</v>
      </c>
      <c r="W22" s="258">
        <f t="shared" ca="1" si="18"/>
        <v>0</v>
      </c>
      <c r="Y22" s="18"/>
      <c r="Z22" s="18"/>
    </row>
    <row r="23" spans="1:26" ht="16.5" customHeight="1">
      <c r="B23" s="76" t="s">
        <v>900</v>
      </c>
      <c r="C23" s="402" t="s">
        <v>544</v>
      </c>
      <c r="D23" s="12" t="str">
        <f ca="1">IEAData2!H14</f>
        <v>RESLPG</v>
      </c>
      <c r="E23" s="33">
        <f ca="1">IEAData2!Q86</f>
        <v>0</v>
      </c>
      <c r="F23" s="33">
        <f ca="1">AuxData2!Q86</f>
        <v>0</v>
      </c>
      <c r="G23" s="40">
        <v>0.75</v>
      </c>
      <c r="H23" s="343" t="str">
        <f t="shared" si="10"/>
        <v>LPG</v>
      </c>
      <c r="I23" s="81">
        <v>1.01</v>
      </c>
      <c r="J23" s="6">
        <f t="shared" si="11"/>
        <v>0.75</v>
      </c>
      <c r="K23" s="6">
        <f t="shared" si="12"/>
        <v>0.75213929828851755</v>
      </c>
      <c r="L23" s="38">
        <f t="shared" ca="1" si="13"/>
        <v>0</v>
      </c>
      <c r="M23" s="19">
        <v>1</v>
      </c>
      <c r="N23" s="18">
        <v>0.1</v>
      </c>
      <c r="O23" s="18">
        <v>15</v>
      </c>
      <c r="P23" s="161">
        <f t="shared" ca="1" si="14"/>
        <v>0</v>
      </c>
      <c r="Q23" s="185">
        <f t="shared" ca="1" si="15"/>
        <v>0</v>
      </c>
      <c r="R23" s="104"/>
      <c r="S23" s="104">
        <f t="shared" ca="1" si="16"/>
        <v>0</v>
      </c>
      <c r="T23" s="40"/>
      <c r="U23" s="40"/>
      <c r="V23" s="40">
        <f t="shared" si="17"/>
        <v>0.1</v>
      </c>
      <c r="W23" s="258">
        <f t="shared" ca="1" si="18"/>
        <v>0</v>
      </c>
      <c r="Y23" s="18"/>
      <c r="Z23" s="18"/>
    </row>
    <row r="24" spans="1:26" ht="16.5" customHeight="1">
      <c r="B24" s="76" t="s">
        <v>901</v>
      </c>
      <c r="C24" s="402" t="s">
        <v>545</v>
      </c>
      <c r="D24" s="12" t="str">
        <f ca="1">IEAData2!H15</f>
        <v>RESBIO</v>
      </c>
      <c r="E24" s="33">
        <f ca="1">IEAData2!Q87*Y24</f>
        <v>3.3903012361962315E-3</v>
      </c>
      <c r="F24" s="33">
        <f ca="1">AuxData2!Q87*Z24</f>
        <v>2.2817679770643449E-3</v>
      </c>
      <c r="G24" s="30">
        <f ca="1">'RHT2'!$G30</f>
        <v>0.71400000000000008</v>
      </c>
      <c r="H24" s="343" t="str">
        <f t="shared" si="10"/>
        <v>BIO</v>
      </c>
      <c r="I24" s="81">
        <v>1.01</v>
      </c>
      <c r="J24" s="6">
        <f t="shared" si="11"/>
        <v>0.71400000000000008</v>
      </c>
      <c r="K24" s="6">
        <f t="shared" si="12"/>
        <v>0.71638542973612929</v>
      </c>
      <c r="L24" s="38">
        <f t="shared" ca="1" si="13"/>
        <v>1.6346253328073791E-3</v>
      </c>
      <c r="M24" s="19">
        <v>1</v>
      </c>
      <c r="N24" s="18">
        <v>0.1</v>
      </c>
      <c r="O24" s="18">
        <v>15</v>
      </c>
      <c r="P24" s="161">
        <f t="shared" ca="1" si="14"/>
        <v>2.4206750826441095E-2</v>
      </c>
      <c r="Q24" s="185">
        <f t="shared" ca="1" si="15"/>
        <v>1.6346253328073788E-2</v>
      </c>
      <c r="R24" s="104"/>
      <c r="S24" s="104">
        <f t="shared" ca="1" si="16"/>
        <v>3.2692506656147578E-3</v>
      </c>
      <c r="T24" s="40"/>
      <c r="U24" s="40"/>
      <c r="V24" s="40">
        <f t="shared" si="17"/>
        <v>0.1</v>
      </c>
      <c r="W24" s="258">
        <f t="shared" ca="1" si="18"/>
        <v>3.168718982718751E-4</v>
      </c>
      <c r="Y24" s="40">
        <f ca="1">1-'RHT2'!AC29</f>
        <v>0.6</v>
      </c>
      <c r="Z24" s="40">
        <f ca="1">1-'RHT2'!AD29</f>
        <v>0.5</v>
      </c>
    </row>
    <row r="25" spans="1:26" ht="16.5" customHeight="1">
      <c r="B25" s="76" t="s">
        <v>1049</v>
      </c>
      <c r="C25" s="37" t="s">
        <v>1050</v>
      </c>
      <c r="D25" s="12" t="s">
        <v>931</v>
      </c>
      <c r="E25" s="33">
        <f ca="1">IEAData2!Q87*Y25</f>
        <v>2.2602008241308208E-3</v>
      </c>
      <c r="F25" s="33">
        <f ca="1">AuxData2!Q87*Z25</f>
        <v>2.2817679770643449E-3</v>
      </c>
      <c r="G25" s="30">
        <f ca="1">'RHT2'!$G29</f>
        <v>0.82320000000000004</v>
      </c>
      <c r="H25" s="343" t="str">
        <f>MID(B25,4,3)</f>
        <v>BIO</v>
      </c>
      <c r="I25" s="81">
        <v>1.01</v>
      </c>
      <c r="J25" s="6">
        <f>G25</f>
        <v>0.82320000000000004</v>
      </c>
      <c r="K25" s="6">
        <f>J25^IF(J25&gt;1,I25,1/I25)</f>
        <v>0.82478725675868869</v>
      </c>
      <c r="L25" s="38">
        <f ca="1">F25*K25</f>
        <v>1.8819731503627235E-3</v>
      </c>
      <c r="M25" s="19">
        <v>1</v>
      </c>
      <c r="N25" s="18">
        <v>0.1</v>
      </c>
      <c r="O25" s="18">
        <v>15</v>
      </c>
      <c r="P25" s="161">
        <f ca="1">E25*J25/$N25</f>
        <v>1.8605973184244916E-2</v>
      </c>
      <c r="Q25" s="185">
        <f ca="1">F25*K25/$N25</f>
        <v>1.8819731503627233E-2</v>
      </c>
      <c r="R25" s="104"/>
      <c r="S25" s="104">
        <f ca="1">Q25*0.2</f>
        <v>3.7639463007254469E-3</v>
      </c>
      <c r="T25" s="40"/>
      <c r="U25" s="40"/>
      <c r="V25" s="40">
        <f t="shared" si="17"/>
        <v>0.1</v>
      </c>
      <c r="W25" s="258">
        <f ca="1">IF($L$30=0,0,L25/$L$30)</f>
        <v>3.6482023903786472E-4</v>
      </c>
      <c r="Y25" s="40">
        <f ca="1">1-Y24</f>
        <v>0.4</v>
      </c>
      <c r="Z25" s="40">
        <f ca="1">1-Z24</f>
        <v>0.5</v>
      </c>
    </row>
    <row r="26" spans="1:26" ht="16.5" customHeight="1">
      <c r="B26" s="76" t="s">
        <v>902</v>
      </c>
      <c r="C26" s="402" t="s">
        <v>546</v>
      </c>
      <c r="D26" s="12" t="s">
        <v>951</v>
      </c>
      <c r="E26" s="33">
        <f ca="1">IEAData2!Q88</f>
        <v>0.13832484467556094</v>
      </c>
      <c r="F26" s="33">
        <f ca="1">AuxData2!Q88</f>
        <v>0.14120936409672125</v>
      </c>
      <c r="G26" s="40">
        <v>0.94</v>
      </c>
      <c r="H26" s="343" t="str">
        <f t="shared" si="10"/>
        <v>ELC</v>
      </c>
      <c r="I26" s="81">
        <v>1.01</v>
      </c>
      <c r="J26" s="6">
        <f t="shared" si="11"/>
        <v>0.94</v>
      </c>
      <c r="K26" s="6">
        <f t="shared" si="12"/>
        <v>0.94057604652704008</v>
      </c>
      <c r="L26" s="38">
        <f t="shared" ca="1" si="13"/>
        <v>0.13281814541469142</v>
      </c>
      <c r="M26" s="19">
        <v>1</v>
      </c>
      <c r="N26" s="18">
        <v>0.1</v>
      </c>
      <c r="O26" s="18">
        <v>15</v>
      </c>
      <c r="P26" s="161">
        <f t="shared" ca="1" si="14"/>
        <v>1.3002535399502726</v>
      </c>
      <c r="Q26" s="185">
        <f t="shared" ca="1" si="15"/>
        <v>1.3281814541469141</v>
      </c>
      <c r="R26" s="104"/>
      <c r="S26" s="104">
        <f t="shared" ca="1" si="16"/>
        <v>0.26563629082938284</v>
      </c>
      <c r="T26" s="40"/>
      <c r="U26" s="40"/>
      <c r="V26" s="40">
        <f t="shared" si="17"/>
        <v>0.1</v>
      </c>
      <c r="W26" s="258">
        <f ca="1">IF($L$30=0,0,L26/$L$30)</f>
        <v>2.5746779410436668E-2</v>
      </c>
      <c r="Y26" s="18"/>
      <c r="Z26" s="18"/>
    </row>
    <row r="27" spans="1:26" ht="16.5" customHeight="1">
      <c r="B27" s="271" t="s">
        <v>903</v>
      </c>
      <c r="C27" s="432" t="s">
        <v>569</v>
      </c>
      <c r="D27" s="36" t="str">
        <f ca="1">IEAData2!H17</f>
        <v>RESHET</v>
      </c>
      <c r="E27" s="64">
        <f ca="1">IEAData2!Q89</f>
        <v>5.254199131376402</v>
      </c>
      <c r="F27" s="64">
        <f ca="1">AuxData2!Q89</f>
        <v>5.1560534693993878</v>
      </c>
      <c r="G27" s="69">
        <v>0.95</v>
      </c>
      <c r="H27" s="343" t="str">
        <f t="shared" si="10"/>
        <v>HET</v>
      </c>
      <c r="I27" s="81">
        <v>1.01</v>
      </c>
      <c r="J27" s="67">
        <f t="shared" si="11"/>
        <v>0.95</v>
      </c>
      <c r="K27" s="6">
        <f t="shared" si="12"/>
        <v>0.95048258421076803</v>
      </c>
      <c r="L27" s="38">
        <f t="shared" ca="1" si="13"/>
        <v>4.9007390259236265</v>
      </c>
      <c r="M27" s="57">
        <v>1</v>
      </c>
      <c r="N27" s="81">
        <v>0.1</v>
      </c>
      <c r="O27" s="81">
        <v>15</v>
      </c>
      <c r="P27" s="161">
        <f t="shared" ca="1" si="14"/>
        <v>49.91489174807581</v>
      </c>
      <c r="Q27" s="185">
        <f t="shared" ca="1" si="15"/>
        <v>49.00739025923626</v>
      </c>
      <c r="R27" s="118"/>
      <c r="S27" s="104">
        <f t="shared" ca="1" si="16"/>
        <v>9.8014780518472531</v>
      </c>
      <c r="T27" s="53"/>
      <c r="U27" s="53">
        <v>0.82</v>
      </c>
      <c r="V27" s="40">
        <f t="shared" si="17"/>
        <v>0.1</v>
      </c>
      <c r="W27" s="258">
        <f ca="1">IF($L$30=0,0,L27/$L$30)</f>
        <v>0.95000759312376992</v>
      </c>
      <c r="Y27" s="18"/>
      <c r="Z27" s="18"/>
    </row>
    <row r="28" spans="1:26" ht="16.5" customHeight="1">
      <c r="B28" s="271" t="s">
        <v>904</v>
      </c>
      <c r="C28" s="432" t="s">
        <v>570</v>
      </c>
      <c r="D28" s="36" t="str">
        <f ca="1">IEAData2!H18</f>
        <v>RESGEO</v>
      </c>
      <c r="E28" s="64">
        <f ca="1">IEAData2!Q90</f>
        <v>0</v>
      </c>
      <c r="F28" s="64">
        <f ca="1">AuxData2!Q90</f>
        <v>0</v>
      </c>
      <c r="G28" s="69">
        <v>0.95</v>
      </c>
      <c r="H28" s="343" t="str">
        <f t="shared" si="10"/>
        <v>GEO</v>
      </c>
      <c r="I28" s="81">
        <v>1.01</v>
      </c>
      <c r="J28" s="67">
        <f t="shared" si="11"/>
        <v>0.95</v>
      </c>
      <c r="K28" s="6">
        <f t="shared" si="12"/>
        <v>0.95048258421076803</v>
      </c>
      <c r="L28" s="38">
        <f t="shared" ca="1" si="13"/>
        <v>0</v>
      </c>
      <c r="M28" s="57">
        <v>1</v>
      </c>
      <c r="N28" s="81">
        <v>0.1</v>
      </c>
      <c r="O28" s="81">
        <v>15</v>
      </c>
      <c r="P28" s="161">
        <f t="shared" ca="1" si="14"/>
        <v>0</v>
      </c>
      <c r="Q28" s="185">
        <f t="shared" ca="1" si="15"/>
        <v>0</v>
      </c>
      <c r="R28" s="118"/>
      <c r="S28" s="104">
        <f t="shared" ca="1" si="16"/>
        <v>0</v>
      </c>
      <c r="T28" s="53"/>
      <c r="U28" s="53">
        <v>0.82</v>
      </c>
      <c r="V28" s="40">
        <f t="shared" si="17"/>
        <v>0.1</v>
      </c>
      <c r="W28" s="258">
        <f ca="1">IF($L$30=0,0,L28/$L$30)</f>
        <v>0</v>
      </c>
      <c r="Y28" s="18"/>
      <c r="Z28" s="18"/>
    </row>
    <row r="29" spans="1:26" ht="16.5" customHeight="1" thickBot="1">
      <c r="B29" s="266" t="s">
        <v>905</v>
      </c>
      <c r="C29" s="403" t="s">
        <v>547</v>
      </c>
      <c r="D29" s="24" t="str">
        <f ca="1">IEAData2!H19</f>
        <v>RESSOL</v>
      </c>
      <c r="E29" s="34">
        <f ca="1">IEAData2!Q91</f>
        <v>0</v>
      </c>
      <c r="F29" s="34">
        <f ca="1">AuxData2!Q91</f>
        <v>0</v>
      </c>
      <c r="G29" s="71">
        <v>0.95</v>
      </c>
      <c r="H29" s="343" t="str">
        <f t="shared" si="10"/>
        <v>SOL</v>
      </c>
      <c r="I29" s="20">
        <v>1.01</v>
      </c>
      <c r="J29" s="21">
        <f t="shared" si="11"/>
        <v>0.95</v>
      </c>
      <c r="K29" s="6">
        <f t="shared" si="12"/>
        <v>0.95048258421076803</v>
      </c>
      <c r="L29" s="38">
        <f t="shared" ca="1" si="13"/>
        <v>0</v>
      </c>
      <c r="M29" s="73">
        <v>1</v>
      </c>
      <c r="N29" s="20">
        <v>0.1</v>
      </c>
      <c r="O29" s="20">
        <v>15</v>
      </c>
      <c r="P29" s="162">
        <f t="shared" ca="1" si="14"/>
        <v>0</v>
      </c>
      <c r="Q29" s="185">
        <f t="shared" ca="1" si="15"/>
        <v>0</v>
      </c>
      <c r="R29" s="117"/>
      <c r="S29" s="117">
        <f t="shared" ca="1" si="16"/>
        <v>0</v>
      </c>
      <c r="T29" s="54"/>
      <c r="U29" s="54"/>
      <c r="V29" s="53">
        <f t="shared" si="17"/>
        <v>0.1</v>
      </c>
      <c r="W29" s="258">
        <f ca="1">IF($L$30=0,0,L29/$L$30)</f>
        <v>0</v>
      </c>
      <c r="Y29" s="18"/>
      <c r="Z29" s="18"/>
    </row>
    <row r="30" spans="1:26" ht="14.25">
      <c r="B30" s="434" t="s">
        <v>999</v>
      </c>
      <c r="C30" s="190" t="s">
        <v>1001</v>
      </c>
      <c r="D30" s="190"/>
      <c r="E30" s="191">
        <f ca="1">SUM(E19:E29)</f>
        <v>5.5790420195901866</v>
      </c>
      <c r="F30" s="191">
        <f ca="1">SUM(F19:F29)</f>
        <v>5.4585304937773556</v>
      </c>
      <c r="G30" s="191"/>
      <c r="H30" s="191">
        <f ca="1">J30</f>
        <v>5.2654353358108885</v>
      </c>
      <c r="I30" s="190"/>
      <c r="J30" s="191">
        <f ca="1">SUMPRODUCT(J19:J29,E19:E29)</f>
        <v>5.2654353358108885</v>
      </c>
      <c r="K30" s="191">
        <f ca="1">SUMPRODUCT(K19:K29,F19:F29)</f>
        <v>5.1586314271544387</v>
      </c>
      <c r="L30" s="191">
        <f ca="1">SUM(L19:L29)</f>
        <v>5.1586314271544387</v>
      </c>
      <c r="M30" s="190"/>
      <c r="N30" s="190"/>
      <c r="O30" s="191"/>
      <c r="P30" s="192">
        <f ca="1">SUM(P19:P29)</f>
        <v>52.654353358108885</v>
      </c>
      <c r="Q30" s="190"/>
      <c r="R30" s="190"/>
      <c r="S30" s="260"/>
      <c r="T30" s="190"/>
      <c r="U30" s="190"/>
      <c r="V30" s="190"/>
      <c r="W30" s="258">
        <f ca="1">SUM(W19:W29)</f>
        <v>1</v>
      </c>
      <c r="Y30" s="190"/>
      <c r="Z30" s="190"/>
    </row>
    <row r="31" spans="1:26">
      <c r="B31" s="123"/>
      <c r="C31" s="55"/>
      <c r="D31" s="55"/>
      <c r="E31" s="57"/>
      <c r="G31" s="57"/>
      <c r="H31" s="57"/>
      <c r="I31" s="55"/>
      <c r="J31" s="254"/>
      <c r="L31" s="57"/>
      <c r="M31" s="55"/>
      <c r="N31" s="55"/>
      <c r="O31" s="57"/>
      <c r="P31" s="161"/>
      <c r="Q31" s="55"/>
      <c r="R31" s="55"/>
      <c r="S31" s="161"/>
      <c r="T31" s="55"/>
      <c r="U31" s="55"/>
      <c r="V31" s="55"/>
    </row>
    <row r="32" spans="1:26">
      <c r="B32" s="123"/>
      <c r="C32" s="55"/>
      <c r="D32" s="55"/>
      <c r="E32" s="57"/>
      <c r="F32" s="57"/>
      <c r="G32" s="57"/>
      <c r="H32" s="55"/>
      <c r="I32" s="254"/>
      <c r="J32" s="57"/>
      <c r="L32" s="255"/>
      <c r="M32" s="55"/>
      <c r="N32" s="55"/>
      <c r="O32" s="57"/>
      <c r="P32" s="161"/>
      <c r="Q32" s="55"/>
      <c r="R32" s="55"/>
      <c r="S32" s="161"/>
      <c r="T32" s="55"/>
      <c r="U32" s="55"/>
      <c r="V32" s="55"/>
    </row>
    <row r="36" spans="2:15" ht="18">
      <c r="B36" s="155" t="s">
        <v>592</v>
      </c>
      <c r="C36" s="156"/>
      <c r="D36" s="252" t="str">
        <f>"~FI_T: "&amp;Region</f>
        <v>~FI_T: FIM</v>
      </c>
      <c r="M36" s="5"/>
    </row>
    <row r="37" spans="2:15" ht="13.5" thickBot="1">
      <c r="B37" s="27" t="s">
        <v>384</v>
      </c>
      <c r="C37" s="27" t="s">
        <v>385</v>
      </c>
      <c r="D37" s="27" t="s">
        <v>243</v>
      </c>
      <c r="E37" s="344" t="s">
        <v>942</v>
      </c>
      <c r="F37" s="344" t="s">
        <v>379</v>
      </c>
      <c r="G37" s="344" t="str">
        <f ca="1">F37&amp;"~"&amp;AuxYear</f>
        <v>DEMAND~2017</v>
      </c>
      <c r="H37" s="386" t="s">
        <v>974</v>
      </c>
      <c r="I37" s="386" t="s">
        <v>974</v>
      </c>
      <c r="M37" s="5"/>
      <c r="O37" s="427" t="s">
        <v>1053</v>
      </c>
    </row>
    <row r="38" spans="2:15">
      <c r="B38" s="58" t="s">
        <v>253</v>
      </c>
      <c r="C38" s="58" t="s">
        <v>1224</v>
      </c>
      <c r="D38" s="95" t="s">
        <v>249</v>
      </c>
      <c r="E38" s="63"/>
      <c r="F38" s="63">
        <v>0</v>
      </c>
      <c r="G38" s="63">
        <v>0</v>
      </c>
      <c r="H38" s="367"/>
      <c r="I38" s="367"/>
      <c r="M38" s="5"/>
      <c r="N38" s="5"/>
      <c r="O38" s="522">
        <f ca="1">K18+'RHT2'!K21/CalibData2!O132</f>
        <v>6.1432826359907597</v>
      </c>
    </row>
    <row r="39" spans="2:15">
      <c r="B39" s="58" t="s">
        <v>252</v>
      </c>
      <c r="C39" s="58" t="s">
        <v>1225</v>
      </c>
      <c r="D39" s="95" t="s">
        <v>249</v>
      </c>
      <c r="E39" s="63"/>
      <c r="F39" s="63">
        <v>0</v>
      </c>
      <c r="G39" s="63">
        <v>0</v>
      </c>
      <c r="H39" s="367"/>
      <c r="I39" s="367"/>
      <c r="O39" s="522">
        <f ca="1">K30+'RHT2'!K35/CalibData2!O132</f>
        <v>22.583321765794885</v>
      </c>
    </row>
    <row r="40" spans="2:15">
      <c r="B40" s="80" t="s">
        <v>909</v>
      </c>
      <c r="C40" s="28" t="s">
        <v>908</v>
      </c>
      <c r="D40" s="95" t="s">
        <v>249</v>
      </c>
      <c r="E40" s="63"/>
      <c r="F40" s="63">
        <v>0</v>
      </c>
      <c r="G40" s="63">
        <v>0</v>
      </c>
      <c r="H40" s="562">
        <f ca="1">IF(K18&gt;0,K18/H18,1)</f>
        <v>1.0789325652222521</v>
      </c>
      <c r="I40" s="563">
        <v>1</v>
      </c>
    </row>
    <row r="41" spans="2:15">
      <c r="B41" s="80" t="s">
        <v>906</v>
      </c>
      <c r="C41" s="28" t="s">
        <v>907</v>
      </c>
      <c r="D41" s="95" t="s">
        <v>249</v>
      </c>
      <c r="E41" s="342"/>
      <c r="F41" s="63">
        <v>0</v>
      </c>
      <c r="G41" s="63">
        <v>0</v>
      </c>
      <c r="H41" s="562">
        <f ca="1">IF(K30&gt;0,K30/H30,1)</f>
        <v>0.97971603450714451</v>
      </c>
      <c r="I41" s="563">
        <v>1</v>
      </c>
    </row>
    <row r="42" spans="2:15">
      <c r="B42" s="80" t="s">
        <v>1132</v>
      </c>
      <c r="C42" s="28" t="s">
        <v>89</v>
      </c>
      <c r="D42" s="95" t="s">
        <v>249</v>
      </c>
      <c r="E42" s="342">
        <f ca="1">H30+H18</f>
        <v>6.6003520565732625</v>
      </c>
      <c r="F42" s="342">
        <f ca="1">G42</f>
        <v>1</v>
      </c>
      <c r="G42" s="342">
        <f ca="1">(K30+K18)^0</f>
        <v>1</v>
      </c>
      <c r="H42" s="491">
        <v>1</v>
      </c>
      <c r="I42" s="297">
        <v>1</v>
      </c>
    </row>
    <row r="43" spans="2:15">
      <c r="B43" s="80" t="s">
        <v>1128</v>
      </c>
      <c r="C43" s="58" t="str">
        <f>CONCATENATE("Residential Space Heat - ","Detached")</f>
        <v>Residential Space Heat - Detached</v>
      </c>
      <c r="D43" s="95" t="s">
        <v>249</v>
      </c>
      <c r="E43" s="342"/>
      <c r="F43" s="342">
        <v>1</v>
      </c>
      <c r="G43" s="342">
        <v>1</v>
      </c>
      <c r="H43" s="491"/>
      <c r="I43" s="491"/>
    </row>
    <row r="44" spans="2:15">
      <c r="B44" s="80" t="s">
        <v>1129</v>
      </c>
      <c r="C44" s="58" t="str">
        <f>CONCATENATE("Residential Space Heat - ","Flats")</f>
        <v>Residential Space Heat - Flats</v>
      </c>
      <c r="D44" s="95" t="s">
        <v>249</v>
      </c>
      <c r="E44" s="342"/>
      <c r="F44" s="342">
        <v>1</v>
      </c>
      <c r="G44" s="342">
        <v>1</v>
      </c>
      <c r="H44" s="491"/>
      <c r="I44" s="491"/>
    </row>
    <row r="74" spans="3:24">
      <c r="C74" s="123"/>
      <c r="D74" s="123"/>
      <c r="E74" s="123"/>
      <c r="F74" s="123"/>
      <c r="G74" s="123"/>
      <c r="H74" s="123"/>
      <c r="I74" s="123"/>
      <c r="J74" s="123"/>
      <c r="K74" s="123"/>
      <c r="L74" s="123"/>
      <c r="M74" s="123"/>
      <c r="N74" s="123"/>
      <c r="O74" s="123"/>
      <c r="P74" s="123"/>
      <c r="Q74" s="123"/>
      <c r="R74" s="123"/>
      <c r="S74" s="123"/>
      <c r="T74" s="123"/>
      <c r="U74" s="123"/>
      <c r="V74" s="123"/>
      <c r="W74" s="123"/>
      <c r="X74" s="123"/>
    </row>
    <row r="83" spans="3:24">
      <c r="C83" s="120"/>
      <c r="D83" s="123"/>
      <c r="E83" s="123"/>
      <c r="F83" s="123"/>
      <c r="G83" s="123"/>
      <c r="H83" s="123"/>
      <c r="I83" s="123"/>
      <c r="J83" s="123"/>
      <c r="K83" s="123"/>
      <c r="L83" s="123"/>
      <c r="M83" s="123"/>
      <c r="N83" s="123"/>
      <c r="O83" s="123"/>
      <c r="P83" s="123"/>
      <c r="Q83" s="123"/>
      <c r="R83" s="124"/>
      <c r="S83" s="124"/>
      <c r="T83" s="123"/>
      <c r="U83" s="123"/>
      <c r="V83" s="123"/>
      <c r="W83" s="123"/>
      <c r="X83" s="123"/>
    </row>
    <row r="84" spans="3:24">
      <c r="C84" s="123"/>
      <c r="D84" s="120"/>
      <c r="E84" s="123"/>
      <c r="F84" s="123"/>
      <c r="G84" s="123"/>
      <c r="H84" s="123"/>
      <c r="I84" s="123"/>
      <c r="J84" s="123"/>
      <c r="K84" s="123"/>
      <c r="L84" s="123"/>
      <c r="M84" s="123"/>
      <c r="N84" s="123"/>
      <c r="O84" s="123"/>
      <c r="P84" s="123"/>
      <c r="Q84" s="123"/>
      <c r="R84" s="124"/>
      <c r="S84" s="124"/>
      <c r="T84" s="123"/>
      <c r="U84" s="123"/>
      <c r="V84" s="123"/>
      <c r="W84" s="123"/>
      <c r="X84" s="123"/>
    </row>
    <row r="85" spans="3:24">
      <c r="C85" s="123"/>
      <c r="D85" s="120"/>
      <c r="E85" s="123"/>
      <c r="F85" s="123"/>
      <c r="G85" s="123"/>
      <c r="H85" s="123"/>
      <c r="I85" s="123"/>
      <c r="J85" s="123"/>
      <c r="K85" s="123"/>
      <c r="L85" s="123"/>
      <c r="M85" s="123"/>
      <c r="N85" s="123"/>
      <c r="O85" s="123"/>
      <c r="P85" s="123"/>
      <c r="Q85" s="123"/>
      <c r="R85" s="124"/>
      <c r="S85" s="124"/>
      <c r="T85" s="123"/>
      <c r="U85" s="123"/>
      <c r="V85" s="123"/>
      <c r="W85" s="123"/>
      <c r="X85" s="123"/>
    </row>
    <row r="86" spans="3:24">
      <c r="C86" s="123"/>
      <c r="D86" s="120"/>
      <c r="E86" s="123"/>
      <c r="F86" s="123"/>
      <c r="G86" s="123"/>
      <c r="H86" s="123"/>
      <c r="I86" s="123"/>
      <c r="J86" s="123"/>
      <c r="K86" s="123"/>
      <c r="L86" s="123"/>
      <c r="M86" s="123"/>
      <c r="N86" s="123"/>
      <c r="O86" s="123"/>
      <c r="P86" s="123"/>
      <c r="Q86" s="123"/>
      <c r="R86" s="124"/>
      <c r="S86" s="124"/>
      <c r="T86" s="123"/>
      <c r="U86" s="123"/>
      <c r="V86" s="123"/>
      <c r="W86" s="123"/>
      <c r="X86" s="123"/>
    </row>
    <row r="87" spans="3:24">
      <c r="C87" s="123"/>
      <c r="D87" s="120"/>
      <c r="E87" s="123"/>
      <c r="F87" s="123"/>
      <c r="G87" s="123"/>
      <c r="H87" s="123"/>
      <c r="I87" s="123"/>
      <c r="J87" s="123"/>
      <c r="K87" s="123"/>
      <c r="L87" s="123"/>
      <c r="M87" s="123"/>
      <c r="N87" s="123"/>
      <c r="O87" s="123"/>
      <c r="P87" s="123"/>
      <c r="Q87" s="123"/>
      <c r="R87" s="124"/>
      <c r="S87" s="124"/>
      <c r="T87" s="123"/>
      <c r="U87" s="123"/>
      <c r="V87" s="123"/>
      <c r="W87" s="123"/>
      <c r="X87" s="123"/>
    </row>
    <row r="88" spans="3:24">
      <c r="C88" s="123"/>
      <c r="D88" s="120"/>
      <c r="E88" s="123"/>
      <c r="F88" s="123"/>
      <c r="G88" s="123"/>
      <c r="H88" s="123"/>
      <c r="I88" s="123"/>
      <c r="J88" s="123"/>
      <c r="K88" s="123"/>
      <c r="L88" s="123"/>
      <c r="M88" s="123"/>
      <c r="N88" s="123"/>
      <c r="O88" s="123"/>
      <c r="P88" s="123"/>
      <c r="Q88" s="123"/>
      <c r="R88" s="124"/>
      <c r="S88" s="124"/>
      <c r="T88" s="123"/>
      <c r="U88" s="123"/>
      <c r="V88" s="123"/>
      <c r="W88" s="123"/>
      <c r="X88" s="123"/>
    </row>
    <row r="89" spans="3:24">
      <c r="C89" s="123"/>
      <c r="D89" s="120"/>
      <c r="E89" s="123"/>
      <c r="F89" s="123"/>
      <c r="G89" s="123"/>
      <c r="H89" s="123"/>
      <c r="I89" s="123"/>
      <c r="J89" s="123"/>
      <c r="K89" s="123"/>
      <c r="L89" s="123"/>
      <c r="M89" s="123"/>
      <c r="N89" s="123"/>
      <c r="O89" s="123"/>
      <c r="P89" s="123"/>
      <c r="Q89" s="123"/>
      <c r="R89" s="124"/>
      <c r="S89" s="124"/>
      <c r="T89" s="123"/>
      <c r="U89" s="123"/>
      <c r="V89" s="123"/>
      <c r="W89" s="123"/>
      <c r="X89" s="123"/>
    </row>
    <row r="90" spans="3:24">
      <c r="C90" s="123"/>
      <c r="D90" s="120"/>
      <c r="E90" s="123"/>
      <c r="F90" s="123"/>
      <c r="G90" s="123"/>
      <c r="H90" s="123"/>
      <c r="I90" s="123"/>
      <c r="J90" s="123"/>
      <c r="K90" s="123"/>
      <c r="L90" s="123"/>
      <c r="M90" s="123"/>
      <c r="N90" s="123"/>
      <c r="O90" s="123"/>
      <c r="P90" s="123"/>
      <c r="Q90" s="123"/>
      <c r="R90" s="124"/>
      <c r="S90" s="124"/>
      <c r="T90" s="123"/>
      <c r="U90" s="123"/>
      <c r="V90" s="123"/>
      <c r="W90" s="123"/>
      <c r="X90" s="123"/>
    </row>
    <row r="91" spans="3:24">
      <c r="C91" s="123"/>
      <c r="D91" s="120"/>
      <c r="E91" s="123"/>
      <c r="F91" s="123"/>
      <c r="G91" s="123"/>
      <c r="H91" s="123"/>
      <c r="I91" s="123"/>
      <c r="J91" s="123"/>
      <c r="K91" s="123"/>
      <c r="L91" s="123"/>
      <c r="M91" s="123"/>
      <c r="N91" s="123"/>
      <c r="O91" s="123"/>
      <c r="P91" s="123"/>
      <c r="Q91" s="123"/>
      <c r="R91" s="124"/>
      <c r="S91" s="124"/>
      <c r="T91" s="123"/>
      <c r="U91" s="123"/>
      <c r="V91" s="123"/>
      <c r="W91" s="123"/>
      <c r="X91" s="123"/>
    </row>
    <row r="92" spans="3:24">
      <c r="C92" s="123"/>
      <c r="D92" s="120"/>
      <c r="E92" s="123"/>
      <c r="F92" s="123"/>
      <c r="G92" s="123"/>
      <c r="H92" s="123"/>
      <c r="I92" s="123"/>
      <c r="J92" s="123"/>
      <c r="K92" s="123"/>
      <c r="L92" s="123"/>
      <c r="M92" s="123"/>
      <c r="N92" s="123"/>
      <c r="O92" s="123"/>
      <c r="P92" s="123"/>
      <c r="Q92" s="123"/>
      <c r="R92" s="124"/>
      <c r="S92" s="124"/>
      <c r="T92" s="123"/>
      <c r="U92" s="123"/>
      <c r="V92" s="123"/>
      <c r="W92" s="123"/>
      <c r="X92" s="123"/>
    </row>
    <row r="93" spans="3:24">
      <c r="C93" s="123"/>
      <c r="D93" s="120"/>
      <c r="E93" s="123"/>
      <c r="F93" s="123"/>
      <c r="G93" s="123"/>
      <c r="H93" s="123"/>
      <c r="I93" s="123"/>
      <c r="J93" s="123"/>
      <c r="K93" s="123"/>
      <c r="L93" s="123"/>
      <c r="M93" s="123"/>
      <c r="N93" s="123"/>
      <c r="O93" s="123"/>
      <c r="P93" s="123"/>
      <c r="Q93" s="123"/>
      <c r="R93" s="124"/>
      <c r="S93" s="124"/>
      <c r="T93" s="123"/>
      <c r="U93" s="123"/>
      <c r="V93" s="123"/>
      <c r="W93" s="123"/>
      <c r="X93" s="123"/>
    </row>
    <row r="94" spans="3:24">
      <c r="C94" s="123"/>
      <c r="D94" s="120"/>
      <c r="E94" s="123"/>
      <c r="F94" s="123"/>
      <c r="G94" s="123"/>
      <c r="H94" s="123"/>
      <c r="I94" s="123"/>
      <c r="J94" s="123"/>
      <c r="K94" s="123"/>
      <c r="L94" s="123"/>
      <c r="M94" s="123"/>
      <c r="N94" s="123"/>
      <c r="O94" s="123"/>
      <c r="P94" s="123"/>
      <c r="Q94" s="123"/>
      <c r="R94" s="124"/>
      <c r="S94" s="124"/>
      <c r="T94" s="123"/>
      <c r="U94" s="123"/>
      <c r="V94" s="123"/>
      <c r="W94" s="123"/>
      <c r="X94" s="123"/>
    </row>
    <row r="95" spans="3:24">
      <c r="C95" s="123"/>
      <c r="D95" s="120"/>
      <c r="E95" s="123"/>
      <c r="F95" s="123"/>
      <c r="G95" s="123"/>
      <c r="H95" s="123"/>
      <c r="I95" s="123"/>
      <c r="J95" s="123"/>
      <c r="K95" s="123"/>
      <c r="L95" s="123"/>
      <c r="M95" s="123"/>
      <c r="N95" s="123"/>
      <c r="O95" s="123"/>
      <c r="P95" s="123"/>
      <c r="Q95" s="123"/>
      <c r="R95" s="124"/>
      <c r="S95" s="124"/>
      <c r="T95" s="123"/>
      <c r="U95" s="123"/>
      <c r="V95" s="123"/>
      <c r="W95" s="123"/>
      <c r="X95" s="123"/>
    </row>
    <row r="96" spans="3:24">
      <c r="C96" s="123"/>
      <c r="D96" s="120"/>
      <c r="E96" s="123"/>
      <c r="F96" s="123"/>
      <c r="G96" s="123"/>
      <c r="H96" s="123"/>
      <c r="I96" s="123"/>
      <c r="J96" s="123"/>
      <c r="K96" s="123"/>
      <c r="L96" s="123"/>
      <c r="M96" s="123"/>
      <c r="N96" s="123"/>
      <c r="O96" s="123"/>
      <c r="P96" s="123"/>
      <c r="Q96" s="123"/>
      <c r="R96" s="124"/>
      <c r="S96" s="124"/>
      <c r="T96" s="123"/>
      <c r="U96" s="123"/>
      <c r="V96" s="123"/>
      <c r="W96" s="123"/>
      <c r="X96" s="123"/>
    </row>
    <row r="97" spans="3:24">
      <c r="C97" s="123"/>
      <c r="D97" s="120"/>
      <c r="E97" s="123"/>
      <c r="F97" s="123"/>
      <c r="G97" s="123"/>
      <c r="H97" s="123"/>
      <c r="I97" s="123"/>
      <c r="J97" s="123"/>
      <c r="K97" s="123"/>
      <c r="L97" s="123"/>
      <c r="M97" s="123"/>
      <c r="N97" s="123"/>
      <c r="O97" s="123"/>
      <c r="P97" s="123"/>
      <c r="Q97" s="123"/>
      <c r="R97" s="124"/>
      <c r="S97" s="124"/>
      <c r="T97" s="123"/>
      <c r="U97" s="123"/>
      <c r="V97" s="123"/>
      <c r="W97" s="123"/>
      <c r="X97" s="123"/>
    </row>
    <row r="98" spans="3:24">
      <c r="C98" s="123"/>
      <c r="D98" s="120"/>
      <c r="E98" s="123"/>
      <c r="F98" s="123"/>
      <c r="G98" s="123"/>
      <c r="H98" s="123"/>
      <c r="I98" s="123"/>
      <c r="J98" s="123"/>
      <c r="K98" s="123"/>
      <c r="L98" s="123"/>
      <c r="M98" s="123"/>
      <c r="N98" s="123"/>
      <c r="O98" s="123"/>
      <c r="P98" s="123"/>
      <c r="Q98" s="123"/>
      <c r="R98" s="124"/>
      <c r="S98" s="124"/>
      <c r="T98" s="123"/>
      <c r="U98" s="123"/>
      <c r="V98" s="123"/>
      <c r="W98" s="123"/>
      <c r="X98" s="123"/>
    </row>
    <row r="99" spans="3:24">
      <c r="C99" s="123"/>
      <c r="D99" s="120"/>
      <c r="E99" s="123"/>
      <c r="F99" s="123"/>
      <c r="G99" s="123"/>
      <c r="H99" s="123"/>
      <c r="I99" s="123"/>
      <c r="J99" s="123"/>
      <c r="K99" s="123"/>
      <c r="L99" s="123"/>
      <c r="M99" s="123"/>
      <c r="N99" s="123"/>
      <c r="O99" s="123"/>
      <c r="P99" s="123"/>
      <c r="Q99" s="123"/>
      <c r="R99" s="124"/>
      <c r="S99" s="124"/>
      <c r="T99" s="123"/>
      <c r="U99" s="123"/>
      <c r="V99" s="123"/>
      <c r="W99" s="123"/>
      <c r="X99" s="123"/>
    </row>
    <row r="100" spans="3:24">
      <c r="C100" s="123"/>
      <c r="D100" s="120"/>
      <c r="E100" s="123"/>
      <c r="F100" s="123"/>
      <c r="G100" s="123"/>
      <c r="H100" s="123"/>
      <c r="I100" s="123"/>
      <c r="J100" s="123"/>
      <c r="K100" s="123"/>
      <c r="L100" s="123"/>
      <c r="M100" s="123"/>
      <c r="N100" s="123"/>
      <c r="O100" s="123"/>
      <c r="P100" s="123"/>
      <c r="Q100" s="123"/>
      <c r="R100" s="124"/>
      <c r="S100" s="124"/>
      <c r="T100" s="123"/>
      <c r="U100" s="123"/>
      <c r="V100" s="123"/>
      <c r="W100" s="123"/>
      <c r="X100" s="123"/>
    </row>
    <row r="101" spans="3:24">
      <c r="C101" s="123"/>
      <c r="D101" s="120"/>
      <c r="E101" s="123"/>
      <c r="F101" s="123"/>
      <c r="G101" s="123"/>
      <c r="H101" s="123"/>
      <c r="I101" s="123"/>
      <c r="J101" s="123"/>
      <c r="K101" s="123"/>
      <c r="L101" s="123"/>
      <c r="M101" s="123"/>
      <c r="N101" s="123"/>
      <c r="O101" s="123"/>
      <c r="P101" s="123"/>
      <c r="Q101" s="123"/>
      <c r="R101" s="124"/>
      <c r="S101" s="124"/>
      <c r="T101" s="123"/>
      <c r="U101" s="123"/>
      <c r="V101" s="123"/>
      <c r="W101" s="123"/>
      <c r="X101" s="123"/>
    </row>
    <row r="102" spans="3:24">
      <c r="C102" s="123"/>
      <c r="D102" s="120"/>
      <c r="E102" s="123"/>
      <c r="F102" s="123"/>
      <c r="G102" s="123"/>
      <c r="H102" s="123"/>
      <c r="I102" s="123"/>
      <c r="J102" s="123"/>
      <c r="K102" s="123"/>
      <c r="L102" s="123"/>
      <c r="M102" s="123"/>
      <c r="N102" s="123"/>
      <c r="O102" s="123"/>
      <c r="P102" s="123"/>
      <c r="Q102" s="123"/>
      <c r="R102" s="124"/>
      <c r="S102" s="124"/>
      <c r="T102" s="123"/>
      <c r="U102" s="123"/>
      <c r="V102" s="123"/>
      <c r="W102" s="123"/>
      <c r="X102" s="123"/>
    </row>
    <row r="103" spans="3:24">
      <c r="C103" s="123"/>
      <c r="D103" s="120"/>
      <c r="E103" s="123"/>
      <c r="F103" s="123"/>
      <c r="G103" s="123"/>
      <c r="H103" s="123"/>
      <c r="I103" s="123"/>
      <c r="J103" s="123"/>
      <c r="K103" s="123"/>
      <c r="L103" s="123"/>
      <c r="M103" s="123"/>
      <c r="N103" s="123"/>
      <c r="O103" s="123"/>
      <c r="P103" s="123"/>
      <c r="Q103" s="123"/>
      <c r="R103" s="124"/>
      <c r="S103" s="124"/>
      <c r="T103" s="123"/>
      <c r="U103" s="123"/>
      <c r="V103" s="123"/>
      <c r="W103" s="123"/>
      <c r="X103" s="123"/>
    </row>
    <row r="104" spans="3:24">
      <c r="C104" s="123"/>
      <c r="D104" s="120"/>
      <c r="E104" s="123"/>
      <c r="F104" s="123"/>
      <c r="G104" s="123"/>
      <c r="H104" s="123"/>
      <c r="I104" s="123"/>
      <c r="J104" s="123"/>
      <c r="K104" s="123"/>
      <c r="L104" s="123"/>
      <c r="M104" s="123"/>
      <c r="N104" s="123"/>
      <c r="O104" s="123"/>
      <c r="P104" s="123"/>
      <c r="Q104" s="123"/>
      <c r="R104" s="124"/>
      <c r="S104" s="124"/>
      <c r="T104" s="123"/>
      <c r="U104" s="123"/>
      <c r="V104" s="123"/>
      <c r="W104" s="123"/>
      <c r="X104"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36.xml><?xml version="1.0" encoding="utf-8"?>
<worksheet xmlns="http://schemas.openxmlformats.org/spreadsheetml/2006/main" xmlns:r="http://schemas.openxmlformats.org/officeDocument/2006/relationships">
  <sheetPr codeName="Sheet54"/>
  <dimension ref="A1:AB109"/>
  <sheetViews>
    <sheetView zoomScale="75" workbookViewId="0">
      <selection activeCell="D4" sqref="D4"/>
    </sheetView>
  </sheetViews>
  <sheetFormatPr defaultColWidth="11.42578125" defaultRowHeight="12.75"/>
  <cols>
    <col min="1" max="1" width="15.85546875" customWidth="1"/>
    <col min="2" max="2" width="13.5703125" customWidth="1"/>
    <col min="3" max="3" width="52" customWidth="1"/>
    <col min="4" max="4" width="13.85546875" customWidth="1"/>
    <col min="5" max="5" width="11.7109375" bestFit="1" customWidth="1"/>
    <col min="6" max="6" width="10.7109375" customWidth="1"/>
    <col min="7" max="23" width="11.42578125" customWidth="1"/>
    <col min="24" max="24" width="13.7109375" customWidth="1"/>
  </cols>
  <sheetData>
    <row r="1" spans="1:27" ht="18">
      <c r="A1" s="10" t="s">
        <v>599</v>
      </c>
      <c r="D1" t="s">
        <v>250</v>
      </c>
    </row>
    <row r="2" spans="1:27" ht="18">
      <c r="A2" s="10"/>
      <c r="D2" s="245"/>
      <c r="F2" s="9"/>
    </row>
    <row r="3" spans="1:27" ht="18">
      <c r="A3" s="10"/>
      <c r="B3" s="16"/>
      <c r="C3" s="17"/>
      <c r="D3" s="245"/>
      <c r="O3" s="18">
        <v>1</v>
      </c>
      <c r="P3" t="s">
        <v>666</v>
      </c>
      <c r="Z3" s="463">
        <v>0</v>
      </c>
      <c r="AA3" s="463">
        <v>1</v>
      </c>
    </row>
    <row r="4" spans="1:27" ht="18">
      <c r="B4" s="131" t="s">
        <v>594</v>
      </c>
      <c r="C4" s="98"/>
      <c r="D4" s="252" t="str">
        <f>"~FI_T: "&amp;Region&amp;"~EUR10"</f>
        <v>~FI_T: FIM~EUR10</v>
      </c>
      <c r="E4" s="4"/>
      <c r="R4" s="4"/>
      <c r="S4" s="4"/>
    </row>
    <row r="5" spans="1:27" ht="53.25" customHeight="1"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537</v>
      </c>
      <c r="U5" s="52" t="s">
        <v>471</v>
      </c>
      <c r="V5" s="52" t="s">
        <v>778</v>
      </c>
      <c r="W5" s="257" t="s">
        <v>381</v>
      </c>
      <c r="X5" s="14"/>
      <c r="Y5" s="427" t="s">
        <v>993</v>
      </c>
      <c r="Z5" s="427" t="s">
        <v>997</v>
      </c>
      <c r="AA5" s="427" t="s">
        <v>998</v>
      </c>
    </row>
    <row r="6" spans="1:27" ht="15.75" customHeight="1" thickBot="1">
      <c r="A6" s="14"/>
      <c r="B6" s="434" t="s">
        <v>999</v>
      </c>
      <c r="C6" s="190"/>
      <c r="D6" s="190"/>
      <c r="E6" s="191"/>
      <c r="F6" s="191"/>
      <c r="G6" s="191"/>
      <c r="H6" s="191"/>
      <c r="I6" s="190"/>
      <c r="J6" s="193"/>
      <c r="K6" s="191"/>
      <c r="L6" s="190"/>
      <c r="M6" s="190"/>
      <c r="N6" s="191"/>
      <c r="O6" s="192"/>
      <c r="P6" s="192"/>
      <c r="Q6" s="190"/>
      <c r="R6" s="192"/>
      <c r="S6" s="190"/>
      <c r="T6" s="190"/>
      <c r="U6" s="190"/>
      <c r="V6" s="190"/>
      <c r="W6" s="257"/>
      <c r="X6" s="14"/>
      <c r="Y6" s="190"/>
      <c r="Z6" s="190"/>
      <c r="AA6" s="190"/>
    </row>
    <row r="7" spans="1:27" ht="15.75" customHeight="1">
      <c r="A7" s="100"/>
      <c r="B7" s="267" t="s">
        <v>262</v>
      </c>
      <c r="C7" s="408" t="s">
        <v>509</v>
      </c>
      <c r="D7" s="99" t="str">
        <f ca="1">IEAData2!H9</f>
        <v>RESNGA</v>
      </c>
      <c r="E7" s="163">
        <f ca="1">IEAData2!C81*IEAData2!B66</f>
        <v>0</v>
      </c>
      <c r="F7" s="163">
        <f ca="1">AuxData2!C81*AuxData2!B66</f>
        <v>0</v>
      </c>
      <c r="G7" s="101">
        <v>1.5</v>
      </c>
      <c r="H7" s="343" t="str">
        <f>RIGHT(D7,3)</f>
        <v>NGA</v>
      </c>
      <c r="I7" s="184">
        <v>1</v>
      </c>
      <c r="J7" s="6">
        <f>G7*I7</f>
        <v>1.5</v>
      </c>
      <c r="K7" s="38">
        <f ca="1">F7*J7</f>
        <v>0</v>
      </c>
      <c r="L7" s="19">
        <v>1</v>
      </c>
      <c r="M7" s="18">
        <v>0.13</v>
      </c>
      <c r="N7" s="18">
        <v>20</v>
      </c>
      <c r="O7" s="160">
        <f ca="1">E7*J7/$M7</f>
        <v>0</v>
      </c>
      <c r="P7" s="104">
        <f ca="1">F7*$J7/$M7</f>
        <v>0</v>
      </c>
      <c r="Q7" s="104"/>
      <c r="R7" s="104">
        <v>0</v>
      </c>
      <c r="S7" s="40"/>
      <c r="T7" s="40"/>
      <c r="U7" s="40"/>
      <c r="V7" s="40"/>
      <c r="W7" s="258">
        <f ca="1">IF($E$12=0,0,E7/$E$12)</f>
        <v>0</v>
      </c>
      <c r="X7" s="100"/>
      <c r="Y7" s="436">
        <f ca="1">IF(B6="*",MATCH(LEFT(B7,3),OFFSET(CalibData2!$C$78,1,0,100),0),Y6)</f>
        <v>12</v>
      </c>
    </row>
    <row r="8" spans="1:27" ht="15.75" customHeight="1">
      <c r="A8" s="100" t="s">
        <v>250</v>
      </c>
      <c r="B8" s="267" t="s">
        <v>178</v>
      </c>
      <c r="C8" s="408" t="s">
        <v>510</v>
      </c>
      <c r="D8" s="82" t="s">
        <v>835</v>
      </c>
      <c r="E8" s="163">
        <f ca="1">IEAData2!C90*IEAData2!B75</f>
        <v>0</v>
      </c>
      <c r="F8" s="163">
        <f ca="1">AuxData2!C90*AuxData2!B75</f>
        <v>0</v>
      </c>
      <c r="G8" s="521">
        <v>3.7</v>
      </c>
      <c r="H8" s="343" t="str">
        <f>RIGHT(D8,3)</f>
        <v>ELC</v>
      </c>
      <c r="I8" s="53">
        <v>1</v>
      </c>
      <c r="J8" s="6">
        <f>G8*I8</f>
        <v>3.7</v>
      </c>
      <c r="K8" s="38">
        <f ca="1">F8*J8</f>
        <v>0</v>
      </c>
      <c r="L8" s="19">
        <v>1</v>
      </c>
      <c r="M8" s="18">
        <v>0.13</v>
      </c>
      <c r="N8" s="18">
        <v>20</v>
      </c>
      <c r="O8" s="161">
        <f ca="1">E8*J8/$M8</f>
        <v>0</v>
      </c>
      <c r="P8" s="104">
        <f ca="1">F8*J8/M8</f>
        <v>0</v>
      </c>
      <c r="Q8" s="104"/>
      <c r="R8" s="104">
        <v>0</v>
      </c>
      <c r="S8" s="40"/>
      <c r="T8" s="40"/>
      <c r="U8" s="40"/>
      <c r="V8" s="40"/>
      <c r="W8" s="258">
        <f ca="1">IF($E$12=0,0,E8/$E$12)</f>
        <v>0</v>
      </c>
      <c r="X8" s="100" t="s">
        <v>250</v>
      </c>
      <c r="Y8" s="436">
        <f ca="1">IF(B7="*",MATCH(LEFT(B8,3),OFFSET(CalibData2!$C$78,1,0,100),0),Y7)</f>
        <v>12</v>
      </c>
    </row>
    <row r="9" spans="1:27" ht="15.75" customHeight="1">
      <c r="B9" s="268" t="s">
        <v>616</v>
      </c>
      <c r="C9" s="378" t="s">
        <v>511</v>
      </c>
      <c r="D9" s="82" t="s">
        <v>835</v>
      </c>
      <c r="E9" s="163">
        <f ca="1">IEAData2!$C$88*IEAData2!$B$73*Z9</f>
        <v>2.7848816266019427E-2</v>
      </c>
      <c r="F9" s="163">
        <f ca="1">AuxData2!$C$88*AuxData2!$B$73*AA9</f>
        <v>0.11293623083745859</v>
      </c>
      <c r="G9" s="77">
        <v>2.9</v>
      </c>
      <c r="H9" s="343" t="str">
        <f>RIGHT(D9,3)</f>
        <v>ELC</v>
      </c>
      <c r="I9" s="53">
        <v>1</v>
      </c>
      <c r="J9" s="6">
        <f>G9*I9</f>
        <v>2.9</v>
      </c>
      <c r="K9" s="38">
        <f ca="1">F9*J9</f>
        <v>0.3275150694286299</v>
      </c>
      <c r="L9" s="19">
        <v>1</v>
      </c>
      <c r="M9" s="18">
        <v>0.13</v>
      </c>
      <c r="N9" s="18">
        <v>20</v>
      </c>
      <c r="O9" s="161">
        <f ca="1">E9*J9/$M9</f>
        <v>0.62124282439581802</v>
      </c>
      <c r="P9" s="104">
        <f ca="1">F9*J9/M9</f>
        <v>2.5193466879125377</v>
      </c>
      <c r="Q9" s="104"/>
      <c r="R9" s="104">
        <v>0</v>
      </c>
      <c r="S9" s="40"/>
      <c r="T9" s="40"/>
      <c r="U9" s="40"/>
      <c r="V9" s="40"/>
      <c r="W9" s="258">
        <f ca="1">IF($E$12=0,0,E9/$E$12)</f>
        <v>0.53749999999999987</v>
      </c>
      <c r="Y9" s="436">
        <f ca="1">IF(B8="*",MATCH(LEFT(B9,3),OFFSET(CalibData2!$C$78,1,0,100),0),Y8)</f>
        <v>12</v>
      </c>
      <c r="Z9" s="363">
        <f t="array" aca="1" ref="Z9:Z10" ca="1">OFFSET(TechShar,$Y9,Z$3,2)</f>
        <v>0.53749999999999998</v>
      </c>
      <c r="AA9" s="363">
        <f t="array" aca="1" ref="AA9:AA10" ca="1">OFFSET(TechShar,$Y9,AA$3,2)</f>
        <v>0.53749999999999998</v>
      </c>
    </row>
    <row r="10" spans="1:27" ht="15.75" customHeight="1">
      <c r="B10" s="268" t="s">
        <v>605</v>
      </c>
      <c r="C10" s="378" t="s">
        <v>512</v>
      </c>
      <c r="D10" s="82" t="s">
        <v>835</v>
      </c>
      <c r="E10" s="163">
        <f ca="1">IEAData2!$C$88*IEAData2!$B$73*Z10</f>
        <v>2.1657311998504411E-3</v>
      </c>
      <c r="F10" s="163">
        <f ca="1">AuxData2!$C$88*AuxData2!$B$73*AA10</f>
        <v>8.7827617655921279E-3</v>
      </c>
      <c r="G10" s="77">
        <v>3</v>
      </c>
      <c r="H10" s="343" t="str">
        <f>RIGHT(D10,3)</f>
        <v>ELC</v>
      </c>
      <c r="I10" s="53">
        <v>1</v>
      </c>
      <c r="J10" s="6">
        <f>G10*I10</f>
        <v>3</v>
      </c>
      <c r="K10" s="38">
        <f ca="1">F10*J10</f>
        <v>2.6348285296776384E-2</v>
      </c>
      <c r="L10" s="19">
        <v>1</v>
      </c>
      <c r="M10" s="18">
        <v>0.13</v>
      </c>
      <c r="N10" s="18">
        <v>15</v>
      </c>
      <c r="O10" s="161">
        <f ca="1">E10*J10/$M10</f>
        <v>4.9978412304240952E-2</v>
      </c>
      <c r="P10" s="104">
        <f ca="1">F10*J10/M10</f>
        <v>0.20267911766751065</v>
      </c>
      <c r="Q10" s="104"/>
      <c r="R10" s="104">
        <v>0</v>
      </c>
      <c r="S10" s="40"/>
      <c r="T10" s="53"/>
      <c r="U10" s="53"/>
      <c r="V10" s="40"/>
      <c r="W10" s="258">
        <f ca="1">IF($E$12=0,0,E10/$E$12)</f>
        <v>4.1799999999999997E-2</v>
      </c>
      <c r="Y10" s="436">
        <f ca="1">IF(B9="*",MATCH(LEFT(B10,3),OFFSET(CalibData2!$C$78,1,0,100),0),Y9)</f>
        <v>12</v>
      </c>
      <c r="Z10" s="363">
        <f ca="1"/>
        <v>4.1799999999999997E-2</v>
      </c>
      <c r="AA10" s="363">
        <f ca="1"/>
        <v>4.1799999999999997E-2</v>
      </c>
    </row>
    <row r="11" spans="1:27" ht="15.75" customHeight="1" thickBot="1">
      <c r="B11" s="269" t="s">
        <v>617</v>
      </c>
      <c r="C11" s="403" t="s">
        <v>513</v>
      </c>
      <c r="D11" s="82" t="s">
        <v>835</v>
      </c>
      <c r="E11" s="164">
        <f ca="1">IEAData2!$C$88*IEAData2!$B$73*Z11</f>
        <v>2.1797203726724418E-2</v>
      </c>
      <c r="F11" s="164">
        <f ca="1">AuxData2!$C$88*AuxData2!$B$73*AA11</f>
        <v>8.8394925234081559E-2</v>
      </c>
      <c r="G11" s="78">
        <v>3</v>
      </c>
      <c r="H11" s="343" t="str">
        <f>RIGHT(D11,3)</f>
        <v>ELC</v>
      </c>
      <c r="I11" s="54">
        <v>1</v>
      </c>
      <c r="J11" s="21">
        <f>G11*I11</f>
        <v>3</v>
      </c>
      <c r="K11" s="38">
        <f ca="1">F11*J11</f>
        <v>0.26518477570224469</v>
      </c>
      <c r="L11" s="73">
        <v>1</v>
      </c>
      <c r="M11" s="20">
        <v>0.13</v>
      </c>
      <c r="N11" s="20">
        <v>15</v>
      </c>
      <c r="O11" s="162">
        <f ca="1">E11*J11/$M11</f>
        <v>0.50301239369364037</v>
      </c>
      <c r="P11" s="104">
        <f ca="1">F11*J11/M11</f>
        <v>2.039882890017267</v>
      </c>
      <c r="Q11" s="117"/>
      <c r="R11" s="117">
        <v>0</v>
      </c>
      <c r="S11" s="54"/>
      <c r="T11" s="54"/>
      <c r="U11" s="54"/>
      <c r="V11" s="54"/>
      <c r="W11" s="258">
        <f ca="1">IF($E$12=0,0,E11/$E$12)</f>
        <v>0.42070000000000002</v>
      </c>
      <c r="Y11" s="436">
        <f ca="1">IF(B10="*",MATCH(LEFT(B11,3),OFFSET(CalibData2!$C$78,1,0,100),0),Y10)</f>
        <v>12</v>
      </c>
      <c r="Z11" s="363">
        <f ca="1">1-SUM(Z9:Z10)</f>
        <v>0.42070000000000007</v>
      </c>
      <c r="AA11" s="363">
        <f ca="1">1-SUM(AA9:AA10)</f>
        <v>0.42070000000000007</v>
      </c>
    </row>
    <row r="12" spans="1:27" ht="15.75" customHeight="1" thickBot="1">
      <c r="B12" s="434" t="s">
        <v>999</v>
      </c>
      <c r="C12" s="190" t="s">
        <v>1001</v>
      </c>
      <c r="D12" s="190"/>
      <c r="E12" s="191">
        <f ca="1">SUM(E7:E11)</f>
        <v>5.1811751192594291E-2</v>
      </c>
      <c r="F12" s="191"/>
      <c r="G12" s="191"/>
      <c r="H12" s="191">
        <f ca="1">SUMPRODUCT(E7:E11,J7:J11)</f>
        <v>0.15265037195118092</v>
      </c>
      <c r="I12" s="190"/>
      <c r="J12" s="193"/>
      <c r="K12" s="191">
        <f ca="1">SUM(K7:K11)</f>
        <v>0.61904813042765094</v>
      </c>
      <c r="L12" s="190"/>
      <c r="M12" s="190"/>
      <c r="N12" s="191"/>
      <c r="O12" s="192">
        <f ca="1">SUM(O7:O11)</f>
        <v>1.1742336303936993</v>
      </c>
      <c r="P12" s="192"/>
      <c r="Q12" s="190"/>
      <c r="R12" s="192"/>
      <c r="S12" s="190"/>
      <c r="T12" s="190"/>
      <c r="U12" s="190"/>
      <c r="V12" s="190"/>
      <c r="W12" s="258">
        <f ca="1">SUM(W7:W11)</f>
        <v>0.99999999999999978</v>
      </c>
      <c r="Y12" s="190"/>
      <c r="Z12" s="190"/>
      <c r="AA12" s="190"/>
    </row>
    <row r="13" spans="1:27" ht="15.75" customHeight="1">
      <c r="B13" s="267" t="s">
        <v>611</v>
      </c>
      <c r="C13" s="408" t="s">
        <v>514</v>
      </c>
      <c r="D13" s="99" t="str">
        <f ca="1">IEAData2!H9</f>
        <v>RESNGA</v>
      </c>
      <c r="E13" s="163">
        <f ca="1">IEAData2!C81*IEAData2!C66</f>
        <v>0</v>
      </c>
      <c r="F13" s="163">
        <f ca="1">AuxData2!C81*AuxData2!C66</f>
        <v>0</v>
      </c>
      <c r="G13" s="101">
        <v>1.5</v>
      </c>
      <c r="H13" s="343" t="str">
        <f>RIGHT(D13,3)</f>
        <v>NGA</v>
      </c>
      <c r="I13" s="184">
        <v>1</v>
      </c>
      <c r="J13" s="6">
        <f>G13*I13</f>
        <v>1.5</v>
      </c>
      <c r="K13" s="38">
        <f ca="1">F13*J13</f>
        <v>0</v>
      </c>
      <c r="L13" s="19">
        <v>1</v>
      </c>
      <c r="M13" s="18">
        <v>0.13</v>
      </c>
      <c r="N13" s="18">
        <v>20</v>
      </c>
      <c r="O13" s="160">
        <f ca="1">E13*J13/$M13</f>
        <v>0</v>
      </c>
      <c r="P13" s="104">
        <f ca="1">F13*J13/M13</f>
        <v>0</v>
      </c>
      <c r="Q13" s="104"/>
      <c r="R13" s="104">
        <v>0</v>
      </c>
      <c r="S13" s="40"/>
      <c r="T13" s="40">
        <v>6</v>
      </c>
      <c r="U13" s="40">
        <v>6</v>
      </c>
      <c r="V13" s="40"/>
      <c r="W13" s="258">
        <f ca="1">IF($E$18=0,0,E13/$E$18)</f>
        <v>0</v>
      </c>
      <c r="Y13" s="436">
        <f ca="1">IF(B12="*",MATCH(LEFT(B13,3),OFFSET(CalibData2!$C$78,1,0,100),0),Y12)</f>
        <v>14</v>
      </c>
    </row>
    <row r="14" spans="1:27" ht="15.75" customHeight="1">
      <c r="B14" s="267" t="s">
        <v>604</v>
      </c>
      <c r="C14" s="408" t="s">
        <v>515</v>
      </c>
      <c r="D14" s="82" t="s">
        <v>835</v>
      </c>
      <c r="E14" s="163">
        <f ca="1">IEAData2!C90*IEAData2!C75</f>
        <v>0</v>
      </c>
      <c r="F14" s="163">
        <f ca="1">AuxData2!C90*AuxData2!C75</f>
        <v>0</v>
      </c>
      <c r="G14" s="521">
        <v>3.7</v>
      </c>
      <c r="H14" s="343" t="str">
        <f>RIGHT(D14,3)</f>
        <v>ELC</v>
      </c>
      <c r="I14" s="53">
        <v>1</v>
      </c>
      <c r="J14" s="6">
        <f>G14*I14</f>
        <v>3.7</v>
      </c>
      <c r="K14" s="38">
        <f ca="1">F14*J14</f>
        <v>0</v>
      </c>
      <c r="L14" s="19">
        <v>1</v>
      </c>
      <c r="M14" s="18">
        <v>0.13</v>
      </c>
      <c r="N14" s="18">
        <v>20</v>
      </c>
      <c r="O14" s="161">
        <f ca="1">E14*J14/$M14</f>
        <v>0</v>
      </c>
      <c r="P14" s="104">
        <f ca="1">F14*J14/M14</f>
        <v>0</v>
      </c>
      <c r="Q14" s="104"/>
      <c r="R14" s="104">
        <v>0</v>
      </c>
      <c r="S14" s="40"/>
      <c r="T14" s="40">
        <v>6</v>
      </c>
      <c r="U14" s="40">
        <v>6</v>
      </c>
      <c r="V14" s="40"/>
      <c r="W14" s="258">
        <f ca="1">IF($E$18=0,0,E14/$E$18)</f>
        <v>0</v>
      </c>
      <c r="Y14" s="436">
        <f ca="1">IF(B13="*",MATCH(LEFT(B14,3),OFFSET(CalibData2!$C$78,1,0,100),0),Y13)</f>
        <v>14</v>
      </c>
    </row>
    <row r="15" spans="1:27" ht="15.75" customHeight="1">
      <c r="B15" s="268" t="s">
        <v>618</v>
      </c>
      <c r="C15" s="378" t="s">
        <v>516</v>
      </c>
      <c r="D15" s="82" t="s">
        <v>835</v>
      </c>
      <c r="E15" s="163">
        <f ca="1">IEAData2!$C$88*IEAData2!$C$73*Z15</f>
        <v>0</v>
      </c>
      <c r="F15" s="163">
        <f ca="1">AuxData2!$C$88*AuxData2!$C$73*AA15</f>
        <v>0</v>
      </c>
      <c r="G15" s="77">
        <v>2.9</v>
      </c>
      <c r="H15" s="343" t="str">
        <f>RIGHT(D15,3)</f>
        <v>ELC</v>
      </c>
      <c r="I15" s="53">
        <v>1</v>
      </c>
      <c r="J15" s="6">
        <f>G15*I15</f>
        <v>2.9</v>
      </c>
      <c r="K15" s="38">
        <f ca="1">F15*J15</f>
        <v>0</v>
      </c>
      <c r="L15" s="19">
        <v>1</v>
      </c>
      <c r="M15" s="18">
        <v>0.13</v>
      </c>
      <c r="N15" s="18">
        <v>20</v>
      </c>
      <c r="O15" s="161">
        <f ca="1">E15*J15/$M15</f>
        <v>0</v>
      </c>
      <c r="P15" s="104">
        <f ca="1">F15*J15/M15</f>
        <v>0</v>
      </c>
      <c r="Q15" s="104"/>
      <c r="R15" s="104">
        <v>0</v>
      </c>
      <c r="S15" s="40"/>
      <c r="T15" s="40">
        <v>6</v>
      </c>
      <c r="U15" s="40">
        <v>6</v>
      </c>
      <c r="V15" s="40"/>
      <c r="W15" s="258">
        <f ca="1">IF($E$18=0,0,E15/$E$18)</f>
        <v>0</v>
      </c>
      <c r="Y15" s="436">
        <f ca="1">IF(B14="*",MATCH(LEFT(B15,3),OFFSET(CalibData2!$C$78,1,0,100),0),Y14)</f>
        <v>14</v>
      </c>
      <c r="Z15" s="363">
        <f t="array" aca="1" ref="Z15:Z16" ca="1">OFFSET(TechShar,$Y15,Z$3,2)</f>
        <v>0.53749999999999998</v>
      </c>
      <c r="AA15" s="363">
        <f t="array" aca="1" ref="AA15:AA16" ca="1">OFFSET(TechShar,$Y15,AA$3,2)</f>
        <v>0.53749999999999998</v>
      </c>
    </row>
    <row r="16" spans="1:27" ht="15.75" customHeight="1">
      <c r="B16" s="268" t="s">
        <v>606</v>
      </c>
      <c r="C16" s="378" t="s">
        <v>531</v>
      </c>
      <c r="D16" s="82" t="s">
        <v>835</v>
      </c>
      <c r="E16" s="163">
        <f ca="1">IEAData2!$C$88*IEAData2!$C$73*Z16</f>
        <v>0</v>
      </c>
      <c r="F16" s="163">
        <f ca="1">AuxData2!$C$88*AuxData2!$C$73*AA16</f>
        <v>0</v>
      </c>
      <c r="G16" s="77">
        <v>3</v>
      </c>
      <c r="H16" s="343" t="str">
        <f>RIGHT(D16,3)</f>
        <v>ELC</v>
      </c>
      <c r="I16" s="53">
        <v>1</v>
      </c>
      <c r="J16" s="6">
        <f>G16*I16</f>
        <v>3</v>
      </c>
      <c r="K16" s="38">
        <f ca="1">F16*J16</f>
        <v>0</v>
      </c>
      <c r="L16" s="19">
        <v>1</v>
      </c>
      <c r="M16" s="18">
        <v>0.13</v>
      </c>
      <c r="N16" s="18">
        <v>15</v>
      </c>
      <c r="O16" s="161">
        <f ca="1">E16*J16/$M16</f>
        <v>0</v>
      </c>
      <c r="P16" s="104">
        <f ca="1">F16*J16/M16</f>
        <v>0</v>
      </c>
      <c r="Q16" s="104"/>
      <c r="R16" s="104">
        <v>0</v>
      </c>
      <c r="S16" s="40"/>
      <c r="T16" s="53">
        <v>7</v>
      </c>
      <c r="U16" s="53">
        <v>7</v>
      </c>
      <c r="V16" s="40"/>
      <c r="W16" s="258">
        <f ca="1">IF($E$18=0,0,E16/$E$18)</f>
        <v>0</v>
      </c>
      <c r="Y16" s="436">
        <f ca="1">IF(B15="*",MATCH(LEFT(B16,3),OFFSET(CalibData2!$C$78,1,0,100),0),Y15)</f>
        <v>14</v>
      </c>
      <c r="Z16" s="363">
        <f ca="1"/>
        <v>4.1799999999999997E-2</v>
      </c>
      <c r="AA16" s="363">
        <f ca="1"/>
        <v>4.1799999999999997E-2</v>
      </c>
    </row>
    <row r="17" spans="1:27" ht="15.75" customHeight="1" thickBot="1">
      <c r="B17" s="269" t="s">
        <v>619</v>
      </c>
      <c r="C17" s="403" t="s">
        <v>532</v>
      </c>
      <c r="D17" s="82" t="s">
        <v>835</v>
      </c>
      <c r="E17" s="164">
        <f ca="1">IEAData2!$C$88*IEAData2!$C$73*Z17</f>
        <v>0</v>
      </c>
      <c r="F17" s="164">
        <f ca="1">AuxData2!$C$88*AuxData2!$C$73*AA17</f>
        <v>0</v>
      </c>
      <c r="G17" s="78">
        <v>3</v>
      </c>
      <c r="H17" s="343" t="str">
        <f>RIGHT(D17,3)</f>
        <v>ELC</v>
      </c>
      <c r="I17" s="54">
        <v>1</v>
      </c>
      <c r="J17" s="21">
        <f>G17*I17</f>
        <v>3</v>
      </c>
      <c r="K17" s="38">
        <f ca="1">F17*J17</f>
        <v>0</v>
      </c>
      <c r="L17" s="73">
        <v>1</v>
      </c>
      <c r="M17" s="20">
        <v>0.13</v>
      </c>
      <c r="N17" s="20">
        <v>15</v>
      </c>
      <c r="O17" s="162">
        <f ca="1">E17*J17/$M17</f>
        <v>0</v>
      </c>
      <c r="P17" s="104">
        <f ca="1">F17*J17/M17</f>
        <v>0</v>
      </c>
      <c r="Q17" s="117"/>
      <c r="R17" s="117">
        <v>0</v>
      </c>
      <c r="S17" s="54"/>
      <c r="T17" s="54">
        <v>7</v>
      </c>
      <c r="U17" s="54">
        <v>7</v>
      </c>
      <c r="V17" s="54"/>
      <c r="W17" s="258">
        <f ca="1">IF($E$18=0,0,E17/$E$18)</f>
        <v>0</v>
      </c>
      <c r="Y17" s="436">
        <f ca="1">IF(B16="*",MATCH(LEFT(B17,3),OFFSET(CalibData2!$C$78,1,0,100),0),Y16)</f>
        <v>14</v>
      </c>
      <c r="Z17" s="363">
        <f ca="1">1-SUM(Z15:Z16)</f>
        <v>0.42070000000000007</v>
      </c>
      <c r="AA17" s="363">
        <f ca="1">1-SUM(AA15:AA16)</f>
        <v>0.42070000000000007</v>
      </c>
    </row>
    <row r="18" spans="1:27" ht="15.75" customHeight="1">
      <c r="B18" s="434" t="s">
        <v>999</v>
      </c>
      <c r="C18" s="190" t="s">
        <v>1001</v>
      </c>
      <c r="D18" s="190"/>
      <c r="E18" s="191">
        <f ca="1">SUM(E13:E17)</f>
        <v>0</v>
      </c>
      <c r="F18" s="191">
        <f ca="1">SUM(F13:F17)</f>
        <v>0</v>
      </c>
      <c r="G18" s="191"/>
      <c r="H18" s="191">
        <f ca="1">SUMPRODUCT(E13:E17,J13:J17)</f>
        <v>0</v>
      </c>
      <c r="I18" s="190"/>
      <c r="J18" s="193"/>
      <c r="K18" s="191">
        <f ca="1">SUM(K13:K17)</f>
        <v>0</v>
      </c>
      <c r="L18" s="190"/>
      <c r="M18" s="190"/>
      <c r="N18" s="191"/>
      <c r="O18" s="192">
        <f ca="1">SUM(O13:O17)</f>
        <v>0</v>
      </c>
      <c r="P18" s="192"/>
      <c r="Q18" s="190"/>
      <c r="R18" s="192"/>
      <c r="S18" s="190"/>
      <c r="T18" s="190"/>
      <c r="U18" s="190"/>
      <c r="V18" s="190"/>
      <c r="W18" s="258">
        <f ca="1">SUM(W13:W17)</f>
        <v>0</v>
      </c>
      <c r="Y18" s="190"/>
      <c r="Z18" s="190"/>
      <c r="AA18" s="190"/>
    </row>
    <row r="19" spans="1:27">
      <c r="B19" s="123"/>
      <c r="C19" s="55"/>
      <c r="D19" s="55"/>
      <c r="E19" s="57"/>
      <c r="G19" s="57"/>
      <c r="H19" s="57"/>
      <c r="I19" s="55"/>
      <c r="J19" s="254"/>
      <c r="K19" s="57"/>
      <c r="L19" s="55"/>
      <c r="M19" s="55"/>
      <c r="N19" s="57"/>
      <c r="O19" s="161"/>
      <c r="P19" s="55"/>
      <c r="Q19" s="55"/>
      <c r="R19" s="161"/>
      <c r="S19" s="55"/>
      <c r="T19" s="55"/>
      <c r="U19" s="55"/>
      <c r="V19" s="55"/>
    </row>
    <row r="20" spans="1:27">
      <c r="B20" s="123"/>
      <c r="C20" s="55"/>
      <c r="D20" s="256"/>
      <c r="E20" s="57"/>
      <c r="F20" s="57"/>
      <c r="G20" s="57"/>
      <c r="H20" s="55"/>
      <c r="I20" s="254"/>
      <c r="J20" s="57"/>
      <c r="K20" s="255"/>
      <c r="L20" s="55"/>
      <c r="M20" s="55"/>
      <c r="N20" s="57"/>
      <c r="O20" s="161"/>
      <c r="P20" s="55"/>
      <c r="Q20" s="55"/>
      <c r="R20" s="161"/>
      <c r="S20" s="55"/>
      <c r="T20" s="55"/>
      <c r="U20" s="55"/>
      <c r="V20" s="55"/>
    </row>
    <row r="21" spans="1:27">
      <c r="B21" s="123"/>
      <c r="C21" s="55"/>
      <c r="D21" s="55"/>
      <c r="E21" s="57"/>
      <c r="G21" s="57"/>
      <c r="H21" s="57"/>
      <c r="I21" s="55"/>
      <c r="J21" s="254"/>
      <c r="K21" s="57"/>
      <c r="L21" s="55"/>
      <c r="M21" s="55"/>
      <c r="N21" s="57"/>
      <c r="O21" s="161"/>
      <c r="P21" s="55"/>
      <c r="Q21" s="55"/>
      <c r="R21" s="161"/>
      <c r="S21" s="55"/>
      <c r="T21" s="55"/>
      <c r="U21" s="55"/>
      <c r="V21" s="55"/>
    </row>
    <row r="22" spans="1:27">
      <c r="B22" s="123"/>
      <c r="C22" s="55"/>
      <c r="D22" s="55"/>
      <c r="E22" s="57"/>
      <c r="F22" s="57"/>
      <c r="G22" s="55"/>
      <c r="H22" s="55"/>
      <c r="I22" s="57"/>
      <c r="K22" s="161"/>
      <c r="L22" s="55"/>
      <c r="M22" s="55"/>
      <c r="R22" s="161"/>
      <c r="S22" s="55"/>
      <c r="T22" s="55"/>
      <c r="U22" s="55"/>
      <c r="V22" s="55"/>
    </row>
    <row r="23" spans="1:27">
      <c r="B23" s="123"/>
      <c r="C23" s="55"/>
      <c r="D23" s="256"/>
      <c r="E23" s="57"/>
      <c r="F23" s="57"/>
      <c r="G23" s="55"/>
      <c r="H23" s="55"/>
      <c r="I23" s="57"/>
      <c r="K23" s="161"/>
      <c r="L23" s="55"/>
      <c r="M23" s="55"/>
      <c r="R23" s="161"/>
      <c r="S23" s="55"/>
      <c r="T23" s="55"/>
      <c r="U23" s="55"/>
      <c r="V23" s="55"/>
    </row>
    <row r="24" spans="1:27" ht="18">
      <c r="B24" s="155" t="s">
        <v>592</v>
      </c>
      <c r="C24" s="156"/>
      <c r="D24" s="252"/>
    </row>
    <row r="25" spans="1:27" ht="13.5" thickBot="1">
      <c r="B25" s="27" t="s">
        <v>384</v>
      </c>
      <c r="C25" s="27" t="s">
        <v>385</v>
      </c>
      <c r="D25" s="27" t="s">
        <v>243</v>
      </c>
      <c r="E25" s="344" t="s">
        <v>942</v>
      </c>
      <c r="F25" s="344" t="s">
        <v>942</v>
      </c>
      <c r="G25" s="27"/>
    </row>
    <row r="26" spans="1:27">
      <c r="A26" s="7"/>
      <c r="B26" s="58" t="s">
        <v>255</v>
      </c>
      <c r="C26" s="28" t="str">
        <f ca="1">CONCATENATE("Residential Cooling - ",IEAData2!B49)</f>
        <v>Residential Cooling - Region1</v>
      </c>
      <c r="D26" s="80" t="s">
        <v>249</v>
      </c>
      <c r="E26" s="63">
        <f ca="1">H12</f>
        <v>0.15265037195118092</v>
      </c>
      <c r="F26" s="63">
        <f ca="1">SUMPRODUCT(F7:F11,J7:J11)</f>
        <v>0.61904813042765094</v>
      </c>
      <c r="G26" s="18"/>
    </row>
    <row r="27" spans="1:27">
      <c r="B27" s="58" t="s">
        <v>254</v>
      </c>
      <c r="C27" s="28" t="str">
        <f ca="1">CONCATENATE("Residential Cooling - ",IEAData2!C49)</f>
        <v>Residential Cooling - Region2</v>
      </c>
      <c r="D27" s="80" t="s">
        <v>249</v>
      </c>
      <c r="E27" s="63">
        <f ca="1">H18</f>
        <v>0</v>
      </c>
      <c r="F27" s="63">
        <f ca="1">SUMPRODUCT(F13:F17,J13:J17)</f>
        <v>0</v>
      </c>
      <c r="G27" s="18"/>
    </row>
    <row r="30" spans="1:27" ht="30.6" customHeight="1"/>
    <row r="50" spans="3:28">
      <c r="D50" s="123"/>
      <c r="E50" s="123"/>
      <c r="F50" s="123"/>
      <c r="G50" s="123"/>
      <c r="H50" s="122"/>
      <c r="I50" s="123"/>
      <c r="J50" s="123"/>
      <c r="K50" s="123"/>
      <c r="L50" s="123"/>
      <c r="M50" s="123"/>
      <c r="N50" s="123"/>
      <c r="O50" s="123"/>
      <c r="P50" s="123"/>
      <c r="Q50" s="123"/>
      <c r="R50" s="123"/>
      <c r="S50" s="124"/>
      <c r="T50" s="124"/>
      <c r="U50" s="123"/>
      <c r="V50" s="123"/>
      <c r="W50" s="123"/>
      <c r="X50" s="123"/>
      <c r="Y50" s="123"/>
      <c r="Z50" s="123"/>
      <c r="AA50" s="123"/>
      <c r="AB50" s="123"/>
    </row>
    <row r="51" spans="3:28">
      <c r="D51" s="123"/>
      <c r="E51" s="123"/>
      <c r="F51" s="123"/>
      <c r="G51" s="123"/>
      <c r="H51" s="122"/>
      <c r="I51" s="123"/>
      <c r="J51" s="123"/>
      <c r="K51" s="123"/>
      <c r="L51" s="123"/>
      <c r="M51" s="123"/>
      <c r="N51" s="123"/>
      <c r="O51" s="123"/>
      <c r="P51" s="123"/>
      <c r="Q51" s="123"/>
      <c r="R51" s="123"/>
      <c r="S51" s="124"/>
      <c r="T51" s="124"/>
      <c r="U51" s="123"/>
      <c r="V51" s="123"/>
      <c r="W51" s="123"/>
      <c r="X51" s="123"/>
      <c r="Y51" s="123"/>
      <c r="Z51" s="123"/>
      <c r="AA51" s="123"/>
      <c r="AB51" s="123"/>
    </row>
    <row r="52" spans="3:28">
      <c r="D52" s="123"/>
      <c r="E52" s="123"/>
      <c r="F52" s="123"/>
      <c r="G52" s="123"/>
      <c r="H52" s="122"/>
      <c r="I52" s="123"/>
      <c r="J52" s="123"/>
      <c r="K52" s="123"/>
      <c r="L52" s="123"/>
      <c r="M52" s="123"/>
      <c r="N52" s="123"/>
      <c r="O52" s="123"/>
      <c r="P52" s="123"/>
      <c r="Q52" s="123"/>
      <c r="R52" s="123"/>
      <c r="S52" s="124"/>
      <c r="T52" s="124"/>
      <c r="U52" s="123"/>
      <c r="V52" s="123"/>
      <c r="W52" s="123"/>
      <c r="X52" s="123"/>
      <c r="Y52" s="123"/>
      <c r="Z52" s="123"/>
      <c r="AA52" s="123"/>
      <c r="AB52" s="123"/>
    </row>
    <row r="53" spans="3:28">
      <c r="D53" s="123"/>
      <c r="E53" s="123"/>
      <c r="F53" s="123"/>
      <c r="G53" s="123"/>
      <c r="H53" s="122"/>
      <c r="I53" s="123"/>
      <c r="J53" s="123"/>
      <c r="K53" s="123"/>
      <c r="L53" s="123"/>
      <c r="M53" s="123"/>
      <c r="N53" s="123"/>
      <c r="O53" s="123"/>
      <c r="P53" s="123"/>
      <c r="Q53" s="123"/>
      <c r="R53" s="123"/>
      <c r="S53" s="124"/>
      <c r="T53" s="124"/>
      <c r="U53" s="123"/>
      <c r="V53" s="123"/>
      <c r="W53" s="123"/>
      <c r="X53" s="123"/>
      <c r="Y53" s="123"/>
      <c r="Z53" s="123"/>
      <c r="AA53" s="123"/>
      <c r="AB53" s="123"/>
    </row>
    <row r="54" spans="3:28">
      <c r="D54" s="123"/>
      <c r="E54" s="123"/>
      <c r="F54" s="123"/>
      <c r="G54" s="123"/>
      <c r="H54" s="122"/>
      <c r="I54" s="123"/>
      <c r="J54" s="123"/>
      <c r="K54" s="123"/>
      <c r="L54" s="123"/>
      <c r="M54" s="123"/>
      <c r="N54" s="123"/>
      <c r="O54" s="123"/>
      <c r="P54" s="123"/>
      <c r="Q54" s="123"/>
      <c r="R54" s="123"/>
      <c r="S54" s="124"/>
      <c r="T54" s="124"/>
      <c r="U54" s="123"/>
      <c r="V54" s="123"/>
      <c r="W54" s="123"/>
      <c r="X54" s="123"/>
      <c r="Y54" s="123"/>
      <c r="Z54" s="123"/>
      <c r="AA54" s="123"/>
      <c r="AB54" s="123"/>
    </row>
    <row r="55" spans="3:28">
      <c r="D55" s="123"/>
      <c r="E55" s="123"/>
      <c r="F55" s="123"/>
      <c r="G55" s="123"/>
      <c r="H55" s="122"/>
      <c r="I55" s="123"/>
      <c r="J55" s="123"/>
      <c r="K55" s="123"/>
      <c r="L55" s="123"/>
      <c r="M55" s="123"/>
      <c r="N55" s="123"/>
      <c r="O55" s="123"/>
      <c r="P55" s="123"/>
      <c r="Q55" s="123"/>
      <c r="R55" s="123"/>
      <c r="S55" s="124"/>
      <c r="T55" s="124"/>
      <c r="U55" s="123"/>
      <c r="V55" s="123"/>
      <c r="W55" s="123"/>
      <c r="X55" s="123"/>
      <c r="Y55" s="123"/>
      <c r="Z55" s="123"/>
      <c r="AA55" s="123"/>
      <c r="AB55" s="123"/>
    </row>
    <row r="56" spans="3:28">
      <c r="D56" s="123"/>
      <c r="E56" s="123"/>
      <c r="F56" s="123"/>
      <c r="G56" s="123"/>
      <c r="H56" s="122"/>
      <c r="I56" s="123"/>
      <c r="J56" s="123"/>
      <c r="K56" s="123"/>
      <c r="L56" s="123"/>
      <c r="M56" s="123"/>
      <c r="N56" s="123"/>
      <c r="O56" s="123"/>
      <c r="P56" s="123"/>
      <c r="Q56" s="123"/>
      <c r="R56" s="123"/>
      <c r="S56" s="124"/>
      <c r="T56" s="124"/>
      <c r="U56" s="123"/>
      <c r="V56" s="123"/>
      <c r="W56" s="123"/>
      <c r="X56" s="123"/>
      <c r="Y56" s="123"/>
      <c r="Z56" s="123"/>
      <c r="AA56" s="123"/>
      <c r="AB56" s="123"/>
    </row>
    <row r="57" spans="3:28">
      <c r="D57" s="123"/>
      <c r="E57" s="123"/>
      <c r="F57" s="123"/>
      <c r="G57" s="123"/>
      <c r="H57" s="122"/>
      <c r="I57" s="123"/>
      <c r="J57" s="123"/>
      <c r="K57" s="123"/>
      <c r="L57" s="123"/>
      <c r="M57" s="123"/>
      <c r="N57" s="123"/>
      <c r="O57" s="123"/>
      <c r="P57" s="123"/>
      <c r="Q57" s="123"/>
      <c r="R57" s="123"/>
      <c r="S57" s="124"/>
      <c r="T57" s="124"/>
      <c r="U57" s="123"/>
      <c r="V57" s="123"/>
      <c r="W57" s="123"/>
      <c r="X57" s="123"/>
      <c r="Y57" s="123"/>
      <c r="Z57" s="123"/>
      <c r="AA57" s="123"/>
      <c r="AB57" s="123"/>
    </row>
    <row r="58" spans="3:28">
      <c r="D58" s="123"/>
      <c r="E58" s="123"/>
      <c r="F58" s="123"/>
      <c r="G58" s="123"/>
      <c r="H58" s="122"/>
      <c r="I58" s="123"/>
      <c r="J58" s="123"/>
      <c r="K58" s="123"/>
      <c r="L58" s="123"/>
      <c r="M58" s="123"/>
      <c r="N58" s="123"/>
      <c r="O58" s="123"/>
      <c r="P58" s="123"/>
      <c r="Q58" s="123"/>
      <c r="R58" s="123"/>
      <c r="S58" s="124"/>
      <c r="T58" s="124"/>
      <c r="U58" s="123"/>
      <c r="V58" s="123"/>
      <c r="W58" s="123"/>
      <c r="X58" s="123"/>
      <c r="Y58" s="123"/>
      <c r="Z58" s="123"/>
      <c r="AA58" s="123"/>
      <c r="AB58" s="123"/>
    </row>
    <row r="59" spans="3:28">
      <c r="D59" s="123"/>
      <c r="E59" s="123"/>
      <c r="F59" s="123"/>
      <c r="G59" s="123"/>
      <c r="H59" s="122"/>
      <c r="I59" s="123"/>
      <c r="J59" s="123"/>
      <c r="K59" s="123"/>
      <c r="L59" s="123"/>
      <c r="M59" s="123"/>
      <c r="N59" s="123"/>
      <c r="O59" s="123"/>
      <c r="P59" s="123"/>
      <c r="Q59" s="123"/>
      <c r="R59" s="123"/>
      <c r="S59" s="124"/>
      <c r="T59" s="124"/>
      <c r="U59" s="123"/>
      <c r="V59" s="123"/>
      <c r="W59" s="123"/>
      <c r="X59" s="123"/>
      <c r="Y59" s="123"/>
      <c r="Z59" s="123"/>
      <c r="AA59" s="123"/>
      <c r="AB59" s="123"/>
    </row>
    <row r="60" spans="3:28">
      <c r="D60" s="123"/>
      <c r="E60" s="123"/>
      <c r="F60" s="123"/>
      <c r="G60" s="123"/>
      <c r="H60" s="122"/>
      <c r="I60" s="123"/>
      <c r="J60" s="123"/>
      <c r="K60" s="123"/>
      <c r="L60" s="123"/>
      <c r="M60" s="123"/>
      <c r="N60" s="123"/>
      <c r="O60" s="123"/>
      <c r="P60" s="123"/>
      <c r="Q60" s="123"/>
      <c r="R60" s="123"/>
      <c r="S60" s="123"/>
      <c r="T60" s="123"/>
      <c r="U60" s="123"/>
      <c r="V60" s="123"/>
      <c r="W60" s="123"/>
      <c r="X60" s="123"/>
      <c r="Y60" s="123"/>
      <c r="Z60" s="123"/>
      <c r="AA60" s="123"/>
      <c r="AB60" s="123"/>
    </row>
    <row r="61" spans="3:28">
      <c r="D61" s="123"/>
      <c r="E61" s="123"/>
      <c r="F61" s="123"/>
      <c r="G61" s="123"/>
      <c r="H61" s="122"/>
      <c r="I61" s="123"/>
      <c r="J61" s="123"/>
      <c r="K61" s="123"/>
      <c r="L61" s="123"/>
      <c r="M61" s="123"/>
      <c r="N61" s="123"/>
      <c r="O61" s="123"/>
      <c r="P61" s="123"/>
      <c r="Q61" s="123"/>
      <c r="R61" s="123"/>
      <c r="S61" s="124"/>
      <c r="T61" s="124"/>
      <c r="U61" s="123"/>
      <c r="V61" s="123"/>
      <c r="W61" s="123"/>
      <c r="X61" s="123"/>
      <c r="Y61" s="123"/>
      <c r="Z61" s="123"/>
      <c r="AA61" s="123"/>
      <c r="AB61" s="123"/>
    </row>
    <row r="62" spans="3:28">
      <c r="D62" s="123"/>
      <c r="E62" s="123"/>
      <c r="F62" s="123"/>
      <c r="G62" s="123"/>
      <c r="H62" s="122"/>
      <c r="I62" s="123"/>
      <c r="J62" s="123"/>
      <c r="K62" s="123"/>
      <c r="L62" s="123"/>
      <c r="M62" s="123"/>
      <c r="N62" s="123"/>
      <c r="O62" s="123"/>
      <c r="P62" s="123"/>
      <c r="Q62" s="123"/>
      <c r="R62" s="123"/>
      <c r="S62" s="123"/>
      <c r="T62" s="123"/>
      <c r="U62" s="123"/>
      <c r="V62" s="123"/>
      <c r="W62" s="123"/>
      <c r="X62" s="123"/>
      <c r="Y62" s="123"/>
      <c r="Z62" s="123"/>
      <c r="AA62" s="123"/>
      <c r="AB62" s="123"/>
    </row>
    <row r="63" spans="3:28">
      <c r="D63" s="123"/>
      <c r="E63" s="123"/>
      <c r="F63" s="123"/>
      <c r="G63" s="123"/>
      <c r="H63" s="122"/>
      <c r="I63" s="123"/>
      <c r="J63" s="123"/>
      <c r="K63" s="123"/>
      <c r="L63" s="123"/>
      <c r="M63" s="123"/>
      <c r="N63" s="123"/>
      <c r="O63" s="123"/>
      <c r="P63" s="123"/>
      <c r="Q63" s="123"/>
      <c r="R63" s="123"/>
      <c r="S63" s="124"/>
      <c r="T63" s="124"/>
      <c r="U63" s="123"/>
      <c r="V63" s="123"/>
      <c r="W63" s="123"/>
      <c r="X63" s="123"/>
      <c r="Y63" s="123"/>
      <c r="Z63" s="123"/>
      <c r="AA63" s="123"/>
      <c r="AB63" s="123"/>
    </row>
    <row r="64" spans="3:28">
      <c r="C64" t="s">
        <v>603</v>
      </c>
      <c r="D64" s="123" t="s">
        <v>603</v>
      </c>
      <c r="E64" s="123" t="s">
        <v>603</v>
      </c>
      <c r="F64" s="123" t="s">
        <v>250</v>
      </c>
      <c r="G64" s="123" t="s">
        <v>603</v>
      </c>
      <c r="H64" s="122" t="s">
        <v>603</v>
      </c>
      <c r="I64" s="123" t="s">
        <v>603</v>
      </c>
      <c r="J64" s="123" t="s">
        <v>603</v>
      </c>
      <c r="K64" s="123" t="s">
        <v>603</v>
      </c>
      <c r="L64" s="123" t="s">
        <v>603</v>
      </c>
      <c r="M64" s="123" t="s">
        <v>603</v>
      </c>
      <c r="N64" s="123" t="s">
        <v>603</v>
      </c>
      <c r="O64" s="123" t="s">
        <v>603</v>
      </c>
      <c r="P64" s="123" t="s">
        <v>603</v>
      </c>
      <c r="Q64" s="123" t="s">
        <v>603</v>
      </c>
      <c r="R64" s="123" t="s">
        <v>603</v>
      </c>
      <c r="S64" s="123" t="s">
        <v>603</v>
      </c>
      <c r="T64" s="123" t="s">
        <v>603</v>
      </c>
      <c r="U64" s="123" t="s">
        <v>603</v>
      </c>
      <c r="V64" s="123"/>
      <c r="W64" s="123"/>
      <c r="X64" s="123"/>
      <c r="Y64" s="123"/>
      <c r="Z64" s="123"/>
      <c r="AA64" s="123"/>
      <c r="AB64" s="123"/>
    </row>
    <row r="65" spans="4:28">
      <c r="D65" s="123"/>
      <c r="E65" s="123"/>
      <c r="F65" s="123"/>
      <c r="G65" s="123"/>
      <c r="H65" s="122"/>
      <c r="I65" s="123"/>
      <c r="J65" s="123"/>
      <c r="K65" s="123"/>
      <c r="L65" s="123"/>
      <c r="M65" s="123"/>
      <c r="N65" s="123"/>
      <c r="O65" s="123"/>
      <c r="P65" s="123"/>
      <c r="Q65" s="123"/>
      <c r="R65" s="123"/>
      <c r="S65" s="124"/>
      <c r="T65" s="124"/>
      <c r="U65" s="123"/>
      <c r="V65" s="123"/>
      <c r="W65" s="123"/>
      <c r="X65" s="123"/>
      <c r="Y65" s="123"/>
      <c r="Z65" s="123"/>
      <c r="AA65" s="123"/>
      <c r="AB65" s="123"/>
    </row>
    <row r="66" spans="4:28">
      <c r="D66" s="123"/>
      <c r="E66" s="123"/>
      <c r="F66" s="123"/>
      <c r="G66" s="123"/>
      <c r="H66" s="122"/>
      <c r="I66" s="123"/>
      <c r="J66" s="123"/>
      <c r="K66" s="123"/>
      <c r="L66" s="123"/>
      <c r="M66" s="123"/>
      <c r="N66" s="123"/>
      <c r="O66" s="123"/>
      <c r="P66" s="123"/>
      <c r="Q66" s="123"/>
      <c r="R66" s="123"/>
      <c r="S66" s="123"/>
      <c r="T66" s="123"/>
      <c r="U66" s="123"/>
      <c r="V66" s="123"/>
      <c r="W66" s="123"/>
      <c r="X66" s="123"/>
      <c r="Y66" s="123"/>
      <c r="Z66" s="123"/>
      <c r="AA66" s="123"/>
      <c r="AB66" s="123"/>
    </row>
    <row r="67" spans="4:28">
      <c r="D67" s="123"/>
      <c r="E67" s="123"/>
      <c r="F67" s="123"/>
      <c r="G67" s="123"/>
      <c r="H67" s="122"/>
      <c r="I67" s="123"/>
      <c r="J67" s="123"/>
      <c r="K67" s="123"/>
      <c r="L67" s="123"/>
      <c r="M67" s="123"/>
      <c r="N67" s="123"/>
      <c r="O67" s="123"/>
      <c r="P67" s="123"/>
      <c r="Q67" s="123"/>
      <c r="R67" s="123"/>
      <c r="S67" s="124"/>
      <c r="T67" s="124"/>
      <c r="U67" s="123"/>
      <c r="V67" s="123"/>
      <c r="W67" s="123"/>
      <c r="X67" s="123"/>
      <c r="Y67" s="123"/>
      <c r="Z67" s="123"/>
      <c r="AA67" s="123"/>
      <c r="AB67" s="123"/>
    </row>
    <row r="68" spans="4:28">
      <c r="D68" s="123"/>
      <c r="E68" s="123"/>
      <c r="F68" s="123"/>
      <c r="G68" s="123"/>
      <c r="H68" s="122"/>
      <c r="I68" s="123"/>
      <c r="J68" s="123"/>
      <c r="K68" s="123"/>
      <c r="L68" s="123"/>
      <c r="M68" s="123"/>
      <c r="N68" s="123"/>
      <c r="O68" s="123"/>
      <c r="P68" s="123"/>
      <c r="Q68" s="123"/>
      <c r="R68" s="123"/>
      <c r="S68" s="124"/>
      <c r="T68" s="124"/>
      <c r="U68" s="123"/>
      <c r="V68" s="123"/>
      <c r="W68" s="123"/>
      <c r="X68" s="123"/>
      <c r="Y68" s="123"/>
      <c r="Z68" s="123"/>
      <c r="AA68" s="123"/>
      <c r="AB68" s="123"/>
    </row>
    <row r="69" spans="4:28">
      <c r="D69" s="123"/>
      <c r="E69" s="123"/>
      <c r="F69" s="123"/>
      <c r="G69" s="123"/>
      <c r="H69" s="122"/>
      <c r="I69" s="123"/>
      <c r="J69" s="123"/>
      <c r="K69" s="123"/>
      <c r="L69" s="123"/>
      <c r="M69" s="123"/>
      <c r="N69" s="123"/>
      <c r="O69" s="123"/>
      <c r="P69" s="123"/>
      <c r="Q69" s="123"/>
      <c r="R69" s="123"/>
      <c r="S69" s="124"/>
      <c r="T69" s="124"/>
      <c r="U69" s="123"/>
      <c r="V69" s="123"/>
      <c r="W69" s="123"/>
      <c r="X69" s="123"/>
      <c r="Y69" s="123"/>
      <c r="Z69" s="123"/>
      <c r="AA69" s="123"/>
      <c r="AB69" s="123"/>
    </row>
    <row r="70" spans="4:28">
      <c r="D70" s="123"/>
      <c r="E70" s="123"/>
      <c r="F70" s="123"/>
      <c r="G70" s="120"/>
      <c r="H70" s="122"/>
      <c r="I70" s="123"/>
      <c r="J70" s="123"/>
      <c r="K70" s="123"/>
      <c r="L70" s="123"/>
      <c r="M70" s="123"/>
      <c r="N70" s="123"/>
      <c r="O70" s="123"/>
      <c r="P70" s="123"/>
      <c r="Q70" s="123"/>
      <c r="R70" s="123"/>
      <c r="S70" s="124"/>
      <c r="T70" s="124"/>
      <c r="U70" s="123"/>
      <c r="V70" s="123"/>
      <c r="W70" s="123"/>
      <c r="X70" s="123"/>
      <c r="Y70" s="123"/>
      <c r="Z70" s="123"/>
      <c r="AA70" s="123"/>
      <c r="AB70" s="123"/>
    </row>
    <row r="71" spans="4:28">
      <c r="D71" s="123"/>
      <c r="E71" s="123"/>
      <c r="F71" s="123"/>
      <c r="G71" s="120"/>
      <c r="H71" s="122"/>
      <c r="I71" s="123"/>
      <c r="J71" s="123"/>
      <c r="K71" s="123"/>
      <c r="L71" s="123"/>
      <c r="M71" s="123"/>
      <c r="N71" s="123"/>
      <c r="O71" s="123"/>
      <c r="P71" s="123"/>
      <c r="Q71" s="123"/>
      <c r="R71" s="123"/>
      <c r="S71" s="124"/>
      <c r="T71" s="124"/>
      <c r="U71" s="123"/>
      <c r="V71" s="123"/>
      <c r="W71" s="123"/>
      <c r="X71" s="123"/>
      <c r="Y71" s="123"/>
      <c r="Z71" s="123"/>
      <c r="AA71" s="123"/>
      <c r="AB71" s="123"/>
    </row>
    <row r="72" spans="4:28">
      <c r="D72" s="123"/>
      <c r="E72" s="123"/>
      <c r="F72" s="123"/>
      <c r="G72" s="120"/>
      <c r="H72" s="122"/>
      <c r="I72" s="123"/>
      <c r="J72" s="123"/>
      <c r="K72" s="123"/>
      <c r="L72" s="123"/>
      <c r="M72" s="123"/>
      <c r="N72" s="123"/>
      <c r="O72" s="123"/>
      <c r="P72" s="123"/>
      <c r="Q72" s="123"/>
      <c r="R72" s="123"/>
      <c r="S72" s="124"/>
      <c r="T72" s="124"/>
      <c r="U72" s="123"/>
      <c r="V72" s="123"/>
      <c r="W72" s="123"/>
      <c r="X72" s="123"/>
      <c r="Y72" s="123"/>
      <c r="Z72" s="123"/>
      <c r="AA72" s="123"/>
      <c r="AB72" s="123"/>
    </row>
    <row r="73" spans="4:28">
      <c r="D73" s="123"/>
      <c r="E73" s="123"/>
      <c r="F73" s="123"/>
      <c r="G73" s="120"/>
      <c r="H73" s="122"/>
      <c r="I73" s="123"/>
      <c r="J73" s="123"/>
      <c r="K73" s="123"/>
      <c r="L73" s="123"/>
      <c r="M73" s="123"/>
      <c r="N73" s="123"/>
      <c r="O73" s="123"/>
      <c r="P73" s="123"/>
      <c r="Q73" s="123"/>
      <c r="R73" s="123"/>
      <c r="S73" s="124"/>
      <c r="T73" s="124"/>
      <c r="U73" s="123"/>
      <c r="V73" s="123"/>
      <c r="W73" s="123"/>
      <c r="X73" s="123"/>
      <c r="Y73" s="123"/>
      <c r="Z73" s="123"/>
      <c r="AA73" s="123"/>
      <c r="AB73" s="123"/>
    </row>
    <row r="74" spans="4:28">
      <c r="D74" s="123"/>
      <c r="E74" s="123"/>
      <c r="F74" s="123"/>
      <c r="G74" s="123"/>
      <c r="H74" s="122"/>
      <c r="I74" s="123"/>
      <c r="J74" s="123"/>
      <c r="K74" s="123"/>
      <c r="L74" s="123"/>
      <c r="M74" s="123"/>
      <c r="N74" s="123"/>
      <c r="O74" s="123"/>
      <c r="P74" s="123"/>
      <c r="Q74" s="123"/>
      <c r="R74" s="123"/>
      <c r="S74" s="124"/>
      <c r="T74" s="124"/>
      <c r="U74" s="123"/>
      <c r="V74" s="123"/>
      <c r="W74" s="123"/>
      <c r="X74" s="123"/>
      <c r="Y74" s="123"/>
      <c r="Z74" s="123"/>
      <c r="AA74" s="123"/>
      <c r="AB74" s="123"/>
    </row>
    <row r="75" spans="4:28">
      <c r="D75" s="123"/>
      <c r="E75" s="123"/>
      <c r="F75" s="123"/>
      <c r="G75" s="123"/>
      <c r="H75" s="122"/>
      <c r="I75" s="123"/>
      <c r="J75" s="123"/>
      <c r="K75" s="123"/>
      <c r="L75" s="123"/>
      <c r="M75" s="123"/>
      <c r="N75" s="123"/>
      <c r="O75" s="123"/>
      <c r="P75" s="123"/>
      <c r="Q75" s="123"/>
      <c r="R75" s="123"/>
      <c r="S75" s="124"/>
      <c r="T75" s="124"/>
      <c r="U75" s="123"/>
      <c r="V75" s="123"/>
      <c r="W75" s="123"/>
      <c r="X75" s="123"/>
      <c r="Y75" s="123"/>
      <c r="Z75" s="123"/>
      <c r="AA75" s="123"/>
      <c r="AB75" s="123"/>
    </row>
    <row r="76" spans="4:28">
      <c r="D76" s="123"/>
      <c r="E76" s="123"/>
      <c r="F76" s="123"/>
      <c r="G76" s="120"/>
      <c r="H76" s="122"/>
      <c r="I76" s="123"/>
      <c r="J76" s="123"/>
      <c r="K76" s="123"/>
      <c r="L76" s="123"/>
      <c r="M76" s="123"/>
      <c r="N76" s="123"/>
      <c r="O76" s="123"/>
      <c r="P76" s="123"/>
      <c r="Q76" s="123"/>
      <c r="R76" s="123"/>
      <c r="S76" s="124"/>
      <c r="T76" s="124"/>
      <c r="U76" s="123"/>
      <c r="V76" s="123"/>
      <c r="W76" s="123"/>
      <c r="X76" s="123"/>
      <c r="Y76" s="123"/>
      <c r="Z76" s="123"/>
      <c r="AA76" s="123"/>
      <c r="AB76" s="123"/>
    </row>
    <row r="77" spans="4:28">
      <c r="D77" s="123"/>
      <c r="E77" s="123"/>
      <c r="F77" s="123"/>
      <c r="G77" s="120"/>
      <c r="H77" s="122"/>
      <c r="I77" s="123"/>
      <c r="J77" s="123"/>
      <c r="K77" s="123"/>
      <c r="L77" s="123"/>
      <c r="M77" s="123"/>
      <c r="N77" s="123"/>
      <c r="O77" s="123"/>
      <c r="P77" s="123"/>
      <c r="Q77" s="123"/>
      <c r="R77" s="123"/>
      <c r="S77" s="124"/>
      <c r="T77" s="124"/>
      <c r="U77" s="123"/>
      <c r="V77" s="123"/>
      <c r="W77" s="123"/>
      <c r="X77" s="123"/>
      <c r="Y77" s="123"/>
      <c r="Z77" s="123"/>
      <c r="AA77" s="123"/>
      <c r="AB77" s="123"/>
    </row>
    <row r="78" spans="4:28">
      <c r="D78" s="123"/>
      <c r="E78" s="123"/>
      <c r="F78" s="123"/>
      <c r="G78" s="120"/>
      <c r="H78" s="122"/>
      <c r="I78" s="123"/>
      <c r="J78" s="123"/>
      <c r="K78" s="123"/>
      <c r="L78" s="123"/>
      <c r="M78" s="123"/>
      <c r="N78" s="123"/>
      <c r="O78" s="123"/>
      <c r="P78" s="123"/>
      <c r="Q78" s="123"/>
      <c r="R78" s="123"/>
      <c r="S78" s="124"/>
      <c r="T78" s="124"/>
      <c r="U78" s="123"/>
      <c r="V78" s="123"/>
      <c r="W78" s="123"/>
      <c r="X78" s="123"/>
      <c r="Y78" s="123"/>
      <c r="Z78" s="123"/>
      <c r="AA78" s="123"/>
      <c r="AB78" s="123"/>
    </row>
    <row r="79" spans="4:28">
      <c r="D79" s="123"/>
      <c r="E79" s="123"/>
      <c r="F79" s="123"/>
      <c r="G79" s="120"/>
      <c r="H79" s="122"/>
      <c r="I79" s="123"/>
      <c r="J79" s="123"/>
      <c r="K79" s="123"/>
      <c r="L79" s="123"/>
      <c r="M79" s="123"/>
      <c r="N79" s="123"/>
      <c r="O79" s="123"/>
      <c r="P79" s="123"/>
      <c r="Q79" s="123"/>
      <c r="R79" s="123"/>
      <c r="S79" s="124"/>
      <c r="T79" s="124"/>
      <c r="U79" s="123"/>
      <c r="V79" s="123"/>
      <c r="W79" s="123"/>
      <c r="X79" s="123"/>
      <c r="Y79" s="123"/>
      <c r="Z79" s="123"/>
      <c r="AA79" s="123"/>
      <c r="AB79" s="123"/>
    </row>
    <row r="80" spans="4:28">
      <c r="D80" s="123"/>
      <c r="E80" s="123"/>
      <c r="F80" s="123"/>
      <c r="G80" s="120"/>
      <c r="H80" s="122"/>
      <c r="I80" s="123"/>
      <c r="J80" s="123"/>
      <c r="K80" s="123"/>
      <c r="L80" s="123"/>
      <c r="M80" s="123"/>
      <c r="N80" s="123"/>
      <c r="O80" s="123"/>
      <c r="P80" s="123"/>
      <c r="Q80" s="123"/>
      <c r="R80" s="123"/>
      <c r="S80" s="124"/>
      <c r="T80" s="124"/>
      <c r="U80" s="123"/>
      <c r="V80" s="123"/>
      <c r="W80" s="123"/>
      <c r="X80" s="123"/>
      <c r="Y80" s="123"/>
      <c r="Z80" s="123"/>
      <c r="AA80" s="123"/>
      <c r="AB80" s="123"/>
    </row>
    <row r="81" spans="4:28">
      <c r="D81" s="123"/>
      <c r="E81" s="123"/>
      <c r="F81" s="123"/>
      <c r="G81" s="120"/>
      <c r="H81" s="122"/>
      <c r="I81" s="123"/>
      <c r="J81" s="123"/>
      <c r="K81" s="123"/>
      <c r="L81" s="123"/>
      <c r="M81" s="123"/>
      <c r="N81" s="123"/>
      <c r="O81" s="123"/>
      <c r="P81" s="123"/>
      <c r="Q81" s="123"/>
      <c r="R81" s="123"/>
      <c r="S81" s="124"/>
      <c r="T81" s="124"/>
      <c r="U81" s="123"/>
      <c r="V81" s="123"/>
      <c r="W81" s="123"/>
      <c r="X81" s="123"/>
      <c r="Y81" s="123"/>
      <c r="Z81" s="123"/>
      <c r="AA81" s="123"/>
      <c r="AB81" s="123"/>
    </row>
    <row r="82" spans="4:28">
      <c r="D82" s="123"/>
      <c r="E82" s="123"/>
      <c r="F82" s="123"/>
      <c r="G82" s="123"/>
      <c r="H82" s="122"/>
      <c r="I82" s="123"/>
      <c r="J82" s="123"/>
      <c r="K82" s="123"/>
      <c r="L82" s="123"/>
      <c r="M82" s="123"/>
      <c r="N82" s="123"/>
      <c r="O82" s="123"/>
      <c r="P82" s="123"/>
      <c r="Q82" s="123"/>
      <c r="R82" s="123"/>
      <c r="S82" s="123"/>
      <c r="T82" s="123"/>
      <c r="U82" s="123"/>
      <c r="V82" s="123"/>
      <c r="W82" s="123"/>
      <c r="X82" s="123"/>
      <c r="Y82" s="123"/>
      <c r="Z82" s="123"/>
      <c r="AA82" s="123"/>
      <c r="AB82" s="123"/>
    </row>
    <row r="83" spans="4:28">
      <c r="D83" s="123"/>
      <c r="E83" s="123"/>
      <c r="F83" s="123"/>
      <c r="G83" s="123"/>
      <c r="H83" s="122"/>
      <c r="I83" s="123"/>
      <c r="J83" s="123"/>
      <c r="K83" s="123"/>
      <c r="L83" s="123"/>
      <c r="M83" s="123"/>
      <c r="N83" s="123"/>
      <c r="O83" s="123"/>
      <c r="P83" s="123"/>
      <c r="Q83" s="123"/>
      <c r="R83" s="123"/>
      <c r="S83" s="124"/>
      <c r="T83" s="124"/>
      <c r="U83" s="123"/>
      <c r="V83" s="123"/>
      <c r="W83" s="123"/>
      <c r="X83" s="123"/>
      <c r="Y83" s="123"/>
      <c r="Z83" s="123"/>
      <c r="AA83" s="123"/>
      <c r="AB83" s="123"/>
    </row>
    <row r="84" spans="4:28">
      <c r="D84" s="123"/>
      <c r="E84" s="123"/>
      <c r="F84" s="123"/>
      <c r="G84" s="123"/>
      <c r="H84" s="122"/>
      <c r="I84" s="123"/>
      <c r="J84" s="123"/>
      <c r="K84" s="123"/>
      <c r="L84" s="123"/>
      <c r="M84" s="123"/>
      <c r="N84" s="123"/>
      <c r="O84" s="123"/>
      <c r="P84" s="123"/>
      <c r="Q84" s="123"/>
      <c r="R84" s="123"/>
      <c r="S84" s="123"/>
      <c r="T84" s="123"/>
      <c r="U84" s="123"/>
      <c r="V84" s="123"/>
      <c r="W84" s="123"/>
      <c r="X84" s="123"/>
      <c r="Y84" s="123"/>
      <c r="Z84" s="123"/>
      <c r="AA84" s="123"/>
      <c r="AB84" s="123"/>
    </row>
    <row r="85" spans="4:28">
      <c r="D85" s="123"/>
      <c r="E85" s="123"/>
      <c r="F85" s="123"/>
      <c r="G85" s="123"/>
      <c r="H85" s="122"/>
      <c r="I85" s="123"/>
      <c r="J85" s="123"/>
      <c r="K85" s="123"/>
      <c r="L85" s="123"/>
      <c r="M85" s="123"/>
      <c r="N85" s="123"/>
      <c r="O85" s="123"/>
      <c r="P85" s="123"/>
      <c r="Q85" s="123"/>
      <c r="R85" s="123"/>
      <c r="S85" s="124"/>
      <c r="T85" s="124"/>
      <c r="U85" s="123"/>
      <c r="V85" s="123"/>
      <c r="W85" s="123"/>
      <c r="X85" s="123"/>
      <c r="Y85" s="123"/>
      <c r="Z85" s="123"/>
      <c r="AA85" s="123"/>
      <c r="AB85" s="123"/>
    </row>
    <row r="86" spans="4:28">
      <c r="D86" s="123"/>
      <c r="E86" s="123"/>
      <c r="F86" s="123"/>
      <c r="G86" s="123"/>
      <c r="H86" s="122"/>
      <c r="I86" s="123"/>
      <c r="J86" s="123"/>
      <c r="K86" s="123"/>
      <c r="L86" s="123"/>
      <c r="M86" s="123"/>
      <c r="N86" s="123"/>
      <c r="O86" s="123"/>
      <c r="P86" s="123"/>
      <c r="Q86" s="123"/>
      <c r="R86" s="123"/>
      <c r="S86" s="124"/>
      <c r="T86" s="124"/>
      <c r="U86" s="123"/>
      <c r="V86" s="123"/>
      <c r="W86" s="123"/>
      <c r="X86" s="123"/>
      <c r="Y86" s="123"/>
      <c r="Z86" s="123"/>
      <c r="AA86" s="123"/>
      <c r="AB86" s="123"/>
    </row>
    <row r="87" spans="4:28">
      <c r="D87" s="123"/>
      <c r="E87" s="123"/>
      <c r="F87" s="123"/>
      <c r="G87" s="123"/>
      <c r="H87" s="122"/>
      <c r="I87" s="123"/>
      <c r="J87" s="123"/>
      <c r="K87" s="123"/>
      <c r="L87" s="123"/>
      <c r="M87" s="123"/>
      <c r="N87" s="123"/>
      <c r="O87" s="123"/>
      <c r="P87" s="123"/>
      <c r="Q87" s="123"/>
      <c r="R87" s="123"/>
      <c r="S87" s="124"/>
      <c r="T87" s="124"/>
      <c r="U87" s="123"/>
      <c r="V87" s="123"/>
      <c r="W87" s="123"/>
      <c r="X87" s="123"/>
      <c r="Y87" s="123"/>
      <c r="Z87" s="123"/>
      <c r="AA87" s="123"/>
      <c r="AB87" s="123"/>
    </row>
    <row r="88" spans="4:28">
      <c r="D88" s="123"/>
      <c r="E88" s="123"/>
      <c r="F88" s="123"/>
      <c r="G88" s="123"/>
      <c r="H88" s="122"/>
      <c r="I88" s="123"/>
      <c r="J88" s="123"/>
      <c r="K88" s="123"/>
      <c r="L88" s="123"/>
      <c r="M88" s="123"/>
      <c r="N88" s="123"/>
      <c r="O88" s="123"/>
      <c r="P88" s="123"/>
      <c r="Q88" s="123"/>
      <c r="R88" s="123"/>
      <c r="S88" s="124"/>
      <c r="T88" s="124"/>
      <c r="U88" s="123"/>
      <c r="V88" s="123"/>
      <c r="W88" s="123"/>
      <c r="X88" s="123"/>
      <c r="Y88" s="123"/>
      <c r="Z88" s="123"/>
      <c r="AA88" s="123"/>
      <c r="AB88" s="123"/>
    </row>
    <row r="89" spans="4:28">
      <c r="D89" s="123"/>
      <c r="E89" s="123"/>
      <c r="F89" s="123"/>
      <c r="G89" s="123"/>
      <c r="H89" s="122"/>
      <c r="I89" s="123"/>
      <c r="J89" s="123"/>
      <c r="K89" s="123"/>
      <c r="L89" s="123"/>
      <c r="M89" s="123"/>
      <c r="N89" s="123"/>
      <c r="O89" s="123"/>
      <c r="P89" s="123"/>
      <c r="Q89" s="123"/>
      <c r="R89" s="123"/>
      <c r="S89" s="124"/>
      <c r="T89" s="124"/>
      <c r="U89" s="123"/>
      <c r="V89" s="123"/>
      <c r="W89" s="123"/>
      <c r="X89" s="123"/>
      <c r="Y89" s="123"/>
      <c r="Z89" s="123"/>
      <c r="AA89" s="123"/>
      <c r="AB89" s="123"/>
    </row>
    <row r="90" spans="4:28">
      <c r="D90" s="123"/>
      <c r="E90" s="123"/>
      <c r="F90" s="123"/>
      <c r="G90" s="123"/>
      <c r="H90" s="122"/>
      <c r="I90" s="123"/>
      <c r="J90" s="123"/>
      <c r="K90" s="123"/>
      <c r="L90" s="123"/>
      <c r="M90" s="123"/>
      <c r="N90" s="123"/>
      <c r="O90" s="123"/>
      <c r="P90" s="123"/>
      <c r="Q90" s="123"/>
      <c r="R90" s="123"/>
      <c r="S90" s="124"/>
      <c r="T90" s="124"/>
      <c r="U90" s="123"/>
      <c r="V90" s="123"/>
      <c r="W90" s="123"/>
      <c r="X90" s="123"/>
      <c r="Y90" s="123"/>
      <c r="Z90" s="123"/>
      <c r="AA90" s="123"/>
      <c r="AB90" s="123"/>
    </row>
    <row r="91" spans="4:28">
      <c r="D91" s="123"/>
      <c r="E91" s="123"/>
      <c r="F91" s="123"/>
      <c r="G91" s="123"/>
      <c r="H91" s="122"/>
      <c r="I91" s="123"/>
      <c r="J91" s="123"/>
      <c r="K91" s="123"/>
      <c r="L91" s="123"/>
      <c r="M91" s="123"/>
      <c r="N91" s="123"/>
      <c r="O91" s="123"/>
      <c r="P91" s="123"/>
      <c r="Q91" s="123"/>
      <c r="R91" s="123"/>
      <c r="S91" s="124"/>
      <c r="T91" s="124"/>
      <c r="U91" s="123"/>
      <c r="V91" s="123"/>
      <c r="W91" s="123"/>
      <c r="X91" s="123"/>
      <c r="Y91" s="123"/>
      <c r="Z91" s="123"/>
      <c r="AA91" s="123"/>
      <c r="AB91" s="123"/>
    </row>
    <row r="92" spans="4:28">
      <c r="D92" s="123"/>
      <c r="E92" s="123"/>
      <c r="F92" s="123"/>
      <c r="G92" s="123"/>
      <c r="H92" s="122"/>
      <c r="I92" s="123"/>
      <c r="J92" s="123"/>
      <c r="K92" s="123"/>
      <c r="L92" s="123"/>
      <c r="M92" s="123"/>
      <c r="N92" s="123"/>
      <c r="O92" s="123"/>
      <c r="P92" s="123"/>
      <c r="Q92" s="123"/>
      <c r="R92" s="123"/>
      <c r="S92" s="124"/>
      <c r="T92" s="124"/>
      <c r="U92" s="123"/>
      <c r="V92" s="123"/>
      <c r="W92" s="123"/>
      <c r="X92" s="123"/>
      <c r="Y92" s="123"/>
      <c r="Z92" s="123"/>
      <c r="AA92" s="123"/>
      <c r="AB92" s="123"/>
    </row>
    <row r="93" spans="4:28">
      <c r="D93" s="123"/>
      <c r="E93" s="123"/>
      <c r="F93" s="123"/>
      <c r="G93" s="123"/>
      <c r="H93" s="122"/>
      <c r="I93" s="123"/>
      <c r="J93" s="123"/>
      <c r="K93" s="123"/>
      <c r="L93" s="123"/>
      <c r="M93" s="123"/>
      <c r="N93" s="123"/>
      <c r="O93" s="123"/>
      <c r="P93" s="123"/>
      <c r="Q93" s="123"/>
      <c r="R93" s="123"/>
      <c r="S93" s="124"/>
      <c r="T93" s="124"/>
      <c r="U93" s="123"/>
      <c r="V93" s="123"/>
      <c r="W93" s="123"/>
      <c r="X93" s="123"/>
      <c r="Y93" s="123"/>
      <c r="Z93" s="123"/>
      <c r="AA93" s="123"/>
      <c r="AB93" s="123"/>
    </row>
    <row r="94" spans="4:28" ht="15">
      <c r="D94" s="125"/>
      <c r="E94" s="123"/>
      <c r="F94" s="126"/>
      <c r="G94" s="126"/>
      <c r="H94" s="175"/>
      <c r="I94" s="126"/>
      <c r="J94" s="126"/>
      <c r="K94" s="126"/>
      <c r="L94" s="126"/>
      <c r="M94" s="126"/>
      <c r="N94" s="126"/>
      <c r="O94" s="126"/>
      <c r="P94" s="126"/>
      <c r="Q94" s="126"/>
      <c r="R94" s="126"/>
      <c r="S94" s="126"/>
      <c r="T94" s="126"/>
      <c r="U94" s="126"/>
      <c r="V94" s="126"/>
      <c r="W94" s="126"/>
      <c r="X94" s="126"/>
      <c r="Y94" s="126"/>
      <c r="Z94" s="126"/>
      <c r="AA94" s="126"/>
      <c r="AB94" s="126"/>
    </row>
    <row r="95" spans="4:28" ht="15">
      <c r="D95" s="125"/>
      <c r="E95" s="123"/>
      <c r="F95" s="126"/>
      <c r="G95" s="126"/>
      <c r="H95" s="175"/>
      <c r="I95" s="126"/>
      <c r="J95" s="126"/>
      <c r="K95" s="126"/>
      <c r="L95" s="126"/>
      <c r="M95" s="126"/>
      <c r="N95" s="126"/>
      <c r="O95" s="126"/>
      <c r="P95" s="126"/>
      <c r="Q95" s="126"/>
      <c r="R95" s="126"/>
      <c r="S95" s="126"/>
      <c r="T95" s="126"/>
      <c r="U95" s="126"/>
      <c r="V95" s="126"/>
      <c r="W95" s="126"/>
      <c r="X95" s="126"/>
      <c r="Y95" s="126"/>
      <c r="Z95" s="126"/>
      <c r="AA95" s="126"/>
      <c r="AB95" s="126"/>
    </row>
    <row r="96" spans="4:28">
      <c r="D96" s="123"/>
      <c r="E96" s="120"/>
      <c r="F96" s="123"/>
      <c r="G96" s="123"/>
      <c r="H96" s="122"/>
      <c r="I96" s="123"/>
      <c r="J96" s="123"/>
      <c r="K96" s="123"/>
      <c r="L96" s="123"/>
      <c r="M96" s="123"/>
      <c r="N96" s="123"/>
      <c r="O96" s="123"/>
      <c r="P96" s="123"/>
      <c r="Q96" s="123"/>
      <c r="R96" s="123"/>
      <c r="S96" s="124"/>
      <c r="T96" s="124"/>
      <c r="U96" s="123"/>
      <c r="V96" s="123"/>
      <c r="W96" s="123"/>
      <c r="X96" s="123"/>
      <c r="Y96" s="123"/>
      <c r="Z96" s="123"/>
      <c r="AA96" s="123"/>
      <c r="AB96" s="123"/>
    </row>
    <row r="97" spans="4:28">
      <c r="D97" s="123"/>
      <c r="E97" s="120"/>
      <c r="F97" s="123"/>
      <c r="G97" s="120"/>
      <c r="H97" s="122"/>
      <c r="I97" s="123"/>
      <c r="J97" s="123"/>
      <c r="K97" s="123"/>
      <c r="L97" s="123"/>
      <c r="M97" s="123"/>
      <c r="N97" s="123"/>
      <c r="O97" s="123"/>
      <c r="P97" s="123"/>
      <c r="Q97" s="123"/>
      <c r="R97" s="123"/>
      <c r="S97" s="124"/>
      <c r="T97" s="124"/>
      <c r="U97" s="123"/>
      <c r="V97" s="123"/>
      <c r="W97" s="123"/>
      <c r="X97" s="123"/>
      <c r="Y97" s="123"/>
      <c r="Z97" s="123"/>
      <c r="AA97" s="123"/>
      <c r="AB97" s="123"/>
    </row>
    <row r="98" spans="4:28">
      <c r="D98" s="123"/>
      <c r="E98" s="120"/>
      <c r="F98" s="123"/>
      <c r="G98" s="120"/>
      <c r="H98" s="122"/>
      <c r="I98" s="123"/>
      <c r="J98" s="123"/>
      <c r="K98" s="123"/>
      <c r="L98" s="123"/>
      <c r="M98" s="123"/>
      <c r="N98" s="123"/>
      <c r="O98" s="123"/>
      <c r="P98" s="123"/>
      <c r="Q98" s="123"/>
      <c r="R98" s="123"/>
      <c r="S98" s="124"/>
      <c r="T98" s="124"/>
      <c r="U98" s="123"/>
      <c r="V98" s="123"/>
      <c r="W98" s="123"/>
      <c r="X98" s="123"/>
      <c r="Y98" s="123"/>
      <c r="Z98" s="123"/>
      <c r="AA98" s="123"/>
      <c r="AB98" s="123"/>
    </row>
    <row r="99" spans="4:28">
      <c r="D99" s="123"/>
      <c r="E99" s="120"/>
      <c r="F99" s="123"/>
      <c r="G99" s="123"/>
      <c r="H99" s="122"/>
      <c r="I99" s="123"/>
      <c r="J99" s="123"/>
      <c r="K99" s="123"/>
      <c r="L99" s="123"/>
      <c r="M99" s="123"/>
      <c r="N99" s="123"/>
      <c r="O99" s="123"/>
      <c r="P99" s="123"/>
      <c r="Q99" s="123"/>
      <c r="R99" s="123"/>
      <c r="S99" s="124"/>
      <c r="T99" s="124"/>
      <c r="U99" s="123"/>
      <c r="V99" s="123"/>
      <c r="W99" s="123"/>
      <c r="X99" s="123"/>
      <c r="Y99" s="123"/>
      <c r="Z99" s="123"/>
      <c r="AA99" s="123"/>
      <c r="AB99" s="123"/>
    </row>
    <row r="100" spans="4:28">
      <c r="D100" s="123"/>
      <c r="E100" s="120"/>
      <c r="F100" s="123"/>
      <c r="G100" s="123"/>
      <c r="H100" s="122"/>
      <c r="I100" s="123"/>
      <c r="J100" s="123"/>
      <c r="K100" s="123"/>
      <c r="L100" s="123"/>
      <c r="M100" s="123"/>
      <c r="N100" s="123"/>
      <c r="O100" s="123"/>
      <c r="P100" s="123"/>
      <c r="Q100" s="123"/>
      <c r="R100" s="123"/>
      <c r="S100" s="124"/>
      <c r="T100" s="124"/>
      <c r="U100" s="123"/>
      <c r="V100" s="123"/>
      <c r="W100" s="123"/>
      <c r="X100" s="123"/>
      <c r="Y100" s="123"/>
      <c r="Z100" s="123"/>
      <c r="AA100" s="123"/>
      <c r="AB100" s="123"/>
    </row>
    <row r="101" spans="4:28">
      <c r="D101" s="123"/>
      <c r="E101" s="120"/>
      <c r="F101" s="123"/>
      <c r="G101" s="123"/>
      <c r="H101" s="122"/>
      <c r="I101" s="123"/>
      <c r="J101" s="123"/>
      <c r="K101" s="123"/>
      <c r="L101" s="123"/>
      <c r="M101" s="123"/>
      <c r="N101" s="123"/>
      <c r="O101" s="123"/>
      <c r="P101" s="123"/>
      <c r="Q101" s="123"/>
      <c r="R101" s="123"/>
      <c r="S101" s="123"/>
      <c r="T101" s="123"/>
      <c r="U101" s="123"/>
      <c r="V101" s="123"/>
      <c r="W101" s="123"/>
      <c r="X101" s="123"/>
      <c r="Y101" s="123"/>
      <c r="Z101" s="123"/>
      <c r="AA101" s="123"/>
      <c r="AB101" s="123"/>
    </row>
    <row r="102" spans="4:28">
      <c r="D102" s="123"/>
      <c r="E102" s="120"/>
      <c r="F102" s="123"/>
      <c r="G102" s="123"/>
      <c r="H102" s="122"/>
      <c r="I102" s="123"/>
      <c r="J102" s="123"/>
      <c r="K102" s="123"/>
      <c r="L102" s="123"/>
      <c r="M102" s="123"/>
      <c r="N102" s="123"/>
      <c r="O102" s="123"/>
      <c r="P102" s="123"/>
      <c r="Q102" s="123"/>
      <c r="R102" s="123"/>
      <c r="S102" s="124"/>
      <c r="T102" s="124"/>
      <c r="U102" s="123"/>
      <c r="V102" s="123"/>
      <c r="W102" s="123"/>
      <c r="X102" s="123"/>
      <c r="Y102" s="123"/>
      <c r="Z102" s="123"/>
      <c r="AA102" s="123"/>
      <c r="AB102" s="123"/>
    </row>
    <row r="103" spans="4:28">
      <c r="D103" s="123"/>
      <c r="E103" s="120"/>
      <c r="F103" s="123"/>
      <c r="G103" s="123"/>
      <c r="H103" s="122"/>
      <c r="I103" s="123"/>
      <c r="J103" s="123"/>
      <c r="K103" s="123"/>
      <c r="L103" s="123"/>
      <c r="M103" s="123"/>
      <c r="N103" s="123"/>
      <c r="O103" s="123"/>
      <c r="P103" s="123"/>
      <c r="Q103" s="123"/>
      <c r="R103" s="123"/>
      <c r="S103" s="123"/>
      <c r="T103" s="123"/>
      <c r="U103" s="123"/>
      <c r="V103" s="123"/>
      <c r="W103" s="123"/>
      <c r="X103" s="123"/>
      <c r="Y103" s="123"/>
      <c r="Z103" s="123"/>
      <c r="AA103" s="123"/>
      <c r="AB103" s="123"/>
    </row>
    <row r="104" spans="4:28">
      <c r="D104" s="123"/>
      <c r="E104" s="120"/>
      <c r="F104" s="123"/>
      <c r="G104" s="123"/>
      <c r="H104" s="122"/>
      <c r="I104" s="123"/>
      <c r="J104" s="123"/>
      <c r="K104" s="123"/>
      <c r="L104" s="123"/>
      <c r="M104" s="123"/>
      <c r="N104" s="123"/>
      <c r="O104" s="123"/>
      <c r="P104" s="123"/>
      <c r="Q104" s="123"/>
      <c r="R104" s="123"/>
      <c r="S104" s="124"/>
      <c r="T104" s="124"/>
      <c r="U104" s="123"/>
      <c r="V104" s="123"/>
      <c r="W104" s="123"/>
      <c r="X104" s="123"/>
      <c r="Y104" s="123"/>
      <c r="Z104" s="123"/>
      <c r="AA104" s="123"/>
      <c r="AB104" s="123"/>
    </row>
    <row r="105" spans="4:28">
      <c r="D105" s="123"/>
      <c r="E105" s="123"/>
      <c r="F105" s="123"/>
      <c r="G105" s="120"/>
      <c r="H105" s="122"/>
      <c r="I105" s="123"/>
      <c r="J105" s="123"/>
      <c r="K105" s="123"/>
      <c r="L105" s="123"/>
      <c r="M105" s="123"/>
      <c r="N105" s="123"/>
      <c r="O105" s="123"/>
      <c r="P105" s="123"/>
      <c r="Q105" s="123"/>
      <c r="R105" s="123"/>
      <c r="S105" s="124"/>
      <c r="T105" s="124"/>
      <c r="U105" s="123"/>
      <c r="V105" s="123"/>
      <c r="W105" s="123"/>
      <c r="X105" s="123"/>
      <c r="Y105" s="123"/>
      <c r="Z105" s="123"/>
      <c r="AA105" s="123"/>
      <c r="AB105" s="123"/>
    </row>
    <row r="106" spans="4:28">
      <c r="D106" s="123"/>
      <c r="E106" s="123"/>
      <c r="F106" s="123"/>
      <c r="G106" s="120"/>
      <c r="H106" s="122"/>
      <c r="I106" s="123"/>
      <c r="J106" s="123"/>
      <c r="K106" s="123"/>
      <c r="L106" s="123"/>
      <c r="M106" s="123"/>
      <c r="N106" s="123"/>
      <c r="O106" s="123"/>
      <c r="P106" s="123"/>
      <c r="Q106" s="123"/>
      <c r="R106" s="123"/>
      <c r="S106" s="124"/>
      <c r="T106" s="124"/>
      <c r="U106" s="123"/>
      <c r="V106" s="123"/>
      <c r="W106" s="123"/>
      <c r="X106" s="123"/>
      <c r="Y106" s="123"/>
      <c r="Z106" s="123"/>
      <c r="AA106" s="123"/>
      <c r="AB106" s="123"/>
    </row>
    <row r="107" spans="4:28">
      <c r="D107" s="123"/>
      <c r="E107" s="123"/>
      <c r="F107" s="123"/>
      <c r="G107" s="120"/>
      <c r="H107" s="122"/>
      <c r="I107" s="123"/>
      <c r="J107" s="123"/>
      <c r="K107" s="123"/>
      <c r="L107" s="123"/>
      <c r="M107" s="123"/>
      <c r="N107" s="123"/>
      <c r="O107" s="123"/>
      <c r="P107" s="123"/>
      <c r="Q107" s="123"/>
      <c r="R107" s="123"/>
      <c r="S107" s="124"/>
      <c r="T107" s="124"/>
      <c r="U107" s="123"/>
      <c r="V107" s="123"/>
      <c r="W107" s="123"/>
      <c r="X107" s="123"/>
      <c r="Y107" s="123"/>
      <c r="Z107" s="123"/>
      <c r="AA107" s="123"/>
      <c r="AB107" s="123"/>
    </row>
    <row r="108" spans="4:28">
      <c r="D108" s="123"/>
      <c r="E108" s="123"/>
      <c r="F108" s="123"/>
      <c r="G108" s="120"/>
      <c r="H108" s="122"/>
      <c r="I108" s="123"/>
      <c r="J108" s="123"/>
      <c r="K108" s="123"/>
      <c r="L108" s="123"/>
      <c r="M108" s="123"/>
      <c r="N108" s="123"/>
      <c r="O108" s="123"/>
      <c r="P108" s="123"/>
      <c r="Q108" s="123"/>
      <c r="R108" s="123"/>
      <c r="S108" s="124"/>
      <c r="T108" s="124"/>
      <c r="U108" s="123"/>
      <c r="V108" s="123"/>
      <c r="W108" s="123"/>
      <c r="X108" s="123"/>
      <c r="Y108" s="123"/>
      <c r="Z108" s="123"/>
      <c r="AA108" s="123"/>
      <c r="AB108" s="123"/>
    </row>
    <row r="109" spans="4:28">
      <c r="D109" s="123"/>
      <c r="E109" s="123"/>
      <c r="F109" s="123"/>
      <c r="G109" s="120"/>
      <c r="H109" s="122"/>
      <c r="I109" s="123"/>
      <c r="J109" s="123"/>
      <c r="K109" s="123"/>
      <c r="L109" s="123"/>
      <c r="M109" s="123"/>
      <c r="N109" s="123"/>
      <c r="O109" s="123"/>
      <c r="P109" s="123"/>
      <c r="Q109" s="123"/>
      <c r="R109" s="123"/>
      <c r="S109" s="124"/>
      <c r="T109" s="124"/>
      <c r="U109" s="123"/>
      <c r="V109" s="123"/>
      <c r="W109" s="123"/>
      <c r="X109" s="123"/>
      <c r="Y109" s="123"/>
      <c r="Z109" s="123"/>
      <c r="AA109" s="123"/>
      <c r="AB109"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37.xml><?xml version="1.0" encoding="utf-8"?>
<worksheet xmlns="http://schemas.openxmlformats.org/spreadsheetml/2006/main" xmlns:r="http://schemas.openxmlformats.org/officeDocument/2006/relationships">
  <sheetPr codeName="Sheet55111"/>
  <dimension ref="A1:HI92"/>
  <sheetViews>
    <sheetView zoomScale="75" workbookViewId="0">
      <selection activeCell="D28" sqref="D28"/>
    </sheetView>
  </sheetViews>
  <sheetFormatPr defaultColWidth="11.42578125" defaultRowHeight="12.75"/>
  <cols>
    <col min="1" max="1" width="15.85546875" customWidth="1"/>
    <col min="2" max="2" width="13.5703125" customWidth="1"/>
    <col min="3" max="3" width="37.5703125" customWidth="1"/>
    <col min="4" max="4" width="10.85546875" customWidth="1"/>
    <col min="5" max="6" width="9.7109375" bestFit="1" customWidth="1"/>
  </cols>
  <sheetData>
    <row r="1" spans="1:217" ht="18">
      <c r="A1" s="10" t="s">
        <v>12</v>
      </c>
      <c r="D1" t="s">
        <v>250</v>
      </c>
    </row>
    <row r="2" spans="1:217" ht="18">
      <c r="A2" s="10"/>
      <c r="D2" s="245"/>
    </row>
    <row r="3" spans="1:217" ht="18">
      <c r="A3" s="10"/>
      <c r="B3" s="16"/>
      <c r="C3" s="17"/>
      <c r="D3" s="245"/>
      <c r="O3" s="18">
        <v>1</v>
      </c>
      <c r="P3" t="s">
        <v>666</v>
      </c>
    </row>
    <row r="4" spans="1:217" ht="29.25" customHeight="1">
      <c r="B4" s="131" t="s">
        <v>594</v>
      </c>
      <c r="C4" s="98"/>
      <c r="D4" s="252" t="str">
        <f>"~FI_T: "&amp;Region</f>
        <v>~FI_T: FIM</v>
      </c>
      <c r="E4" s="4" t="s">
        <v>250</v>
      </c>
      <c r="R4" s="4"/>
      <c r="S4" s="4"/>
    </row>
    <row r="5" spans="1:217" ht="39"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537</v>
      </c>
      <c r="U5" s="52" t="s">
        <v>471</v>
      </c>
      <c r="V5" s="52" t="s">
        <v>778</v>
      </c>
      <c r="W5" s="257" t="s">
        <v>381</v>
      </c>
    </row>
    <row r="6" spans="1:217" ht="15" thickBot="1">
      <c r="A6" s="14"/>
      <c r="B6" s="434" t="s">
        <v>999</v>
      </c>
      <c r="C6" s="190"/>
      <c r="D6" s="190"/>
      <c r="E6" s="191"/>
      <c r="F6" s="191"/>
      <c r="G6" s="191"/>
      <c r="H6" s="191"/>
      <c r="I6" s="190"/>
      <c r="J6" s="193"/>
      <c r="K6" s="191"/>
      <c r="L6" s="190"/>
      <c r="M6" s="190"/>
      <c r="N6" s="191"/>
      <c r="O6" s="315"/>
      <c r="P6" s="190"/>
      <c r="Q6" s="190"/>
      <c r="R6" s="192"/>
      <c r="S6" s="190"/>
      <c r="T6" s="190"/>
      <c r="U6" s="190"/>
      <c r="V6" s="190"/>
      <c r="W6" s="257"/>
    </row>
    <row r="7" spans="1:217" ht="15" customHeight="1">
      <c r="B7" s="76" t="s">
        <v>304</v>
      </c>
      <c r="C7" s="25" t="s">
        <v>281</v>
      </c>
      <c r="D7" s="12" t="str">
        <f ca="1">IEAData2!H9</f>
        <v>RESNGA</v>
      </c>
      <c r="E7" s="33">
        <f ca="1">IEAData2!G81*IEAData2!H52</f>
        <v>6.832956479323618E-2</v>
      </c>
      <c r="F7" s="33">
        <f ca="1">AuxData2!G81*AuxData2!H52</f>
        <v>7.093972602739726E-2</v>
      </c>
      <c r="G7" s="40">
        <v>0.95</v>
      </c>
      <c r="H7" s="343" t="str">
        <f t="shared" ref="H7:H13" si="0">RIGHT(D7,3)</f>
        <v>NGA</v>
      </c>
      <c r="I7" s="81">
        <v>1</v>
      </c>
      <c r="J7" s="6">
        <f>G7*I7</f>
        <v>0.95</v>
      </c>
      <c r="K7" s="38">
        <f t="shared" ref="K7:K13" ca="1" si="1">F7*J7</f>
        <v>6.7392739726027398E-2</v>
      </c>
      <c r="L7" s="19">
        <v>1</v>
      </c>
      <c r="M7" s="18">
        <v>1</v>
      </c>
      <c r="N7" s="18">
        <v>15</v>
      </c>
      <c r="O7" s="400">
        <f t="shared" ref="O7:O13" ca="1" si="2">E7*J7/$M7</f>
        <v>6.4913086553574362E-2</v>
      </c>
      <c r="P7" s="185">
        <f t="shared" ref="P7:P13" ca="1" si="3">F7*J7/$M7</f>
        <v>6.7392739726027398E-2</v>
      </c>
      <c r="Q7" s="104"/>
      <c r="R7" s="40">
        <v>0</v>
      </c>
      <c r="S7" s="40"/>
      <c r="T7" s="40"/>
      <c r="U7" s="40"/>
      <c r="V7" s="40"/>
      <c r="W7" s="258">
        <f t="shared" ref="W7:W13" ca="1" si="4">IF($E$14=0,0,E7/$E$14)</f>
        <v>0.11923478568773935</v>
      </c>
    </row>
    <row r="8" spans="1:217" ht="15" customHeight="1">
      <c r="B8" s="76" t="s">
        <v>305</v>
      </c>
      <c r="C8" s="25" t="s">
        <v>344</v>
      </c>
      <c r="D8" s="12" t="str">
        <f ca="1">IEAData2!H12</f>
        <v>RESKER</v>
      </c>
      <c r="E8" s="33">
        <f ca="1">IEAData2!G84*IEAData2!H55</f>
        <v>0</v>
      </c>
      <c r="F8" s="33">
        <f ca="1">AuxData2!G84*AuxData2!H55</f>
        <v>0</v>
      </c>
      <c r="G8" s="40">
        <v>0.85</v>
      </c>
      <c r="H8" s="343" t="str">
        <f t="shared" si="0"/>
        <v>KER</v>
      </c>
      <c r="I8" s="81">
        <v>1</v>
      </c>
      <c r="J8" s="6">
        <f t="shared" ref="J8:J13" si="5">G8*I8</f>
        <v>0.85</v>
      </c>
      <c r="K8" s="38">
        <f t="shared" ca="1" si="1"/>
        <v>0</v>
      </c>
      <c r="L8" s="19">
        <v>1</v>
      </c>
      <c r="M8" s="18">
        <v>1</v>
      </c>
      <c r="N8" s="18">
        <v>15</v>
      </c>
      <c r="O8" s="373">
        <f t="shared" ca="1" si="2"/>
        <v>0</v>
      </c>
      <c r="P8" s="185">
        <f t="shared" ca="1" si="3"/>
        <v>0</v>
      </c>
      <c r="Q8" s="104"/>
      <c r="R8" s="40">
        <v>0</v>
      </c>
      <c r="S8" s="40"/>
      <c r="T8" s="40"/>
      <c r="U8" s="40"/>
      <c r="V8" s="18"/>
      <c r="W8" s="258">
        <f t="shared" ca="1" si="4"/>
        <v>0</v>
      </c>
    </row>
    <row r="9" spans="1:217" ht="15" customHeight="1">
      <c r="B9" s="270" t="s">
        <v>559</v>
      </c>
      <c r="C9" s="183" t="s">
        <v>560</v>
      </c>
      <c r="D9" s="12" t="str">
        <f ca="1">IEAData2!H10</f>
        <v>RESDST</v>
      </c>
      <c r="E9" s="33">
        <f ca="1">IEAData2!G82*IEAData2!H53</f>
        <v>0</v>
      </c>
      <c r="F9" s="33">
        <f ca="1">AuxData2!G82*AuxData2!H53</f>
        <v>0</v>
      </c>
      <c r="G9" s="40">
        <v>0.85</v>
      </c>
      <c r="H9" s="343" t="str">
        <f t="shared" si="0"/>
        <v>DST</v>
      </c>
      <c r="I9" s="81">
        <v>1</v>
      </c>
      <c r="J9" s="6">
        <f t="shared" si="5"/>
        <v>0.85</v>
      </c>
      <c r="K9" s="38">
        <f t="shared" ca="1" si="1"/>
        <v>0</v>
      </c>
      <c r="L9" s="19">
        <v>1</v>
      </c>
      <c r="M9" s="18">
        <v>1</v>
      </c>
      <c r="N9" s="18">
        <v>15</v>
      </c>
      <c r="O9" s="373">
        <f t="shared" ca="1" si="2"/>
        <v>0</v>
      </c>
      <c r="P9" s="185">
        <f t="shared" ca="1" si="3"/>
        <v>0</v>
      </c>
      <c r="Q9" s="104"/>
      <c r="R9" s="40">
        <v>0</v>
      </c>
      <c r="S9" s="40"/>
      <c r="T9" s="40"/>
      <c r="U9" s="40"/>
      <c r="V9" s="18"/>
      <c r="W9" s="258">
        <f t="shared" ca="1" si="4"/>
        <v>0</v>
      </c>
    </row>
    <row r="10" spans="1:217" ht="15" customHeight="1">
      <c r="B10" s="76" t="s">
        <v>330</v>
      </c>
      <c r="C10" s="25" t="s">
        <v>345</v>
      </c>
      <c r="D10" s="12" t="str">
        <f ca="1">IEAData2!H14</f>
        <v>RESLPG</v>
      </c>
      <c r="E10" s="33">
        <f ca="1">IEAData2!G86*IEAData2!H57</f>
        <v>0</v>
      </c>
      <c r="F10" s="33">
        <f ca="1">AuxData2!G86*AuxData2!H57</f>
        <v>0</v>
      </c>
      <c r="G10" s="40">
        <v>0.95</v>
      </c>
      <c r="H10" s="343" t="str">
        <f t="shared" si="0"/>
        <v>LPG</v>
      </c>
      <c r="I10" s="81">
        <v>1</v>
      </c>
      <c r="J10" s="6">
        <f t="shared" si="5"/>
        <v>0.95</v>
      </c>
      <c r="K10" s="38">
        <f t="shared" ca="1" si="1"/>
        <v>0</v>
      </c>
      <c r="L10" s="19">
        <v>1</v>
      </c>
      <c r="M10" s="18">
        <v>1</v>
      </c>
      <c r="N10" s="18">
        <v>15</v>
      </c>
      <c r="O10" s="373">
        <f t="shared" ca="1" si="2"/>
        <v>0</v>
      </c>
      <c r="P10" s="185">
        <f t="shared" ca="1" si="3"/>
        <v>0</v>
      </c>
      <c r="Q10" s="104"/>
      <c r="R10" s="40">
        <v>0</v>
      </c>
      <c r="S10" s="40"/>
      <c r="T10" s="40"/>
      <c r="U10" s="40"/>
      <c r="V10" s="18"/>
      <c r="W10" s="258">
        <f t="shared" ca="1" si="4"/>
        <v>0</v>
      </c>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row>
    <row r="11" spans="1:217" s="39" customFormat="1" ht="15" customHeight="1">
      <c r="B11" s="265" t="s">
        <v>306</v>
      </c>
      <c r="C11" s="37" t="s">
        <v>346</v>
      </c>
      <c r="D11" s="12" t="s">
        <v>838</v>
      </c>
      <c r="E11" s="64">
        <f ca="1">IEAData2!G88*IEAData2!H59</f>
        <v>0.50368338520145539</v>
      </c>
      <c r="F11" s="64">
        <f ca="1">AuxData2!G88*AuxData2!H59</f>
        <v>0.48422372416492865</v>
      </c>
      <c r="G11" s="69">
        <v>1</v>
      </c>
      <c r="H11" s="343" t="str">
        <f t="shared" si="0"/>
        <v>ELC</v>
      </c>
      <c r="I11" s="81">
        <v>1</v>
      </c>
      <c r="J11" s="6">
        <f t="shared" si="5"/>
        <v>1</v>
      </c>
      <c r="K11" s="38">
        <f t="shared" ca="1" si="1"/>
        <v>0.48422372416492865</v>
      </c>
      <c r="L11" s="19">
        <v>1</v>
      </c>
      <c r="M11" s="81">
        <v>1</v>
      </c>
      <c r="N11" s="81">
        <v>15</v>
      </c>
      <c r="O11" s="373">
        <f t="shared" ca="1" si="2"/>
        <v>0.50368338520145539</v>
      </c>
      <c r="P11" s="185">
        <f t="shared" ca="1" si="3"/>
        <v>0.48422372416492865</v>
      </c>
      <c r="Q11" s="104"/>
      <c r="R11" s="53">
        <v>0</v>
      </c>
      <c r="S11" s="53"/>
      <c r="T11" s="53"/>
      <c r="U11" s="53"/>
      <c r="V11" s="81"/>
      <c r="W11" s="258">
        <f t="shared" ca="1" si="4"/>
        <v>0.87892525981543335</v>
      </c>
    </row>
    <row r="12" spans="1:217" s="39" customFormat="1" ht="15" customHeight="1">
      <c r="B12" s="265" t="s">
        <v>25</v>
      </c>
      <c r="C12" s="37" t="s">
        <v>347</v>
      </c>
      <c r="D12" s="12" t="str">
        <f ca="1">IEAData2!H15</f>
        <v>RESBIO</v>
      </c>
      <c r="E12" s="64">
        <f ca="1">IEAData2!G87*IEAData2!H58</f>
        <v>1.0544178805070264E-3</v>
      </c>
      <c r="F12" s="64">
        <f ca="1">AuxData2!G87*AuxData2!H58</f>
        <v>3.8774568767603905E-4</v>
      </c>
      <c r="G12" s="69">
        <v>0.7</v>
      </c>
      <c r="H12" s="343" t="str">
        <f t="shared" si="0"/>
        <v>BIO</v>
      </c>
      <c r="I12" s="81">
        <v>1</v>
      </c>
      <c r="J12" s="6">
        <f t="shared" si="5"/>
        <v>0.7</v>
      </c>
      <c r="K12" s="38">
        <f t="shared" ca="1" si="1"/>
        <v>2.714219813732273E-4</v>
      </c>
      <c r="L12" s="19">
        <v>1</v>
      </c>
      <c r="M12" s="81">
        <v>1</v>
      </c>
      <c r="N12" s="81">
        <v>15</v>
      </c>
      <c r="O12" s="373">
        <f t="shared" ca="1" si="2"/>
        <v>7.3809251635491844E-4</v>
      </c>
      <c r="P12" s="185">
        <f t="shared" ca="1" si="3"/>
        <v>2.714219813732273E-4</v>
      </c>
      <c r="Q12" s="104"/>
      <c r="R12" s="53">
        <v>0</v>
      </c>
      <c r="S12" s="53"/>
      <c r="T12" s="53"/>
      <c r="U12" s="53"/>
      <c r="V12" s="81"/>
      <c r="W12" s="258">
        <f t="shared" ca="1" si="4"/>
        <v>1.8399544968274227E-3</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row>
    <row r="13" spans="1:217" ht="15" customHeight="1" thickBot="1">
      <c r="B13" s="266" t="s">
        <v>307</v>
      </c>
      <c r="C13" s="26" t="s">
        <v>348</v>
      </c>
      <c r="D13" s="24" t="str">
        <f ca="1">IEAData2!H19</f>
        <v>RESSOL</v>
      </c>
      <c r="E13" s="34">
        <f ca="1">IEAData2!G91*IEAData2!H62</f>
        <v>0</v>
      </c>
      <c r="F13" s="34">
        <f ca="1">AuxData2!G91*AuxData2!H62</f>
        <v>0</v>
      </c>
      <c r="G13" s="71">
        <v>1</v>
      </c>
      <c r="H13" s="343" t="str">
        <f t="shared" si="0"/>
        <v>SOL</v>
      </c>
      <c r="I13" s="81">
        <v>1</v>
      </c>
      <c r="J13" s="6">
        <f t="shared" si="5"/>
        <v>1</v>
      </c>
      <c r="K13" s="38">
        <f t="shared" ca="1" si="1"/>
        <v>0</v>
      </c>
      <c r="L13" s="73">
        <v>1</v>
      </c>
      <c r="M13" s="20">
        <v>1</v>
      </c>
      <c r="N13" s="20">
        <v>15</v>
      </c>
      <c r="O13" s="401">
        <f t="shared" ca="1" si="2"/>
        <v>0</v>
      </c>
      <c r="P13" s="185">
        <f t="shared" ca="1" si="3"/>
        <v>0</v>
      </c>
      <c r="Q13" s="117"/>
      <c r="R13" s="54">
        <v>0</v>
      </c>
      <c r="S13" s="54"/>
      <c r="T13" s="54"/>
      <c r="U13" s="54"/>
      <c r="V13" s="54"/>
      <c r="W13" s="258">
        <f t="shared" ca="1" si="4"/>
        <v>0</v>
      </c>
    </row>
    <row r="14" spans="1:217" ht="15" customHeight="1" thickBot="1">
      <c r="B14" s="434" t="s">
        <v>999</v>
      </c>
      <c r="C14" s="190" t="s">
        <v>1001</v>
      </c>
      <c r="D14" s="190"/>
      <c r="E14" s="191">
        <f ca="1">SUM(E7:E13)</f>
        <v>0.57306736787519852</v>
      </c>
      <c r="F14" s="191">
        <f ca="1">SUM(F7:F13)</f>
        <v>0.55555119588000201</v>
      </c>
      <c r="G14" s="191"/>
      <c r="H14" s="191">
        <f ca="1">SUMPRODUCT(E$7:E13,J$7:J13)</f>
        <v>0.56933456427138474</v>
      </c>
      <c r="I14" s="190"/>
      <c r="J14" s="193"/>
      <c r="K14" s="191">
        <f ca="1">SUM(K7:K13)</f>
        <v>0.55188788587232929</v>
      </c>
      <c r="L14" s="190"/>
      <c r="M14" s="190"/>
      <c r="N14" s="191"/>
      <c r="O14" s="315">
        <f ca="1">SUM(O7:O13)</f>
        <v>0.56933456427138474</v>
      </c>
      <c r="P14" s="190"/>
      <c r="Q14" s="190"/>
      <c r="R14" s="192"/>
      <c r="S14" s="190"/>
      <c r="T14" s="190"/>
      <c r="U14" s="190"/>
      <c r="V14" s="190"/>
      <c r="W14" s="259">
        <f ca="1">SUM(W7:W13)</f>
        <v>1.0000000000000002</v>
      </c>
    </row>
    <row r="15" spans="1:217" ht="15" customHeight="1">
      <c r="B15" s="76" t="s">
        <v>309</v>
      </c>
      <c r="C15" s="25" t="s">
        <v>349</v>
      </c>
      <c r="D15" s="12" t="str">
        <f ca="1">IEAData2!H9</f>
        <v>RESNGA</v>
      </c>
      <c r="E15" s="33">
        <f ca="1">IEAData2!G81*IEAData2!I52</f>
        <v>0</v>
      </c>
      <c r="F15" s="33">
        <f ca="1">AuxData2!G81*AuxData2!I52</f>
        <v>0</v>
      </c>
      <c r="G15" s="40">
        <v>0.95</v>
      </c>
      <c r="H15" s="343" t="str">
        <f t="shared" ref="H15:H21" si="6">RIGHT(D15,3)</f>
        <v>NGA</v>
      </c>
      <c r="I15" s="81">
        <v>1</v>
      </c>
      <c r="J15" s="6">
        <f t="shared" ref="J15:J21" si="7">G15*I15</f>
        <v>0.95</v>
      </c>
      <c r="K15" s="38">
        <f t="shared" ref="K15:K21" ca="1" si="8">F15*J15</f>
        <v>0</v>
      </c>
      <c r="L15" s="19">
        <v>1</v>
      </c>
      <c r="M15" s="18">
        <v>1</v>
      </c>
      <c r="N15" s="18">
        <v>15</v>
      </c>
      <c r="O15" s="160">
        <f t="shared" ref="O15:O21" ca="1" si="9">E15*J15/$M15</f>
        <v>0</v>
      </c>
      <c r="P15" s="104">
        <f t="shared" ref="P15:P21" ca="1" si="10">F15*J15/$M15</f>
        <v>0</v>
      </c>
      <c r="Q15" s="104"/>
      <c r="R15" s="40">
        <v>0</v>
      </c>
      <c r="S15" s="40"/>
      <c r="T15" s="40"/>
      <c r="U15" s="40"/>
      <c r="V15" s="40"/>
      <c r="W15" s="258">
        <f t="shared" ref="W15:W21" ca="1" si="11">IF($E$22=0,0,E15/$E$22)</f>
        <v>0</v>
      </c>
    </row>
    <row r="16" spans="1:217" ht="15" customHeight="1">
      <c r="B16" s="76" t="s">
        <v>310</v>
      </c>
      <c r="C16" s="25" t="s">
        <v>350</v>
      </c>
      <c r="D16" s="12" t="str">
        <f ca="1">IEAData2!H12</f>
        <v>RESKER</v>
      </c>
      <c r="E16" s="33">
        <f ca="1">IEAData2!G84*IEAData2!I55</f>
        <v>0</v>
      </c>
      <c r="F16" s="33">
        <f ca="1">AuxData2!G84*AuxData2!I55</f>
        <v>0</v>
      </c>
      <c r="G16" s="40">
        <v>0.85</v>
      </c>
      <c r="H16" s="343" t="str">
        <f t="shared" si="6"/>
        <v>KER</v>
      </c>
      <c r="I16" s="81">
        <v>1</v>
      </c>
      <c r="J16" s="6">
        <f t="shared" si="7"/>
        <v>0.85</v>
      </c>
      <c r="K16" s="38">
        <f t="shared" ca="1" si="8"/>
        <v>0</v>
      </c>
      <c r="L16" s="19">
        <v>1</v>
      </c>
      <c r="M16" s="18">
        <v>1</v>
      </c>
      <c r="N16" s="18">
        <v>15</v>
      </c>
      <c r="O16" s="161">
        <f t="shared" ca="1" si="9"/>
        <v>0</v>
      </c>
      <c r="P16" s="104">
        <f t="shared" ca="1" si="10"/>
        <v>0</v>
      </c>
      <c r="Q16" s="104"/>
      <c r="R16" s="40">
        <v>0</v>
      </c>
      <c r="S16" s="40"/>
      <c r="T16" s="40"/>
      <c r="U16" s="40"/>
      <c r="V16" s="18"/>
      <c r="W16" s="258">
        <f t="shared" ca="1" si="11"/>
        <v>0</v>
      </c>
    </row>
    <row r="17" spans="1:23" ht="15" customHeight="1">
      <c r="B17" s="91" t="s">
        <v>561</v>
      </c>
      <c r="C17" s="183" t="s">
        <v>562</v>
      </c>
      <c r="D17" s="12" t="str">
        <f ca="1">IEAData2!H10</f>
        <v>RESDST</v>
      </c>
      <c r="E17" s="33">
        <f ca="1">IEAData2!G82*IEAData2!I53</f>
        <v>0</v>
      </c>
      <c r="F17" s="33">
        <f ca="1">AuxData2!G82*AuxData2!I53</f>
        <v>0</v>
      </c>
      <c r="G17" s="40">
        <v>0.85</v>
      </c>
      <c r="H17" s="343" t="str">
        <f t="shared" si="6"/>
        <v>DST</v>
      </c>
      <c r="I17" s="81">
        <v>1</v>
      </c>
      <c r="J17" s="6">
        <f t="shared" si="7"/>
        <v>0.85</v>
      </c>
      <c r="K17" s="38">
        <f t="shared" ca="1" si="8"/>
        <v>0</v>
      </c>
      <c r="L17" s="19">
        <v>1</v>
      </c>
      <c r="M17" s="18">
        <v>1</v>
      </c>
      <c r="N17" s="18">
        <v>15</v>
      </c>
      <c r="O17" s="161">
        <f t="shared" ca="1" si="9"/>
        <v>0</v>
      </c>
      <c r="P17" s="104">
        <f t="shared" ca="1" si="10"/>
        <v>0</v>
      </c>
      <c r="Q17" s="104"/>
      <c r="R17" s="40">
        <v>0</v>
      </c>
      <c r="S17" s="40"/>
      <c r="T17" s="40"/>
      <c r="U17" s="40"/>
      <c r="V17" s="18"/>
      <c r="W17" s="258">
        <f t="shared" ca="1" si="11"/>
        <v>0</v>
      </c>
    </row>
    <row r="18" spans="1:23" ht="15" customHeight="1">
      <c r="B18" s="76" t="s">
        <v>233</v>
      </c>
      <c r="C18" s="25" t="s">
        <v>351</v>
      </c>
      <c r="D18" s="12" t="str">
        <f ca="1">IEAData2!H14</f>
        <v>RESLPG</v>
      </c>
      <c r="E18" s="33">
        <f ca="1">IEAData2!G86*IEAData2!I57</f>
        <v>0</v>
      </c>
      <c r="F18" s="33">
        <f ca="1">AuxData2!G86*AuxData2!I57</f>
        <v>0</v>
      </c>
      <c r="G18" s="40">
        <v>0.95</v>
      </c>
      <c r="H18" s="343" t="str">
        <f t="shared" si="6"/>
        <v>LPG</v>
      </c>
      <c r="I18" s="81">
        <v>1</v>
      </c>
      <c r="J18" s="6">
        <f t="shared" si="7"/>
        <v>0.95</v>
      </c>
      <c r="K18" s="38">
        <f t="shared" ca="1" si="8"/>
        <v>0</v>
      </c>
      <c r="L18" s="19">
        <v>1</v>
      </c>
      <c r="M18" s="18">
        <v>1</v>
      </c>
      <c r="N18" s="18">
        <v>15</v>
      </c>
      <c r="O18" s="161">
        <f t="shared" ca="1" si="9"/>
        <v>0</v>
      </c>
      <c r="P18" s="104">
        <f t="shared" ca="1" si="10"/>
        <v>0</v>
      </c>
      <c r="Q18" s="104"/>
      <c r="R18" s="40">
        <v>0</v>
      </c>
      <c r="S18" s="40"/>
      <c r="T18" s="40"/>
      <c r="U18" s="40"/>
      <c r="V18" s="18"/>
      <c r="W18" s="258">
        <f t="shared" ca="1" si="11"/>
        <v>0</v>
      </c>
    </row>
    <row r="19" spans="1:23" ht="15" customHeight="1">
      <c r="B19" s="265" t="s">
        <v>311</v>
      </c>
      <c r="C19" s="37" t="s">
        <v>352</v>
      </c>
      <c r="D19" s="12" t="s">
        <v>838</v>
      </c>
      <c r="E19" s="64">
        <f ca="1">IEAData2!G88*IEAData2!I59</f>
        <v>0</v>
      </c>
      <c r="F19" s="64">
        <f ca="1">AuxData2!G88*AuxData2!I59</f>
        <v>0</v>
      </c>
      <c r="G19" s="69">
        <v>1</v>
      </c>
      <c r="H19" s="343" t="str">
        <f t="shared" si="6"/>
        <v>ELC</v>
      </c>
      <c r="I19" s="81">
        <v>1</v>
      </c>
      <c r="J19" s="6">
        <f t="shared" si="7"/>
        <v>1</v>
      </c>
      <c r="K19" s="38">
        <f t="shared" ca="1" si="8"/>
        <v>0</v>
      </c>
      <c r="L19" s="19">
        <v>1</v>
      </c>
      <c r="M19" s="81">
        <v>1</v>
      </c>
      <c r="N19" s="81">
        <v>15</v>
      </c>
      <c r="O19" s="161">
        <f t="shared" ca="1" si="9"/>
        <v>0</v>
      </c>
      <c r="P19" s="104">
        <f t="shared" ca="1" si="10"/>
        <v>0</v>
      </c>
      <c r="Q19" s="104"/>
      <c r="R19" s="53">
        <v>0</v>
      </c>
      <c r="S19" s="53"/>
      <c r="T19" s="53"/>
      <c r="U19" s="53"/>
      <c r="V19" s="81"/>
      <c r="W19" s="258">
        <f t="shared" ca="1" si="11"/>
        <v>0</v>
      </c>
    </row>
    <row r="20" spans="1:23" ht="15" customHeight="1">
      <c r="B20" s="265" t="s">
        <v>26</v>
      </c>
      <c r="C20" s="37" t="s">
        <v>353</v>
      </c>
      <c r="D20" s="12" t="str">
        <f ca="1">IEAData2!H15</f>
        <v>RESBIO</v>
      </c>
      <c r="E20" s="64">
        <f ca="1">IEAData2!G87*IEAData2!I58</f>
        <v>0</v>
      </c>
      <c r="F20" s="64">
        <f ca="1">AuxData2!G87*AuxData2!I58</f>
        <v>0</v>
      </c>
      <c r="G20" s="69">
        <v>0.7</v>
      </c>
      <c r="H20" s="343" t="str">
        <f t="shared" si="6"/>
        <v>BIO</v>
      </c>
      <c r="I20" s="81">
        <v>1</v>
      </c>
      <c r="J20" s="6">
        <f t="shared" si="7"/>
        <v>0.7</v>
      </c>
      <c r="K20" s="38">
        <f t="shared" ca="1" si="8"/>
        <v>0</v>
      </c>
      <c r="L20" s="19">
        <v>1</v>
      </c>
      <c r="M20" s="81">
        <v>1</v>
      </c>
      <c r="N20" s="81">
        <v>15</v>
      </c>
      <c r="O20" s="161">
        <f t="shared" ca="1" si="9"/>
        <v>0</v>
      </c>
      <c r="P20" s="104">
        <f t="shared" ca="1" si="10"/>
        <v>0</v>
      </c>
      <c r="Q20" s="104"/>
      <c r="R20" s="53">
        <v>0</v>
      </c>
      <c r="S20" s="53"/>
      <c r="T20" s="53"/>
      <c r="U20" s="53"/>
      <c r="V20" s="81"/>
      <c r="W20" s="258">
        <f t="shared" ca="1" si="11"/>
        <v>0</v>
      </c>
    </row>
    <row r="21" spans="1:23" ht="15" customHeight="1" thickBot="1">
      <c r="B21" s="272" t="s">
        <v>312</v>
      </c>
      <c r="C21" s="26" t="s">
        <v>354</v>
      </c>
      <c r="D21" s="24" t="str">
        <f ca="1">IEAData2!H19</f>
        <v>RESSOL</v>
      </c>
      <c r="E21" s="34">
        <f ca="1">IEAData2!G91*IEAData2!I62</f>
        <v>0</v>
      </c>
      <c r="F21" s="34">
        <f ca="1">AuxData2!G91*AuxData2!I62</f>
        <v>0</v>
      </c>
      <c r="G21" s="71">
        <v>1</v>
      </c>
      <c r="H21" s="343" t="str">
        <f t="shared" si="6"/>
        <v>SOL</v>
      </c>
      <c r="I21" s="81">
        <v>1</v>
      </c>
      <c r="J21" s="6">
        <f t="shared" si="7"/>
        <v>1</v>
      </c>
      <c r="K21" s="38">
        <f t="shared" ca="1" si="8"/>
        <v>0</v>
      </c>
      <c r="L21" s="73">
        <v>1</v>
      </c>
      <c r="M21" s="20">
        <v>1</v>
      </c>
      <c r="N21" s="20">
        <v>15</v>
      </c>
      <c r="O21" s="162">
        <f t="shared" ca="1" si="9"/>
        <v>0</v>
      </c>
      <c r="P21" s="104">
        <f t="shared" ca="1" si="10"/>
        <v>0</v>
      </c>
      <c r="Q21" s="117"/>
      <c r="R21" s="54">
        <v>0</v>
      </c>
      <c r="S21" s="54"/>
      <c r="T21" s="54"/>
      <c r="U21" s="54"/>
      <c r="V21" s="54"/>
      <c r="W21" s="258">
        <f t="shared" ca="1" si="11"/>
        <v>0</v>
      </c>
    </row>
    <row r="22" spans="1:23" ht="14.25">
      <c r="B22" s="434" t="s">
        <v>999</v>
      </c>
      <c r="C22" s="190" t="s">
        <v>1001</v>
      </c>
      <c r="D22" s="190"/>
      <c r="E22" s="191">
        <f ca="1">SUM(E15:E21)</f>
        <v>0</v>
      </c>
      <c r="F22" s="191">
        <f ca="1">SUM(F15:F21)</f>
        <v>0</v>
      </c>
      <c r="G22" s="191"/>
      <c r="H22" s="191">
        <f ca="1">SUMPRODUCT(E$15:E21,J$15:J21)</f>
        <v>0</v>
      </c>
      <c r="I22" s="190"/>
      <c r="J22" s="193"/>
      <c r="K22" s="191">
        <f ca="1">SUM(K15:K21)</f>
        <v>0</v>
      </c>
      <c r="L22" s="190"/>
      <c r="M22" s="190"/>
      <c r="N22" s="191"/>
      <c r="O22" s="192">
        <f ca="1">SUM(O15:O21)</f>
        <v>0</v>
      </c>
      <c r="P22" s="190"/>
      <c r="Q22" s="190"/>
      <c r="R22" s="192"/>
      <c r="S22" s="190"/>
      <c r="T22" s="190"/>
      <c r="U22" s="190"/>
      <c r="V22" s="190"/>
      <c r="W22" s="259">
        <f ca="1">SUM(W15:W21)</f>
        <v>0</v>
      </c>
    </row>
    <row r="23" spans="1:23">
      <c r="B23" s="123"/>
      <c r="C23" s="55"/>
      <c r="D23" s="55"/>
      <c r="E23" s="57"/>
      <c r="G23" s="57"/>
      <c r="H23" s="57"/>
      <c r="I23" s="55"/>
      <c r="J23" s="254"/>
      <c r="K23" s="57"/>
      <c r="L23" s="55"/>
      <c r="M23" s="55"/>
      <c r="N23" s="57"/>
      <c r="O23" s="161"/>
      <c r="P23" s="55"/>
      <c r="Q23" s="55"/>
      <c r="R23" s="161"/>
      <c r="S23" s="55"/>
      <c r="T23" s="55"/>
      <c r="U23" s="55"/>
      <c r="V23" s="55"/>
    </row>
    <row r="24" spans="1:23">
      <c r="B24" s="123"/>
      <c r="C24" s="55"/>
      <c r="D24" s="256"/>
      <c r="E24" s="57"/>
      <c r="G24" s="57"/>
      <c r="H24" s="57"/>
      <c r="I24" s="55"/>
      <c r="J24" s="254"/>
      <c r="K24" s="57"/>
      <c r="L24" s="55"/>
      <c r="M24" s="55"/>
      <c r="N24" s="57"/>
      <c r="O24" s="161"/>
      <c r="P24" s="55"/>
      <c r="Q24" s="55"/>
      <c r="R24" s="161"/>
      <c r="S24" s="55"/>
      <c r="T24" s="55"/>
      <c r="U24" s="55"/>
      <c r="V24" s="55"/>
    </row>
    <row r="25" spans="1:23">
      <c r="B25" s="123"/>
      <c r="C25" s="55"/>
      <c r="D25" s="55"/>
      <c r="E25" s="57"/>
      <c r="G25" s="57"/>
      <c r="H25" s="57"/>
      <c r="I25" s="55"/>
      <c r="J25" s="254"/>
      <c r="K25" s="57"/>
      <c r="L25" s="55"/>
      <c r="M25" s="55"/>
      <c r="N25" s="57"/>
      <c r="O25" s="161"/>
      <c r="P25" s="55"/>
      <c r="Q25" s="55"/>
      <c r="R25" s="161"/>
      <c r="S25" s="55"/>
      <c r="T25" s="55"/>
      <c r="U25" s="55"/>
      <c r="V25" s="55"/>
    </row>
    <row r="26" spans="1:23">
      <c r="B26" s="123"/>
      <c r="C26" s="55"/>
      <c r="D26" s="55"/>
      <c r="E26" s="57"/>
      <c r="G26" s="57"/>
      <c r="H26" s="57"/>
      <c r="I26" s="55"/>
      <c r="J26" s="254"/>
      <c r="K26" s="57"/>
      <c r="L26" s="55"/>
      <c r="M26" s="55"/>
      <c r="N26" s="57"/>
      <c r="O26" s="161"/>
      <c r="P26" s="55"/>
      <c r="Q26" s="55"/>
      <c r="R26" s="161"/>
      <c r="S26" s="55"/>
      <c r="T26" s="55"/>
      <c r="U26" s="55"/>
      <c r="V26" s="55"/>
    </row>
    <row r="27" spans="1:23">
      <c r="B27" s="123"/>
      <c r="C27" s="55"/>
      <c r="D27" s="256"/>
      <c r="E27" s="57"/>
      <c r="F27" s="57"/>
      <c r="G27" s="55"/>
      <c r="H27" s="55"/>
      <c r="I27" s="57"/>
      <c r="K27" s="161"/>
      <c r="L27" s="55"/>
      <c r="M27" s="55"/>
      <c r="R27" s="161"/>
      <c r="S27" s="55"/>
      <c r="T27" s="55"/>
      <c r="U27" s="55"/>
      <c r="V27" s="55"/>
    </row>
    <row r="28" spans="1:23" ht="18">
      <c r="B28" s="155" t="s">
        <v>592</v>
      </c>
      <c r="C28" s="156"/>
      <c r="D28" s="252"/>
    </row>
    <row r="29" spans="1:23" ht="13.5" thickBot="1">
      <c r="B29" s="27" t="s">
        <v>384</v>
      </c>
      <c r="C29" s="27" t="s">
        <v>385</v>
      </c>
      <c r="D29" s="27" t="s">
        <v>243</v>
      </c>
      <c r="E29" s="344" t="s">
        <v>942</v>
      </c>
      <c r="F29" s="344" t="s">
        <v>942</v>
      </c>
      <c r="G29" s="27"/>
    </row>
    <row r="30" spans="1:23" ht="17.25" customHeight="1">
      <c r="A30" s="7"/>
      <c r="B30" s="80" t="s">
        <v>303</v>
      </c>
      <c r="C30" s="28" t="str">
        <f ca="1">CONCATENATE("Residential Cooking - ",IEAData2!B49)</f>
        <v>Residential Cooking - Region1</v>
      </c>
      <c r="D30" s="95" t="s">
        <v>249</v>
      </c>
      <c r="E30" s="63">
        <f ca="1">H14</f>
        <v>0.56933456427138474</v>
      </c>
      <c r="F30" s="63">
        <f ca="1">SUMPRODUCT(F7:F13,J7:J13)</f>
        <v>0.55188788587232929</v>
      </c>
      <c r="G30" s="18"/>
      <c r="T30" s="133"/>
    </row>
    <row r="31" spans="1:23" ht="18" customHeight="1">
      <c r="B31" s="80" t="s">
        <v>308</v>
      </c>
      <c r="C31" s="28" t="str">
        <f ca="1">CONCATENATE("Residential Cooking - ",IEAData2!C49)</f>
        <v>Residential Cooking - Region2</v>
      </c>
      <c r="D31" s="95" t="s">
        <v>249</v>
      </c>
      <c r="E31" s="63">
        <f ca="1">H22</f>
        <v>0</v>
      </c>
      <c r="F31" s="63">
        <f ca="1">SUMPRODUCT(F15:F21,J15:J21)</f>
        <v>0</v>
      </c>
      <c r="G31" s="18"/>
    </row>
    <row r="34" spans="3:217" ht="30.6" customHeight="1"/>
    <row r="43" spans="3:217">
      <c r="C43" s="120"/>
      <c r="D43" s="123"/>
      <c r="F43" s="120"/>
      <c r="G43" s="123"/>
      <c r="H43" s="120"/>
      <c r="I43" s="120"/>
      <c r="J43" s="120"/>
      <c r="K43" s="120"/>
      <c r="L43" s="120"/>
      <c r="M43" s="120"/>
      <c r="N43" s="120"/>
      <c r="O43" s="120"/>
      <c r="P43" s="120"/>
      <c r="Q43" s="120"/>
      <c r="R43" s="120"/>
      <c r="S43" s="120"/>
      <c r="T43" s="120"/>
      <c r="U43" s="120"/>
      <c r="V43" s="120"/>
      <c r="W43" s="120"/>
      <c r="X43" s="120"/>
      <c r="Y43" s="120"/>
      <c r="Z43" s="120"/>
      <c r="AA43" s="120"/>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c r="HI43" s="55"/>
    </row>
    <row r="44" spans="3:217">
      <c r="C44" s="120"/>
      <c r="D44" s="120"/>
      <c r="E44" s="127"/>
      <c r="F44" s="123"/>
      <c r="G44" s="123"/>
      <c r="H44" s="123"/>
      <c r="I44" s="120"/>
      <c r="J44" s="120"/>
      <c r="K44" s="120"/>
      <c r="L44" s="120"/>
      <c r="M44" s="120"/>
      <c r="N44" s="120"/>
      <c r="O44" s="123"/>
      <c r="P44" s="123"/>
      <c r="Q44" s="123"/>
      <c r="R44" s="123"/>
      <c r="S44" s="123"/>
      <c r="T44" s="120"/>
      <c r="U44" s="123"/>
      <c r="V44" s="120"/>
      <c r="W44" s="120"/>
      <c r="X44" s="120"/>
      <c r="Y44" s="120"/>
      <c r="Z44" s="120"/>
      <c r="AA44" s="120"/>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c r="HI44" s="55"/>
    </row>
    <row r="45" spans="3:217">
      <c r="C45" s="120"/>
      <c r="D45" s="120"/>
      <c r="E45" s="127"/>
      <c r="F45" s="123"/>
      <c r="G45" s="123"/>
      <c r="H45" s="123"/>
      <c r="I45" s="120"/>
      <c r="J45" s="120"/>
      <c r="K45" s="120"/>
      <c r="L45" s="120"/>
      <c r="M45" s="120"/>
      <c r="N45" s="120"/>
      <c r="O45" s="123"/>
      <c r="P45" s="123"/>
      <c r="Q45" s="123"/>
      <c r="R45" s="123"/>
      <c r="S45" s="123"/>
      <c r="T45" s="120"/>
      <c r="U45" s="123"/>
      <c r="V45" s="120"/>
      <c r="W45" s="120"/>
      <c r="X45" s="120"/>
      <c r="Y45" s="120"/>
      <c r="Z45" s="120"/>
      <c r="AA45" s="120"/>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c r="HI45" s="55"/>
    </row>
    <row r="46" spans="3:217">
      <c r="C46" s="120"/>
      <c r="D46" s="120"/>
      <c r="E46" s="127"/>
      <c r="F46" s="123"/>
      <c r="G46" s="120"/>
      <c r="H46" s="123"/>
      <c r="I46" s="120"/>
      <c r="J46" s="120"/>
      <c r="K46" s="120"/>
      <c r="L46" s="120"/>
      <c r="M46" s="120"/>
      <c r="N46" s="120"/>
      <c r="O46" s="123"/>
      <c r="P46" s="123"/>
      <c r="Q46" s="123"/>
      <c r="R46" s="123"/>
      <c r="S46" s="123"/>
      <c r="T46" s="120"/>
      <c r="U46" s="123"/>
      <c r="V46" s="120"/>
      <c r="W46" s="120"/>
      <c r="X46" s="120"/>
      <c r="Y46" s="120"/>
      <c r="Z46" s="120"/>
      <c r="AA46" s="120"/>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c r="HI46" s="55"/>
    </row>
    <row r="47" spans="3:217">
      <c r="C47" s="120"/>
      <c r="D47" s="120"/>
      <c r="E47" s="127"/>
      <c r="F47" s="123"/>
      <c r="G47" s="123"/>
      <c r="H47" s="120"/>
      <c r="I47" s="120"/>
      <c r="J47" s="120"/>
      <c r="K47" s="120"/>
      <c r="L47" s="120"/>
      <c r="M47" s="120"/>
      <c r="N47" s="120"/>
      <c r="O47" s="120"/>
      <c r="P47" s="120"/>
      <c r="Q47" s="120"/>
      <c r="R47" s="120"/>
      <c r="S47" s="120"/>
      <c r="T47" s="120"/>
      <c r="U47" s="120"/>
      <c r="V47" s="120"/>
      <c r="W47" s="120"/>
      <c r="X47" s="120"/>
      <c r="Y47" s="120"/>
      <c r="Z47" s="120"/>
      <c r="AA47" s="120"/>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row>
    <row r="48" spans="3:217">
      <c r="C48" s="120"/>
      <c r="D48" s="123"/>
      <c r="E48" s="127"/>
      <c r="F48" s="123"/>
      <c r="G48" s="120"/>
      <c r="H48" s="123"/>
      <c r="I48" s="120"/>
      <c r="J48" s="120"/>
      <c r="K48" s="120"/>
      <c r="L48" s="120"/>
      <c r="M48" s="120"/>
      <c r="N48" s="120"/>
      <c r="O48" s="123"/>
      <c r="P48" s="123"/>
      <c r="Q48" s="123"/>
      <c r="R48" s="123"/>
      <c r="S48" s="123"/>
      <c r="T48" s="120"/>
      <c r="U48" s="123"/>
      <c r="V48" s="120"/>
      <c r="W48" s="120"/>
      <c r="X48" s="120"/>
      <c r="Y48" s="120"/>
      <c r="Z48" s="120"/>
      <c r="AA48" s="120"/>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row>
    <row r="49" spans="3:217">
      <c r="C49" s="120"/>
      <c r="D49" s="123"/>
      <c r="E49" s="127"/>
      <c r="F49" s="123"/>
      <c r="G49" s="123"/>
      <c r="H49" s="120"/>
      <c r="I49" s="120"/>
      <c r="J49" s="120"/>
      <c r="K49" s="120"/>
      <c r="L49" s="120"/>
      <c r="M49" s="120"/>
      <c r="N49" s="120"/>
      <c r="O49" s="120"/>
      <c r="P49" s="120"/>
      <c r="Q49" s="120"/>
      <c r="R49" s="120"/>
      <c r="S49" s="120"/>
      <c r="T49" s="120"/>
      <c r="U49" s="120"/>
      <c r="V49" s="120"/>
      <c r="W49" s="120"/>
      <c r="X49" s="120"/>
      <c r="Y49" s="120"/>
      <c r="Z49" s="120"/>
      <c r="AA49" s="120"/>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c r="HI49" s="55"/>
    </row>
    <row r="50" spans="3:217">
      <c r="C50" s="120"/>
      <c r="D50" s="123"/>
      <c r="E50" s="127"/>
      <c r="F50" s="123"/>
      <c r="G50" s="123"/>
      <c r="H50" s="120"/>
      <c r="I50" s="120"/>
      <c r="J50" s="120"/>
      <c r="K50" s="120"/>
      <c r="L50" s="120"/>
      <c r="M50" s="120"/>
      <c r="N50" s="120"/>
      <c r="O50" s="120"/>
      <c r="P50" s="120"/>
      <c r="Q50" s="120"/>
      <c r="R50" s="120"/>
      <c r="S50" s="120"/>
      <c r="T50" s="120"/>
      <c r="U50" s="120"/>
      <c r="V50" s="120"/>
      <c r="W50" s="120"/>
      <c r="X50" s="120"/>
      <c r="Y50" s="120"/>
      <c r="Z50" s="120"/>
      <c r="AA50" s="120"/>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c r="HI50" s="55"/>
    </row>
    <row r="51" spans="3:217">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c r="HI51" s="55"/>
    </row>
    <row r="52" spans="3:217">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c r="HI52" s="55"/>
    </row>
    <row r="53" spans="3:217">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c r="HI53" s="55"/>
    </row>
    <row r="54" spans="3:217">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c r="HI54" s="55"/>
    </row>
    <row r="55" spans="3:217">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c r="HI55" s="55"/>
    </row>
    <row r="56" spans="3:217">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c r="HI56" s="55"/>
    </row>
    <row r="57" spans="3:217">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c r="HI57" s="55"/>
    </row>
    <row r="58" spans="3:217">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c r="HI58" s="55"/>
    </row>
    <row r="59" spans="3:217">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c r="HI59" s="55"/>
    </row>
    <row r="60" spans="3:217">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c r="HI60" s="55"/>
    </row>
    <row r="61" spans="3:217">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c r="HI61" s="55"/>
    </row>
    <row r="62" spans="3:217">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c r="HI62" s="55"/>
    </row>
    <row r="63" spans="3:217">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c r="HI63" s="55"/>
    </row>
    <row r="64" spans="3:217">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c r="FL64" s="55"/>
      <c r="FM64" s="55"/>
      <c r="FN64" s="55"/>
      <c r="FO64" s="55"/>
      <c r="FP64" s="55"/>
      <c r="FQ64" s="55"/>
      <c r="FR64" s="55"/>
      <c r="FS64" s="55"/>
      <c r="FT64" s="55"/>
      <c r="FU64" s="55"/>
      <c r="FV64" s="55"/>
      <c r="FW64" s="55"/>
      <c r="FX64" s="55"/>
      <c r="FY64" s="55"/>
      <c r="FZ64" s="55"/>
      <c r="GA64" s="55"/>
      <c r="GB64" s="55"/>
      <c r="GC64" s="55"/>
      <c r="GD64" s="55"/>
      <c r="GE64" s="55"/>
      <c r="GF64" s="55"/>
      <c r="GG64" s="55"/>
      <c r="GH64" s="55"/>
      <c r="GI64" s="55"/>
      <c r="GJ64" s="55"/>
      <c r="GK64" s="55"/>
      <c r="GL64" s="55"/>
      <c r="GM64" s="55"/>
      <c r="GN64" s="55"/>
      <c r="GO64" s="55"/>
      <c r="GP64" s="55"/>
      <c r="GQ64" s="55"/>
      <c r="GR64" s="55"/>
      <c r="GS64" s="55"/>
      <c r="GT64" s="55"/>
      <c r="GU64" s="55"/>
      <c r="GV64" s="55"/>
      <c r="GW64" s="55"/>
      <c r="GX64" s="55"/>
      <c r="GY64" s="55"/>
      <c r="GZ64" s="55"/>
      <c r="HA64" s="55"/>
      <c r="HB64" s="55"/>
      <c r="HC64" s="55"/>
      <c r="HD64" s="55"/>
      <c r="HE64" s="55"/>
      <c r="HF64" s="55"/>
      <c r="HG64" s="55"/>
      <c r="HH64" s="55"/>
      <c r="HI64" s="55"/>
    </row>
    <row r="65" spans="3:217">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c r="FL65" s="55"/>
      <c r="FM65" s="55"/>
      <c r="FN65" s="55"/>
      <c r="FO65" s="55"/>
      <c r="FP65" s="55"/>
      <c r="FQ65" s="55"/>
      <c r="FR65" s="55"/>
      <c r="FS65" s="55"/>
      <c r="FT65" s="55"/>
      <c r="FU65" s="55"/>
      <c r="FV65" s="55"/>
      <c r="FW65" s="55"/>
      <c r="FX65" s="55"/>
      <c r="FY65" s="55"/>
      <c r="FZ65" s="55"/>
      <c r="GA65" s="55"/>
      <c r="GB65" s="55"/>
      <c r="GC65" s="55"/>
      <c r="GD65" s="55"/>
      <c r="GE65" s="55"/>
      <c r="GF65" s="55"/>
      <c r="GG65" s="55"/>
      <c r="GH65" s="55"/>
      <c r="GI65" s="55"/>
      <c r="GJ65" s="55"/>
      <c r="GK65" s="55"/>
      <c r="GL65" s="55"/>
      <c r="GM65" s="55"/>
      <c r="GN65" s="55"/>
      <c r="GO65" s="55"/>
      <c r="GP65" s="55"/>
      <c r="GQ65" s="55"/>
      <c r="GR65" s="55"/>
      <c r="GS65" s="55"/>
      <c r="GT65" s="55"/>
      <c r="GU65" s="55"/>
      <c r="GV65" s="55"/>
      <c r="GW65" s="55"/>
      <c r="GX65" s="55"/>
      <c r="GY65" s="55"/>
      <c r="GZ65" s="55"/>
      <c r="HA65" s="55"/>
      <c r="HB65" s="55"/>
      <c r="HC65" s="55"/>
      <c r="HD65" s="55"/>
      <c r="HE65" s="55"/>
      <c r="HF65" s="55"/>
      <c r="HG65" s="55"/>
      <c r="HH65" s="55"/>
      <c r="HI65" s="55"/>
    </row>
    <row r="66" spans="3:217">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c r="FL66" s="55"/>
      <c r="FM66" s="55"/>
      <c r="FN66" s="55"/>
      <c r="FO66" s="55"/>
      <c r="FP66" s="55"/>
      <c r="FQ66" s="55"/>
      <c r="FR66" s="55"/>
      <c r="FS66" s="55"/>
      <c r="FT66" s="55"/>
      <c r="FU66" s="55"/>
      <c r="FV66" s="55"/>
      <c r="FW66" s="55"/>
      <c r="FX66" s="55"/>
      <c r="FY66" s="55"/>
      <c r="FZ66" s="55"/>
      <c r="GA66" s="55"/>
      <c r="GB66" s="55"/>
      <c r="GC66" s="55"/>
      <c r="GD66" s="55"/>
      <c r="GE66" s="55"/>
      <c r="GF66" s="55"/>
      <c r="GG66" s="55"/>
      <c r="GH66" s="55"/>
      <c r="GI66" s="55"/>
      <c r="GJ66" s="55"/>
      <c r="GK66" s="55"/>
      <c r="GL66" s="55"/>
      <c r="GM66" s="55"/>
      <c r="GN66" s="55"/>
      <c r="GO66" s="55"/>
      <c r="GP66" s="55"/>
      <c r="GQ66" s="55"/>
      <c r="GR66" s="55"/>
      <c r="GS66" s="55"/>
      <c r="GT66" s="55"/>
      <c r="GU66" s="55"/>
      <c r="GV66" s="55"/>
      <c r="GW66" s="55"/>
      <c r="GX66" s="55"/>
      <c r="GY66" s="55"/>
      <c r="GZ66" s="55"/>
      <c r="HA66" s="55"/>
      <c r="HB66" s="55"/>
      <c r="HC66" s="55"/>
      <c r="HD66" s="55"/>
      <c r="HE66" s="55"/>
      <c r="HF66" s="55"/>
      <c r="HG66" s="55"/>
      <c r="HH66" s="55"/>
      <c r="HI66" s="55"/>
    </row>
    <row r="67" spans="3:217">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c r="FL67" s="55"/>
      <c r="FM67" s="55"/>
      <c r="FN67" s="55"/>
      <c r="FO67" s="55"/>
      <c r="FP67" s="55"/>
      <c r="FQ67" s="55"/>
      <c r="FR67" s="55"/>
      <c r="FS67" s="55"/>
      <c r="FT67" s="55"/>
      <c r="FU67" s="55"/>
      <c r="FV67" s="55"/>
      <c r="FW67" s="55"/>
      <c r="FX67" s="55"/>
      <c r="FY67" s="55"/>
      <c r="FZ67" s="55"/>
      <c r="GA67" s="55"/>
      <c r="GB67" s="55"/>
      <c r="GC67" s="55"/>
      <c r="GD67" s="55"/>
      <c r="GE67" s="55"/>
      <c r="GF67" s="55"/>
      <c r="GG67" s="55"/>
      <c r="GH67" s="55"/>
      <c r="GI67" s="55"/>
      <c r="GJ67" s="55"/>
      <c r="GK67" s="55"/>
      <c r="GL67" s="55"/>
      <c r="GM67" s="55"/>
      <c r="GN67" s="55"/>
      <c r="GO67" s="55"/>
      <c r="GP67" s="55"/>
      <c r="GQ67" s="55"/>
      <c r="GR67" s="55"/>
      <c r="GS67" s="55"/>
      <c r="GT67" s="55"/>
      <c r="GU67" s="55"/>
      <c r="GV67" s="55"/>
      <c r="GW67" s="55"/>
      <c r="GX67" s="55"/>
      <c r="GY67" s="55"/>
      <c r="GZ67" s="55"/>
      <c r="HA67" s="55"/>
      <c r="HB67" s="55"/>
      <c r="HC67" s="55"/>
      <c r="HD67" s="55"/>
      <c r="HE67" s="55"/>
      <c r="HF67" s="55"/>
      <c r="HG67" s="55"/>
      <c r="HH67" s="55"/>
      <c r="HI67" s="55"/>
    </row>
    <row r="68" spans="3:217">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c r="FL68" s="55"/>
      <c r="FM68" s="55"/>
      <c r="FN68" s="55"/>
      <c r="FO68" s="55"/>
      <c r="FP68" s="55"/>
      <c r="FQ68" s="55"/>
      <c r="FR68" s="55"/>
      <c r="FS68" s="55"/>
      <c r="FT68" s="55"/>
      <c r="FU68" s="55"/>
      <c r="FV68" s="55"/>
      <c r="FW68" s="55"/>
      <c r="FX68" s="55"/>
      <c r="FY68" s="55"/>
      <c r="FZ68" s="55"/>
      <c r="GA68" s="55"/>
      <c r="GB68" s="55"/>
      <c r="GC68" s="55"/>
      <c r="GD68" s="55"/>
      <c r="GE68" s="55"/>
      <c r="GF68" s="55"/>
      <c r="GG68" s="55"/>
      <c r="GH68" s="55"/>
      <c r="GI68" s="55"/>
      <c r="GJ68" s="55"/>
      <c r="GK68" s="55"/>
      <c r="GL68" s="55"/>
      <c r="GM68" s="55"/>
      <c r="GN68" s="55"/>
      <c r="GO68" s="55"/>
      <c r="GP68" s="55"/>
      <c r="GQ68" s="55"/>
      <c r="GR68" s="55"/>
      <c r="GS68" s="55"/>
      <c r="GT68" s="55"/>
      <c r="GU68" s="55"/>
      <c r="GV68" s="55"/>
      <c r="GW68" s="55"/>
      <c r="GX68" s="55"/>
      <c r="GY68" s="55"/>
      <c r="GZ68" s="55"/>
      <c r="HA68" s="55"/>
      <c r="HB68" s="55"/>
      <c r="HC68" s="55"/>
      <c r="HD68" s="55"/>
      <c r="HE68" s="55"/>
      <c r="HF68" s="55"/>
      <c r="HG68" s="55"/>
      <c r="HH68" s="55"/>
      <c r="HI68" s="55"/>
    </row>
    <row r="69" spans="3:217">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c r="FL69" s="55"/>
      <c r="FM69" s="55"/>
      <c r="FN69" s="55"/>
      <c r="FO69" s="55"/>
      <c r="FP69" s="55"/>
      <c r="FQ69" s="55"/>
      <c r="FR69" s="55"/>
      <c r="FS69" s="55"/>
      <c r="FT69" s="55"/>
      <c r="FU69" s="55"/>
      <c r="FV69" s="55"/>
      <c r="FW69" s="55"/>
      <c r="FX69" s="55"/>
      <c r="FY69" s="55"/>
      <c r="FZ69" s="55"/>
      <c r="GA69" s="55"/>
      <c r="GB69" s="55"/>
      <c r="GC69" s="55"/>
      <c r="GD69" s="55"/>
      <c r="GE69" s="55"/>
      <c r="GF69" s="55"/>
      <c r="GG69" s="55"/>
      <c r="GH69" s="55"/>
      <c r="GI69" s="55"/>
      <c r="GJ69" s="55"/>
      <c r="GK69" s="55"/>
      <c r="GL69" s="55"/>
      <c r="GM69" s="55"/>
      <c r="GN69" s="55"/>
      <c r="GO69" s="55"/>
      <c r="GP69" s="55"/>
      <c r="GQ69" s="55"/>
      <c r="GR69" s="55"/>
      <c r="GS69" s="55"/>
      <c r="GT69" s="55"/>
      <c r="GU69" s="55"/>
      <c r="GV69" s="55"/>
      <c r="GW69" s="55"/>
      <c r="GX69" s="55"/>
      <c r="GY69" s="55"/>
      <c r="GZ69" s="55"/>
      <c r="HA69" s="55"/>
      <c r="HB69" s="55"/>
      <c r="HC69" s="55"/>
      <c r="HD69" s="55"/>
      <c r="HE69" s="55"/>
      <c r="HF69" s="55"/>
      <c r="HG69" s="55"/>
      <c r="HH69" s="55"/>
      <c r="HI69" s="55"/>
    </row>
    <row r="70" spans="3:217">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c r="FL70" s="55"/>
      <c r="FM70" s="55"/>
      <c r="FN70" s="55"/>
      <c r="FO70" s="55"/>
      <c r="FP70" s="55"/>
      <c r="FQ70" s="55"/>
      <c r="FR70" s="55"/>
      <c r="FS70" s="55"/>
      <c r="FT70" s="55"/>
      <c r="FU70" s="55"/>
      <c r="FV70" s="55"/>
      <c r="FW70" s="55"/>
      <c r="FX70" s="55"/>
      <c r="FY70" s="55"/>
      <c r="FZ70" s="55"/>
      <c r="GA70" s="55"/>
      <c r="GB70" s="55"/>
      <c r="GC70" s="55"/>
      <c r="GD70" s="55"/>
      <c r="GE70" s="55"/>
      <c r="GF70" s="55"/>
      <c r="GG70" s="55"/>
      <c r="GH70" s="55"/>
      <c r="GI70" s="55"/>
      <c r="GJ70" s="55"/>
      <c r="GK70" s="55"/>
      <c r="GL70" s="55"/>
      <c r="GM70" s="55"/>
      <c r="GN70" s="55"/>
      <c r="GO70" s="55"/>
      <c r="GP70" s="55"/>
      <c r="GQ70" s="55"/>
      <c r="GR70" s="55"/>
      <c r="GS70" s="55"/>
      <c r="GT70" s="55"/>
      <c r="GU70" s="55"/>
      <c r="GV70" s="55"/>
      <c r="GW70" s="55"/>
      <c r="GX70" s="55"/>
      <c r="GY70" s="55"/>
      <c r="GZ70" s="55"/>
      <c r="HA70" s="55"/>
      <c r="HB70" s="55"/>
      <c r="HC70" s="55"/>
      <c r="HD70" s="55"/>
      <c r="HE70" s="55"/>
      <c r="HF70" s="55"/>
      <c r="HG70" s="55"/>
      <c r="HH70" s="55"/>
      <c r="HI70" s="55"/>
    </row>
    <row r="71" spans="3:217">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c r="FL71" s="55"/>
      <c r="FM71" s="55"/>
      <c r="FN71" s="55"/>
      <c r="FO71" s="55"/>
      <c r="FP71" s="55"/>
      <c r="FQ71" s="55"/>
      <c r="FR71" s="55"/>
      <c r="FS71" s="55"/>
      <c r="FT71" s="55"/>
      <c r="FU71" s="55"/>
      <c r="FV71" s="55"/>
      <c r="FW71" s="55"/>
      <c r="FX71" s="55"/>
      <c r="FY71" s="55"/>
      <c r="FZ71" s="55"/>
      <c r="GA71" s="55"/>
      <c r="GB71" s="55"/>
      <c r="GC71" s="55"/>
      <c r="GD71" s="55"/>
      <c r="GE71" s="55"/>
      <c r="GF71" s="55"/>
      <c r="GG71" s="55"/>
      <c r="GH71" s="55"/>
      <c r="GI71" s="55"/>
      <c r="GJ71" s="55"/>
      <c r="GK71" s="55"/>
      <c r="GL71" s="55"/>
      <c r="GM71" s="55"/>
      <c r="GN71" s="55"/>
      <c r="GO71" s="55"/>
      <c r="GP71" s="55"/>
      <c r="GQ71" s="55"/>
      <c r="GR71" s="55"/>
      <c r="GS71" s="55"/>
      <c r="GT71" s="55"/>
      <c r="GU71" s="55"/>
      <c r="GV71" s="55"/>
      <c r="GW71" s="55"/>
      <c r="GX71" s="55"/>
      <c r="GY71" s="55"/>
      <c r="GZ71" s="55"/>
      <c r="HA71" s="55"/>
      <c r="HB71" s="55"/>
      <c r="HC71" s="55"/>
      <c r="HD71" s="55"/>
      <c r="HE71" s="55"/>
      <c r="HF71" s="55"/>
      <c r="HG71" s="55"/>
      <c r="HH71" s="55"/>
      <c r="HI71" s="55"/>
    </row>
    <row r="72" spans="3:217">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c r="FV72" s="55"/>
      <c r="FW72" s="55"/>
      <c r="FX72" s="55"/>
      <c r="FY72" s="55"/>
      <c r="FZ72" s="55"/>
      <c r="GA72" s="55"/>
      <c r="GB72" s="55"/>
      <c r="GC72" s="55"/>
      <c r="GD72" s="55"/>
      <c r="GE72" s="55"/>
      <c r="GF72" s="55"/>
      <c r="GG72" s="55"/>
      <c r="GH72" s="55"/>
      <c r="GI72" s="55"/>
      <c r="GJ72" s="55"/>
      <c r="GK72" s="55"/>
      <c r="GL72" s="55"/>
      <c r="GM72" s="55"/>
      <c r="GN72" s="55"/>
      <c r="GO72" s="55"/>
      <c r="GP72" s="55"/>
      <c r="GQ72" s="55"/>
      <c r="GR72" s="55"/>
      <c r="GS72" s="55"/>
      <c r="GT72" s="55"/>
      <c r="GU72" s="55"/>
      <c r="GV72" s="55"/>
      <c r="GW72" s="55"/>
      <c r="GX72" s="55"/>
      <c r="GY72" s="55"/>
      <c r="GZ72" s="55"/>
      <c r="HA72" s="55"/>
      <c r="HB72" s="55"/>
      <c r="HC72" s="55"/>
      <c r="HD72" s="55"/>
      <c r="HE72" s="55"/>
      <c r="HF72" s="55"/>
      <c r="HG72" s="55"/>
      <c r="HH72" s="55"/>
      <c r="HI72" s="55"/>
    </row>
    <row r="73" spans="3:217">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c r="FV73" s="55"/>
      <c r="FW73" s="55"/>
      <c r="FX73" s="55"/>
      <c r="FY73" s="55"/>
      <c r="FZ73" s="55"/>
      <c r="GA73" s="55"/>
      <c r="GB73" s="55"/>
      <c r="GC73" s="55"/>
      <c r="GD73" s="55"/>
      <c r="GE73" s="55"/>
      <c r="GF73" s="55"/>
      <c r="GG73" s="55"/>
      <c r="GH73" s="55"/>
      <c r="GI73" s="55"/>
      <c r="GJ73" s="55"/>
      <c r="GK73" s="55"/>
      <c r="GL73" s="55"/>
      <c r="GM73" s="55"/>
      <c r="GN73" s="55"/>
      <c r="GO73" s="55"/>
      <c r="GP73" s="55"/>
      <c r="GQ73" s="55"/>
      <c r="GR73" s="55"/>
      <c r="GS73" s="55"/>
      <c r="GT73" s="55"/>
      <c r="GU73" s="55"/>
      <c r="GV73" s="55"/>
      <c r="GW73" s="55"/>
      <c r="GX73" s="55"/>
      <c r="GY73" s="55"/>
      <c r="GZ73" s="55"/>
      <c r="HA73" s="55"/>
      <c r="HB73" s="55"/>
      <c r="HC73" s="55"/>
      <c r="HD73" s="55"/>
      <c r="HE73" s="55"/>
      <c r="HF73" s="55"/>
      <c r="HG73" s="55"/>
      <c r="HH73" s="55"/>
      <c r="HI73" s="55"/>
    </row>
    <row r="74" spans="3:217">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c r="FL74" s="55"/>
      <c r="FM74" s="55"/>
      <c r="FN74" s="55"/>
      <c r="FO74" s="55"/>
      <c r="FP74" s="55"/>
      <c r="FQ74" s="55"/>
      <c r="FR74" s="55"/>
      <c r="FS74" s="55"/>
      <c r="FT74" s="55"/>
      <c r="FU74" s="55"/>
      <c r="FV74" s="55"/>
      <c r="FW74" s="55"/>
      <c r="FX74" s="55"/>
      <c r="FY74" s="55"/>
      <c r="FZ74" s="55"/>
      <c r="GA74" s="55"/>
      <c r="GB74" s="55"/>
      <c r="GC74" s="55"/>
      <c r="GD74" s="55"/>
      <c r="GE74" s="55"/>
      <c r="GF74" s="55"/>
      <c r="GG74" s="55"/>
      <c r="GH74" s="55"/>
      <c r="GI74" s="55"/>
      <c r="GJ74" s="55"/>
      <c r="GK74" s="55"/>
      <c r="GL74" s="55"/>
      <c r="GM74" s="55"/>
      <c r="GN74" s="55"/>
      <c r="GO74" s="55"/>
      <c r="GP74" s="55"/>
      <c r="GQ74" s="55"/>
      <c r="GR74" s="55"/>
      <c r="GS74" s="55"/>
      <c r="GT74" s="55"/>
      <c r="GU74" s="55"/>
      <c r="GV74" s="55"/>
      <c r="GW74" s="55"/>
      <c r="GX74" s="55"/>
      <c r="GY74" s="55"/>
      <c r="GZ74" s="55"/>
      <c r="HA74" s="55"/>
      <c r="HB74" s="55"/>
      <c r="HC74" s="55"/>
      <c r="HD74" s="55"/>
      <c r="HE74" s="55"/>
      <c r="HF74" s="55"/>
      <c r="HG74" s="55"/>
      <c r="HH74" s="55"/>
      <c r="HI74" s="55"/>
    </row>
    <row r="75" spans="3:217">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c r="FV75" s="55"/>
      <c r="FW75" s="55"/>
      <c r="FX75" s="55"/>
      <c r="FY75" s="55"/>
      <c r="FZ75" s="55"/>
      <c r="GA75" s="55"/>
      <c r="GB75" s="55"/>
      <c r="GC75" s="55"/>
      <c r="GD75" s="55"/>
      <c r="GE75" s="55"/>
      <c r="GF75" s="55"/>
      <c r="GG75" s="55"/>
      <c r="GH75" s="55"/>
      <c r="GI75" s="55"/>
      <c r="GJ75" s="55"/>
      <c r="GK75" s="55"/>
      <c r="GL75" s="55"/>
      <c r="GM75" s="55"/>
      <c r="GN75" s="55"/>
      <c r="GO75" s="55"/>
      <c r="GP75" s="55"/>
      <c r="GQ75" s="55"/>
      <c r="GR75" s="55"/>
      <c r="GS75" s="55"/>
      <c r="GT75" s="55"/>
      <c r="GU75" s="55"/>
      <c r="GV75" s="55"/>
      <c r="GW75" s="55"/>
      <c r="GX75" s="55"/>
      <c r="GY75" s="55"/>
      <c r="GZ75" s="55"/>
      <c r="HA75" s="55"/>
      <c r="HB75" s="55"/>
      <c r="HC75" s="55"/>
      <c r="HD75" s="55"/>
      <c r="HE75" s="55"/>
      <c r="HF75" s="55"/>
      <c r="HG75" s="55"/>
      <c r="HH75" s="55"/>
      <c r="HI75" s="55"/>
    </row>
    <row r="76" spans="3:217">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c r="FL76" s="55"/>
      <c r="FM76" s="55"/>
      <c r="FN76" s="55"/>
      <c r="FO76" s="55"/>
      <c r="FP76" s="55"/>
      <c r="FQ76" s="55"/>
      <c r="FR76" s="55"/>
      <c r="FS76" s="55"/>
      <c r="FT76" s="55"/>
      <c r="FU76" s="55"/>
      <c r="FV76" s="55"/>
      <c r="FW76" s="55"/>
      <c r="FX76" s="55"/>
      <c r="FY76" s="55"/>
      <c r="FZ76" s="55"/>
      <c r="GA76" s="55"/>
      <c r="GB76" s="55"/>
      <c r="GC76" s="55"/>
      <c r="GD76" s="55"/>
      <c r="GE76" s="55"/>
      <c r="GF76" s="55"/>
      <c r="GG76" s="55"/>
      <c r="GH76" s="55"/>
      <c r="GI76" s="55"/>
      <c r="GJ76" s="55"/>
      <c r="GK76" s="55"/>
      <c r="GL76" s="55"/>
      <c r="GM76" s="55"/>
      <c r="GN76" s="55"/>
      <c r="GO76" s="55"/>
      <c r="GP76" s="55"/>
      <c r="GQ76" s="55"/>
      <c r="GR76" s="55"/>
      <c r="GS76" s="55"/>
      <c r="GT76" s="55"/>
      <c r="GU76" s="55"/>
      <c r="GV76" s="55"/>
      <c r="GW76" s="55"/>
      <c r="GX76" s="55"/>
      <c r="GY76" s="55"/>
      <c r="GZ76" s="55"/>
      <c r="HA76" s="55"/>
      <c r="HB76" s="55"/>
      <c r="HC76" s="55"/>
      <c r="HD76" s="55"/>
      <c r="HE76" s="55"/>
      <c r="HF76" s="55"/>
      <c r="HG76" s="55"/>
      <c r="HH76" s="55"/>
      <c r="HI76" s="55"/>
    </row>
    <row r="77" spans="3:217">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55"/>
      <c r="FV77" s="55"/>
      <c r="FW77" s="55"/>
      <c r="FX77" s="55"/>
      <c r="FY77" s="55"/>
      <c r="FZ77" s="55"/>
      <c r="GA77" s="55"/>
      <c r="GB77" s="55"/>
      <c r="GC77" s="55"/>
      <c r="GD77" s="55"/>
      <c r="GE77" s="55"/>
      <c r="GF77" s="55"/>
      <c r="GG77" s="55"/>
      <c r="GH77" s="55"/>
      <c r="GI77" s="55"/>
      <c r="GJ77" s="55"/>
      <c r="GK77" s="55"/>
      <c r="GL77" s="55"/>
      <c r="GM77" s="55"/>
      <c r="GN77" s="55"/>
      <c r="GO77" s="55"/>
      <c r="GP77" s="55"/>
      <c r="GQ77" s="55"/>
      <c r="GR77" s="55"/>
      <c r="GS77" s="55"/>
      <c r="GT77" s="55"/>
      <c r="GU77" s="55"/>
      <c r="GV77" s="55"/>
      <c r="GW77" s="55"/>
      <c r="GX77" s="55"/>
      <c r="GY77" s="55"/>
      <c r="GZ77" s="55"/>
      <c r="HA77" s="55"/>
      <c r="HB77" s="55"/>
      <c r="HC77" s="55"/>
      <c r="HD77" s="55"/>
      <c r="HE77" s="55"/>
      <c r="HF77" s="55"/>
      <c r="HG77" s="55"/>
      <c r="HH77" s="55"/>
      <c r="HI77" s="55"/>
    </row>
    <row r="78" spans="3:217">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c r="FL78" s="55"/>
      <c r="FM78" s="55"/>
      <c r="FN78" s="55"/>
      <c r="FO78" s="55"/>
      <c r="FP78" s="55"/>
      <c r="FQ78" s="55"/>
      <c r="FR78" s="55"/>
      <c r="FS78" s="55"/>
      <c r="FT78" s="55"/>
      <c r="FU78" s="55"/>
      <c r="FV78" s="55"/>
      <c r="FW78" s="55"/>
      <c r="FX78" s="55"/>
      <c r="FY78" s="55"/>
      <c r="FZ78" s="55"/>
      <c r="GA78" s="55"/>
      <c r="GB78" s="55"/>
      <c r="GC78" s="55"/>
      <c r="GD78" s="55"/>
      <c r="GE78" s="55"/>
      <c r="GF78" s="55"/>
      <c r="GG78" s="55"/>
      <c r="GH78" s="55"/>
      <c r="GI78" s="55"/>
      <c r="GJ78" s="55"/>
      <c r="GK78" s="55"/>
      <c r="GL78" s="55"/>
      <c r="GM78" s="55"/>
      <c r="GN78" s="55"/>
      <c r="GO78" s="55"/>
      <c r="GP78" s="55"/>
      <c r="GQ78" s="55"/>
      <c r="GR78" s="55"/>
      <c r="GS78" s="55"/>
      <c r="GT78" s="55"/>
      <c r="GU78" s="55"/>
      <c r="GV78" s="55"/>
      <c r="GW78" s="55"/>
      <c r="GX78" s="55"/>
      <c r="GY78" s="55"/>
      <c r="GZ78" s="55"/>
      <c r="HA78" s="55"/>
      <c r="HB78" s="55"/>
      <c r="HC78" s="55"/>
      <c r="HD78" s="55"/>
      <c r="HE78" s="55"/>
      <c r="HF78" s="55"/>
      <c r="HG78" s="55"/>
      <c r="HH78" s="55"/>
      <c r="HI78" s="55"/>
    </row>
    <row r="79" spans="3:217">
      <c r="C79" s="55"/>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c r="FL79" s="55"/>
      <c r="FM79" s="55"/>
      <c r="FN79" s="55"/>
      <c r="FO79" s="55"/>
      <c r="FP79" s="55"/>
      <c r="FQ79" s="55"/>
      <c r="FR79" s="55"/>
      <c r="FS79" s="55"/>
      <c r="FT79" s="55"/>
      <c r="FU79" s="55"/>
      <c r="FV79" s="55"/>
      <c r="FW79" s="55"/>
      <c r="FX79" s="55"/>
      <c r="FY79" s="55"/>
      <c r="FZ79" s="55"/>
      <c r="GA79" s="55"/>
      <c r="GB79" s="55"/>
      <c r="GC79" s="55"/>
      <c r="GD79" s="55"/>
      <c r="GE79" s="55"/>
      <c r="GF79" s="55"/>
      <c r="GG79" s="55"/>
      <c r="GH79" s="55"/>
      <c r="GI79" s="55"/>
      <c r="GJ79" s="55"/>
      <c r="GK79" s="55"/>
      <c r="GL79" s="55"/>
      <c r="GM79" s="55"/>
      <c r="GN79" s="55"/>
      <c r="GO79" s="55"/>
      <c r="GP79" s="55"/>
      <c r="GQ79" s="55"/>
      <c r="GR79" s="55"/>
      <c r="GS79" s="55"/>
      <c r="GT79" s="55"/>
      <c r="GU79" s="55"/>
      <c r="GV79" s="55"/>
      <c r="GW79" s="55"/>
      <c r="GX79" s="55"/>
      <c r="GY79" s="55"/>
      <c r="GZ79" s="55"/>
      <c r="HA79" s="55"/>
      <c r="HB79" s="55"/>
      <c r="HC79" s="55"/>
      <c r="HD79" s="55"/>
      <c r="HE79" s="55"/>
      <c r="HF79" s="55"/>
      <c r="HG79" s="55"/>
      <c r="HH79" s="55"/>
      <c r="HI79" s="55"/>
    </row>
    <row r="80" spans="3:217">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c r="FL80" s="55"/>
      <c r="FM80" s="55"/>
      <c r="FN80" s="55"/>
      <c r="FO80" s="55"/>
      <c r="FP80" s="55"/>
      <c r="FQ80" s="55"/>
      <c r="FR80" s="55"/>
      <c r="FS80" s="55"/>
      <c r="FT80" s="55"/>
      <c r="FU80" s="55"/>
      <c r="FV80" s="55"/>
      <c r="FW80" s="55"/>
      <c r="FX80" s="55"/>
      <c r="FY80" s="55"/>
      <c r="FZ80" s="55"/>
      <c r="GA80" s="55"/>
      <c r="GB80" s="55"/>
      <c r="GC80" s="55"/>
      <c r="GD80" s="55"/>
      <c r="GE80" s="55"/>
      <c r="GF80" s="55"/>
      <c r="GG80" s="55"/>
      <c r="GH80" s="55"/>
      <c r="GI80" s="55"/>
      <c r="GJ80" s="55"/>
      <c r="GK80" s="55"/>
      <c r="GL80" s="55"/>
      <c r="GM80" s="55"/>
      <c r="GN80" s="55"/>
      <c r="GO80" s="55"/>
      <c r="GP80" s="55"/>
      <c r="GQ80" s="55"/>
      <c r="GR80" s="55"/>
      <c r="GS80" s="55"/>
      <c r="GT80" s="55"/>
      <c r="GU80" s="55"/>
      <c r="GV80" s="55"/>
      <c r="GW80" s="55"/>
      <c r="GX80" s="55"/>
      <c r="GY80" s="55"/>
      <c r="GZ80" s="55"/>
      <c r="HA80" s="55"/>
      <c r="HB80" s="55"/>
      <c r="HC80" s="55"/>
      <c r="HD80" s="55"/>
      <c r="HE80" s="55"/>
      <c r="HF80" s="55"/>
      <c r="HG80" s="55"/>
      <c r="HH80" s="55"/>
      <c r="HI80" s="55"/>
    </row>
    <row r="81" spans="3:217">
      <c r="C81" s="55"/>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c r="FV81" s="55"/>
      <c r="FW81" s="55"/>
      <c r="FX81" s="55"/>
      <c r="FY81" s="55"/>
      <c r="FZ81" s="55"/>
      <c r="GA81" s="55"/>
      <c r="GB81" s="55"/>
      <c r="GC81" s="55"/>
      <c r="GD81" s="55"/>
      <c r="GE81" s="55"/>
      <c r="GF81" s="55"/>
      <c r="GG81" s="55"/>
      <c r="GH81" s="55"/>
      <c r="GI81" s="55"/>
      <c r="GJ81" s="55"/>
      <c r="GK81" s="55"/>
      <c r="GL81" s="55"/>
      <c r="GM81" s="55"/>
      <c r="GN81" s="55"/>
      <c r="GO81" s="55"/>
      <c r="GP81" s="55"/>
      <c r="GQ81" s="55"/>
      <c r="GR81" s="55"/>
      <c r="GS81" s="55"/>
      <c r="GT81" s="55"/>
      <c r="GU81" s="55"/>
      <c r="GV81" s="55"/>
      <c r="GW81" s="55"/>
      <c r="GX81" s="55"/>
      <c r="GY81" s="55"/>
      <c r="GZ81" s="55"/>
      <c r="HA81" s="55"/>
      <c r="HB81" s="55"/>
      <c r="HC81" s="55"/>
      <c r="HD81" s="55"/>
      <c r="HE81" s="55"/>
      <c r="HF81" s="55"/>
      <c r="HG81" s="55"/>
      <c r="HH81" s="55"/>
      <c r="HI81" s="55"/>
    </row>
    <row r="82" spans="3:217">
      <c r="C82" s="55"/>
      <c r="D82" s="55"/>
      <c r="E82" s="55"/>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c r="FL82" s="55"/>
      <c r="FM82" s="55"/>
      <c r="FN82" s="55"/>
      <c r="FO82" s="55"/>
      <c r="FP82" s="55"/>
      <c r="FQ82" s="55"/>
      <c r="FR82" s="55"/>
      <c r="FS82" s="55"/>
      <c r="FT82" s="55"/>
      <c r="FU82" s="55"/>
      <c r="FV82" s="55"/>
      <c r="FW82" s="55"/>
      <c r="FX82" s="55"/>
      <c r="FY82" s="55"/>
      <c r="FZ82" s="55"/>
      <c r="GA82" s="55"/>
      <c r="GB82" s="55"/>
      <c r="GC82" s="55"/>
      <c r="GD82" s="55"/>
      <c r="GE82" s="55"/>
      <c r="GF82" s="55"/>
      <c r="GG82" s="55"/>
      <c r="GH82" s="55"/>
      <c r="GI82" s="55"/>
      <c r="GJ82" s="55"/>
      <c r="GK82" s="55"/>
      <c r="GL82" s="55"/>
      <c r="GM82" s="55"/>
      <c r="GN82" s="55"/>
      <c r="GO82" s="55"/>
      <c r="GP82" s="55"/>
      <c r="GQ82" s="55"/>
      <c r="GR82" s="55"/>
      <c r="GS82" s="55"/>
      <c r="GT82" s="55"/>
      <c r="GU82" s="55"/>
      <c r="GV82" s="55"/>
      <c r="GW82" s="55"/>
      <c r="GX82" s="55"/>
      <c r="GY82" s="55"/>
      <c r="GZ82" s="55"/>
      <c r="HA82" s="55"/>
      <c r="HB82" s="55"/>
      <c r="HC82" s="55"/>
      <c r="HD82" s="55"/>
      <c r="HE82" s="55"/>
      <c r="HF82" s="55"/>
      <c r="HG82" s="55"/>
      <c r="HH82" s="55"/>
      <c r="HI82" s="55"/>
    </row>
    <row r="83" spans="3:217">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c r="FL83" s="55"/>
      <c r="FM83" s="55"/>
      <c r="FN83" s="55"/>
      <c r="FO83" s="55"/>
      <c r="FP83" s="55"/>
      <c r="FQ83" s="55"/>
      <c r="FR83" s="55"/>
      <c r="FS83" s="55"/>
      <c r="FT83" s="55"/>
      <c r="FU83" s="55"/>
      <c r="FV83" s="55"/>
      <c r="FW83" s="55"/>
      <c r="FX83" s="55"/>
      <c r="FY83" s="55"/>
      <c r="FZ83" s="55"/>
      <c r="GA83" s="55"/>
      <c r="GB83" s="55"/>
      <c r="GC83" s="55"/>
      <c r="GD83" s="55"/>
      <c r="GE83" s="55"/>
      <c r="GF83" s="55"/>
      <c r="GG83" s="55"/>
      <c r="GH83" s="55"/>
      <c r="GI83" s="55"/>
      <c r="GJ83" s="55"/>
      <c r="GK83" s="55"/>
      <c r="GL83" s="55"/>
      <c r="GM83" s="55"/>
      <c r="GN83" s="55"/>
      <c r="GO83" s="55"/>
      <c r="GP83" s="55"/>
      <c r="GQ83" s="55"/>
      <c r="GR83" s="55"/>
      <c r="GS83" s="55"/>
      <c r="GT83" s="55"/>
      <c r="GU83" s="55"/>
      <c r="GV83" s="55"/>
      <c r="GW83" s="55"/>
      <c r="GX83" s="55"/>
      <c r="GY83" s="55"/>
      <c r="GZ83" s="55"/>
      <c r="HA83" s="55"/>
      <c r="HB83" s="55"/>
      <c r="HC83" s="55"/>
      <c r="HD83" s="55"/>
      <c r="HE83" s="55"/>
      <c r="HF83" s="55"/>
      <c r="HG83" s="55"/>
      <c r="HH83" s="55"/>
      <c r="HI83" s="55"/>
    </row>
    <row r="84" spans="3:217">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c r="FL84" s="55"/>
      <c r="FM84" s="55"/>
      <c r="FN84" s="55"/>
      <c r="FO84" s="55"/>
      <c r="FP84" s="55"/>
      <c r="FQ84" s="55"/>
      <c r="FR84" s="55"/>
      <c r="FS84" s="55"/>
      <c r="FT84" s="55"/>
      <c r="FU84" s="55"/>
      <c r="FV84" s="55"/>
      <c r="FW84" s="55"/>
      <c r="FX84" s="55"/>
      <c r="FY84" s="55"/>
      <c r="FZ84" s="55"/>
      <c r="GA84" s="55"/>
      <c r="GB84" s="55"/>
      <c r="GC84" s="55"/>
      <c r="GD84" s="55"/>
      <c r="GE84" s="55"/>
      <c r="GF84" s="55"/>
      <c r="GG84" s="55"/>
      <c r="GH84" s="55"/>
      <c r="GI84" s="55"/>
      <c r="GJ84" s="55"/>
      <c r="GK84" s="55"/>
      <c r="GL84" s="55"/>
      <c r="GM84" s="55"/>
      <c r="GN84" s="55"/>
      <c r="GO84" s="55"/>
      <c r="GP84" s="55"/>
      <c r="GQ84" s="55"/>
      <c r="GR84" s="55"/>
      <c r="GS84" s="55"/>
      <c r="GT84" s="55"/>
      <c r="GU84" s="55"/>
      <c r="GV84" s="55"/>
      <c r="GW84" s="55"/>
      <c r="GX84" s="55"/>
      <c r="GY84" s="55"/>
      <c r="GZ84" s="55"/>
      <c r="HA84" s="55"/>
      <c r="HB84" s="55"/>
      <c r="HC84" s="55"/>
      <c r="HD84" s="55"/>
      <c r="HE84" s="55"/>
      <c r="HF84" s="55"/>
      <c r="HG84" s="55"/>
      <c r="HH84" s="55"/>
      <c r="HI84" s="55"/>
    </row>
    <row r="85" spans="3:217">
      <c r="C85" s="55"/>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c r="FL85" s="55"/>
      <c r="FM85" s="55"/>
      <c r="FN85" s="55"/>
      <c r="FO85" s="55"/>
      <c r="FP85" s="55"/>
      <c r="FQ85" s="55"/>
      <c r="FR85" s="55"/>
      <c r="FS85" s="55"/>
      <c r="FT85" s="55"/>
      <c r="FU85" s="55"/>
      <c r="FV85" s="55"/>
      <c r="FW85" s="55"/>
      <c r="FX85" s="55"/>
      <c r="FY85" s="55"/>
      <c r="FZ85" s="55"/>
      <c r="GA85" s="55"/>
      <c r="GB85" s="55"/>
      <c r="GC85" s="55"/>
      <c r="GD85" s="55"/>
      <c r="GE85" s="55"/>
      <c r="GF85" s="55"/>
      <c r="GG85" s="55"/>
      <c r="GH85" s="55"/>
      <c r="GI85" s="55"/>
      <c r="GJ85" s="55"/>
      <c r="GK85" s="55"/>
      <c r="GL85" s="55"/>
      <c r="GM85" s="55"/>
      <c r="GN85" s="55"/>
      <c r="GO85" s="55"/>
      <c r="GP85" s="55"/>
      <c r="GQ85" s="55"/>
      <c r="GR85" s="55"/>
      <c r="GS85" s="55"/>
      <c r="GT85" s="55"/>
      <c r="GU85" s="55"/>
      <c r="GV85" s="55"/>
      <c r="GW85" s="55"/>
      <c r="GX85" s="55"/>
      <c r="GY85" s="55"/>
      <c r="GZ85" s="55"/>
      <c r="HA85" s="55"/>
      <c r="HB85" s="55"/>
      <c r="HC85" s="55"/>
      <c r="HD85" s="55"/>
      <c r="HE85" s="55"/>
      <c r="HF85" s="55"/>
      <c r="HG85" s="55"/>
      <c r="HH85" s="55"/>
      <c r="HI85" s="55"/>
    </row>
    <row r="86" spans="3:217">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c r="FL86" s="55"/>
      <c r="FM86" s="55"/>
      <c r="FN86" s="55"/>
      <c r="FO86" s="55"/>
      <c r="FP86" s="55"/>
      <c r="FQ86" s="55"/>
      <c r="FR86" s="55"/>
      <c r="FS86" s="55"/>
      <c r="FT86" s="55"/>
      <c r="FU86" s="55"/>
      <c r="FV86" s="55"/>
      <c r="FW86" s="55"/>
      <c r="FX86" s="55"/>
      <c r="FY86" s="55"/>
      <c r="FZ86" s="55"/>
      <c r="GA86" s="55"/>
      <c r="GB86" s="55"/>
      <c r="GC86" s="55"/>
      <c r="GD86" s="55"/>
      <c r="GE86" s="55"/>
      <c r="GF86" s="55"/>
      <c r="GG86" s="55"/>
      <c r="GH86" s="55"/>
      <c r="GI86" s="55"/>
      <c r="GJ86" s="55"/>
      <c r="GK86" s="55"/>
      <c r="GL86" s="55"/>
      <c r="GM86" s="55"/>
      <c r="GN86" s="55"/>
      <c r="GO86" s="55"/>
      <c r="GP86" s="55"/>
      <c r="GQ86" s="55"/>
      <c r="GR86" s="55"/>
      <c r="GS86" s="55"/>
      <c r="GT86" s="55"/>
      <c r="GU86" s="55"/>
      <c r="GV86" s="55"/>
      <c r="GW86" s="55"/>
      <c r="GX86" s="55"/>
      <c r="GY86" s="55"/>
      <c r="GZ86" s="55"/>
      <c r="HA86" s="55"/>
      <c r="HB86" s="55"/>
      <c r="HC86" s="55"/>
      <c r="HD86" s="55"/>
      <c r="HE86" s="55"/>
      <c r="HF86" s="55"/>
      <c r="HG86" s="55"/>
      <c r="HH86" s="55"/>
      <c r="HI86" s="55"/>
    </row>
    <row r="87" spans="3:217">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5"/>
      <c r="FQ87" s="55"/>
      <c r="FR87" s="55"/>
      <c r="FS87" s="55"/>
      <c r="FT87" s="55"/>
      <c r="FU87" s="55"/>
      <c r="FV87" s="55"/>
      <c r="FW87" s="55"/>
      <c r="FX87" s="55"/>
      <c r="FY87" s="55"/>
      <c r="FZ87" s="55"/>
      <c r="GA87" s="55"/>
      <c r="GB87" s="55"/>
      <c r="GC87" s="55"/>
      <c r="GD87" s="55"/>
      <c r="GE87" s="55"/>
      <c r="GF87" s="55"/>
      <c r="GG87" s="55"/>
      <c r="GH87" s="55"/>
      <c r="GI87" s="55"/>
      <c r="GJ87" s="55"/>
      <c r="GK87" s="55"/>
      <c r="GL87" s="55"/>
      <c r="GM87" s="55"/>
      <c r="GN87" s="55"/>
      <c r="GO87" s="55"/>
      <c r="GP87" s="55"/>
      <c r="GQ87" s="55"/>
      <c r="GR87" s="55"/>
      <c r="GS87" s="55"/>
      <c r="GT87" s="55"/>
      <c r="GU87" s="55"/>
      <c r="GV87" s="55"/>
      <c r="GW87" s="55"/>
      <c r="GX87" s="55"/>
      <c r="GY87" s="55"/>
      <c r="GZ87" s="55"/>
      <c r="HA87" s="55"/>
      <c r="HB87" s="55"/>
      <c r="HC87" s="55"/>
      <c r="HD87" s="55"/>
      <c r="HE87" s="55"/>
      <c r="HF87" s="55"/>
      <c r="HG87" s="55"/>
      <c r="HH87" s="55"/>
      <c r="HI87" s="55"/>
    </row>
    <row r="88" spans="3:217">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c r="FL88" s="55"/>
      <c r="FM88" s="55"/>
      <c r="FN88" s="55"/>
      <c r="FO88" s="55"/>
      <c r="FP88" s="55"/>
      <c r="FQ88" s="55"/>
      <c r="FR88" s="55"/>
      <c r="FS88" s="55"/>
      <c r="FT88" s="55"/>
      <c r="FU88" s="55"/>
      <c r="FV88" s="55"/>
      <c r="FW88" s="55"/>
      <c r="FX88" s="55"/>
      <c r="FY88" s="55"/>
      <c r="FZ88" s="55"/>
      <c r="GA88" s="55"/>
      <c r="GB88" s="55"/>
      <c r="GC88" s="55"/>
      <c r="GD88" s="55"/>
      <c r="GE88" s="55"/>
      <c r="GF88" s="55"/>
      <c r="GG88" s="55"/>
      <c r="GH88" s="55"/>
      <c r="GI88" s="55"/>
      <c r="GJ88" s="55"/>
      <c r="GK88" s="55"/>
      <c r="GL88" s="55"/>
      <c r="GM88" s="55"/>
      <c r="GN88" s="55"/>
      <c r="GO88" s="55"/>
      <c r="GP88" s="55"/>
      <c r="GQ88" s="55"/>
      <c r="GR88" s="55"/>
      <c r="GS88" s="55"/>
      <c r="GT88" s="55"/>
      <c r="GU88" s="55"/>
      <c r="GV88" s="55"/>
      <c r="GW88" s="55"/>
      <c r="GX88" s="55"/>
      <c r="GY88" s="55"/>
      <c r="GZ88" s="55"/>
      <c r="HA88" s="55"/>
      <c r="HB88" s="55"/>
      <c r="HC88" s="55"/>
      <c r="HD88" s="55"/>
      <c r="HE88" s="55"/>
      <c r="HF88" s="55"/>
      <c r="HG88" s="55"/>
      <c r="HH88" s="55"/>
      <c r="HI88" s="55"/>
    </row>
    <row r="89" spans="3:217">
      <c r="C89" s="55"/>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c r="FL89" s="55"/>
      <c r="FM89" s="55"/>
      <c r="FN89" s="55"/>
      <c r="FO89" s="55"/>
      <c r="FP89" s="55"/>
      <c r="FQ89" s="55"/>
      <c r="FR89" s="55"/>
      <c r="FS89" s="55"/>
      <c r="FT89" s="55"/>
      <c r="FU89" s="55"/>
      <c r="FV89" s="55"/>
      <c r="FW89" s="55"/>
      <c r="FX89" s="55"/>
      <c r="FY89" s="55"/>
      <c r="FZ89" s="55"/>
      <c r="GA89" s="55"/>
      <c r="GB89" s="55"/>
      <c r="GC89" s="55"/>
      <c r="GD89" s="55"/>
      <c r="GE89" s="55"/>
      <c r="GF89" s="55"/>
      <c r="GG89" s="55"/>
      <c r="GH89" s="55"/>
      <c r="GI89" s="55"/>
      <c r="GJ89" s="55"/>
      <c r="GK89" s="55"/>
      <c r="GL89" s="55"/>
      <c r="GM89" s="55"/>
      <c r="GN89" s="55"/>
      <c r="GO89" s="55"/>
      <c r="GP89" s="55"/>
      <c r="GQ89" s="55"/>
      <c r="GR89" s="55"/>
      <c r="GS89" s="55"/>
      <c r="GT89" s="55"/>
      <c r="GU89" s="55"/>
      <c r="GV89" s="55"/>
      <c r="GW89" s="55"/>
      <c r="GX89" s="55"/>
      <c r="GY89" s="55"/>
      <c r="GZ89" s="55"/>
      <c r="HA89" s="55"/>
      <c r="HB89" s="55"/>
      <c r="HC89" s="55"/>
      <c r="HD89" s="55"/>
      <c r="HE89" s="55"/>
      <c r="HF89" s="55"/>
      <c r="HG89" s="55"/>
      <c r="HH89" s="55"/>
      <c r="HI89" s="55"/>
    </row>
    <row r="90" spans="3:217">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c r="FL90" s="55"/>
      <c r="FM90" s="55"/>
      <c r="FN90" s="55"/>
      <c r="FO90" s="55"/>
      <c r="FP90" s="55"/>
      <c r="FQ90" s="55"/>
      <c r="FR90" s="55"/>
      <c r="FS90" s="55"/>
      <c r="FT90" s="55"/>
      <c r="FU90" s="55"/>
      <c r="FV90" s="55"/>
      <c r="FW90" s="55"/>
      <c r="FX90" s="55"/>
      <c r="FY90" s="55"/>
      <c r="FZ90" s="55"/>
      <c r="GA90" s="55"/>
      <c r="GB90" s="55"/>
      <c r="GC90" s="55"/>
      <c r="GD90" s="55"/>
      <c r="GE90" s="55"/>
      <c r="GF90" s="55"/>
      <c r="GG90" s="55"/>
      <c r="GH90" s="55"/>
      <c r="GI90" s="55"/>
      <c r="GJ90" s="55"/>
      <c r="GK90" s="55"/>
      <c r="GL90" s="55"/>
      <c r="GM90" s="55"/>
      <c r="GN90" s="55"/>
      <c r="GO90" s="55"/>
      <c r="GP90" s="55"/>
      <c r="GQ90" s="55"/>
      <c r="GR90" s="55"/>
      <c r="GS90" s="55"/>
      <c r="GT90" s="55"/>
      <c r="GU90" s="55"/>
      <c r="GV90" s="55"/>
      <c r="GW90" s="55"/>
      <c r="GX90" s="55"/>
      <c r="GY90" s="55"/>
      <c r="GZ90" s="55"/>
      <c r="HA90" s="55"/>
      <c r="HB90" s="55"/>
      <c r="HC90" s="55"/>
      <c r="HD90" s="55"/>
      <c r="HE90" s="55"/>
      <c r="HF90" s="55"/>
      <c r="HG90" s="55"/>
      <c r="HH90" s="55"/>
      <c r="HI90" s="55"/>
    </row>
    <row r="91" spans="3:217">
      <c r="C91" s="55"/>
      <c r="D91" s="55"/>
      <c r="E91" s="55"/>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c r="FL91" s="55"/>
      <c r="FM91" s="55"/>
      <c r="FN91" s="55"/>
      <c r="FO91" s="55"/>
      <c r="FP91" s="55"/>
      <c r="FQ91" s="55"/>
      <c r="FR91" s="55"/>
      <c r="FS91" s="55"/>
      <c r="FT91" s="55"/>
      <c r="FU91" s="55"/>
      <c r="FV91" s="55"/>
      <c r="FW91" s="55"/>
      <c r="FX91" s="55"/>
      <c r="FY91" s="55"/>
      <c r="FZ91" s="55"/>
      <c r="GA91" s="55"/>
      <c r="GB91" s="55"/>
      <c r="GC91" s="55"/>
      <c r="GD91" s="55"/>
      <c r="GE91" s="55"/>
      <c r="GF91" s="55"/>
      <c r="GG91" s="55"/>
      <c r="GH91" s="55"/>
      <c r="GI91" s="55"/>
      <c r="GJ91" s="55"/>
      <c r="GK91" s="55"/>
      <c r="GL91" s="55"/>
      <c r="GM91" s="55"/>
      <c r="GN91" s="55"/>
      <c r="GO91" s="55"/>
      <c r="GP91" s="55"/>
      <c r="GQ91" s="55"/>
      <c r="GR91" s="55"/>
      <c r="GS91" s="55"/>
      <c r="GT91" s="55"/>
      <c r="GU91" s="55"/>
      <c r="GV91" s="55"/>
      <c r="GW91" s="55"/>
      <c r="GX91" s="55"/>
      <c r="GY91" s="55"/>
      <c r="GZ91" s="55"/>
      <c r="HA91" s="55"/>
      <c r="HB91" s="55"/>
      <c r="HC91" s="55"/>
      <c r="HD91" s="55"/>
      <c r="HE91" s="55"/>
      <c r="HF91" s="55"/>
      <c r="HG91" s="55"/>
      <c r="HH91" s="55"/>
      <c r="HI91" s="55"/>
    </row>
    <row r="92" spans="3:217">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c r="FL92" s="55"/>
      <c r="FM92" s="55"/>
      <c r="FN92" s="55"/>
      <c r="FO92" s="55"/>
      <c r="FP92" s="55"/>
      <c r="FQ92" s="55"/>
      <c r="FR92" s="55"/>
      <c r="FS92" s="55"/>
      <c r="FT92" s="55"/>
      <c r="FU92" s="55"/>
      <c r="FV92" s="55"/>
      <c r="FW92" s="55"/>
      <c r="FX92" s="55"/>
      <c r="FY92" s="55"/>
      <c r="FZ92" s="55"/>
      <c r="GA92" s="55"/>
      <c r="GB92" s="55"/>
      <c r="GC92" s="55"/>
      <c r="GD92" s="55"/>
      <c r="GE92" s="55"/>
      <c r="GF92" s="55"/>
      <c r="GG92" s="55"/>
      <c r="GH92" s="55"/>
      <c r="GI92" s="55"/>
      <c r="GJ92" s="55"/>
      <c r="GK92" s="55"/>
      <c r="GL92" s="55"/>
      <c r="GM92" s="55"/>
      <c r="GN92" s="55"/>
      <c r="GO92" s="55"/>
      <c r="GP92" s="55"/>
      <c r="GQ92" s="55"/>
      <c r="GR92" s="55"/>
      <c r="GS92" s="55"/>
      <c r="GT92" s="55"/>
      <c r="GU92" s="55"/>
      <c r="GV92" s="55"/>
      <c r="GW92" s="55"/>
      <c r="GX92" s="55"/>
      <c r="GY92" s="55"/>
      <c r="GZ92" s="55"/>
      <c r="HA92" s="55"/>
      <c r="HB92" s="55"/>
      <c r="HC92" s="55"/>
      <c r="HD92" s="55"/>
      <c r="HE92" s="55"/>
      <c r="HF92" s="55"/>
      <c r="HG92" s="55"/>
      <c r="HH92" s="55"/>
      <c r="HI92"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38.xml><?xml version="1.0" encoding="utf-8"?>
<worksheet xmlns="http://schemas.openxmlformats.org/spreadsheetml/2006/main" xmlns:r="http://schemas.openxmlformats.org/officeDocument/2006/relationships">
  <sheetPr codeName="Sheet5513"/>
  <dimension ref="A1:FK107"/>
  <sheetViews>
    <sheetView zoomScale="75" workbookViewId="0">
      <selection activeCell="D25" sqref="D25"/>
    </sheetView>
  </sheetViews>
  <sheetFormatPr defaultColWidth="11.42578125" defaultRowHeight="12.75"/>
  <cols>
    <col min="1" max="1" width="10.7109375" customWidth="1"/>
    <col min="2" max="2" width="13.5703125" customWidth="1"/>
    <col min="3" max="3" width="42.7109375" customWidth="1"/>
    <col min="4" max="4" width="11.85546875" customWidth="1"/>
    <col min="5" max="6" width="9.7109375" bestFit="1" customWidth="1"/>
    <col min="7" max="23" width="11.42578125" customWidth="1"/>
    <col min="24" max="24" width="13.7109375" customWidth="1"/>
  </cols>
  <sheetData>
    <row r="1" spans="1:29" ht="18">
      <c r="A1" s="10" t="s">
        <v>503</v>
      </c>
      <c r="D1" t="s">
        <v>250</v>
      </c>
    </row>
    <row r="2" spans="1:29" ht="18">
      <c r="A2" s="10"/>
      <c r="D2" s="245"/>
    </row>
    <row r="3" spans="1:29" ht="18">
      <c r="B3" s="16"/>
      <c r="C3" s="17"/>
      <c r="D3" s="245"/>
      <c r="O3" s="18">
        <v>1</v>
      </c>
      <c r="P3" t="s">
        <v>666</v>
      </c>
      <c r="Y3" s="10"/>
      <c r="AB3" s="463">
        <v>0</v>
      </c>
      <c r="AC3" s="463">
        <v>1</v>
      </c>
    </row>
    <row r="4" spans="1:29" ht="18">
      <c r="B4" s="131" t="s">
        <v>594</v>
      </c>
      <c r="C4" s="98"/>
      <c r="D4" s="252" t="str">
        <f>"~FI_T: "&amp;Region</f>
        <v>~FI_T: FIM</v>
      </c>
      <c r="E4" s="4" t="s">
        <v>250</v>
      </c>
      <c r="R4" s="4"/>
      <c r="S4" s="4"/>
    </row>
    <row r="5" spans="1:29" ht="52.5" customHeight="1" thickBot="1">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"RESID~"&amp;CEILING(AuxYear+12,5)</f>
        <v>RESID~2030</v>
      </c>
      <c r="S5" s="52" t="str">
        <f ca="1">"RESID~"&amp;CEILING(AuxYear+29,5)</f>
        <v>RESID~2050</v>
      </c>
      <c r="T5" s="52" t="s">
        <v>537</v>
      </c>
      <c r="U5" s="52" t="s">
        <v>471</v>
      </c>
      <c r="V5" s="52" t="s">
        <v>778</v>
      </c>
      <c r="W5" s="257" t="s">
        <v>381</v>
      </c>
      <c r="Y5" s="427" t="s">
        <v>993</v>
      </c>
      <c r="Z5" s="427" t="s">
        <v>995</v>
      </c>
      <c r="AA5" s="427" t="s">
        <v>996</v>
      </c>
      <c r="AB5" s="427" t="s">
        <v>997</v>
      </c>
      <c r="AC5" s="427" t="s">
        <v>998</v>
      </c>
    </row>
    <row r="6" spans="1:29" ht="15.75" customHeight="1">
      <c r="B6" s="434" t="s">
        <v>999</v>
      </c>
      <c r="C6" s="190"/>
      <c r="D6" s="190"/>
      <c r="E6" s="191"/>
      <c r="F6" s="191"/>
      <c r="G6" s="191"/>
      <c r="H6" s="191"/>
      <c r="I6" s="190"/>
      <c r="J6" s="193"/>
      <c r="K6" s="191"/>
      <c r="L6" s="190"/>
      <c r="M6" s="190"/>
      <c r="N6" s="191"/>
      <c r="O6" s="191"/>
      <c r="P6" s="190"/>
      <c r="Q6" s="190"/>
      <c r="R6" s="192"/>
      <c r="S6" s="190"/>
      <c r="T6" s="190"/>
      <c r="U6" s="190"/>
      <c r="V6" s="190"/>
      <c r="W6" s="257"/>
      <c r="Y6" s="190"/>
      <c r="Z6" s="190"/>
      <c r="AA6" s="190"/>
      <c r="AB6" s="190"/>
      <c r="AC6" s="190"/>
    </row>
    <row r="7" spans="1:29" ht="14.25" customHeight="1">
      <c r="B7" s="273" t="s">
        <v>505</v>
      </c>
      <c r="C7" s="424" t="s">
        <v>63</v>
      </c>
      <c r="D7" s="82" t="str">
        <f ca="1">IEAData2!H12</f>
        <v>RESKER</v>
      </c>
      <c r="E7" s="64">
        <f ca="1">IEAData2!$L$84*IEAData2!H69</f>
        <v>0</v>
      </c>
      <c r="F7" s="64">
        <f ca="1">AuxData2!$L$84*AuxData2!H69</f>
        <v>0</v>
      </c>
      <c r="G7" s="40">
        <v>0.7</v>
      </c>
      <c r="H7" s="343" t="str">
        <f>RIGHT(D7,3)</f>
        <v>KER</v>
      </c>
      <c r="I7" s="81">
        <v>1</v>
      </c>
      <c r="J7" s="6">
        <f>G7*I7</f>
        <v>0.7</v>
      </c>
      <c r="K7" s="38">
        <f ca="1">F7*J7</f>
        <v>0</v>
      </c>
      <c r="L7" s="19">
        <v>1</v>
      </c>
      <c r="M7" s="18">
        <v>1</v>
      </c>
      <c r="N7" s="18">
        <v>15</v>
      </c>
      <c r="O7" s="466">
        <f ca="1">E7*J7/$M7</f>
        <v>0</v>
      </c>
      <c r="P7" s="104">
        <f ca="1">F7*J7/$M7</f>
        <v>0</v>
      </c>
      <c r="Q7" s="40">
        <f ca="1">$P7*Z7</f>
        <v>0</v>
      </c>
      <c r="R7" s="40">
        <f t="shared" ref="R7:R17" ca="1" si="0">$P7*AA7</f>
        <v>0</v>
      </c>
      <c r="S7" s="40"/>
      <c r="T7" s="40"/>
      <c r="U7" s="40"/>
      <c r="V7" s="40"/>
      <c r="W7" s="258">
        <f ca="1">IF($E$12=0,0,E7/$E$12)</f>
        <v>0</v>
      </c>
      <c r="Y7" s="436">
        <f ca="1">MATCH(LEFT(B7,3),OFFSET(CalibData2!$C$78,1,0,100),0)</f>
        <v>21</v>
      </c>
      <c r="Z7" s="436">
        <v>0.3</v>
      </c>
      <c r="AA7" s="436">
        <v>0</v>
      </c>
      <c r="AB7" s="14"/>
      <c r="AC7" s="14"/>
    </row>
    <row r="8" spans="1:29" ht="14.25" customHeight="1">
      <c r="B8" s="265" t="s">
        <v>506</v>
      </c>
      <c r="C8" s="402" t="s">
        <v>64</v>
      </c>
      <c r="D8" s="82" t="s">
        <v>836</v>
      </c>
      <c r="E8" s="64">
        <f ca="1">AB8*IEAData2!$L$88*IEAData2!$H$73</f>
        <v>1.626029383393583</v>
      </c>
      <c r="F8" s="64">
        <f ca="1">AC8*AuxData2!$L$88*AuxData2!$H$73</f>
        <v>0.81349329875714627</v>
      </c>
      <c r="G8" s="53">
        <v>1</v>
      </c>
      <c r="H8" s="343" t="str">
        <f>RIGHT(D8,3)</f>
        <v>ELC</v>
      </c>
      <c r="I8" s="81">
        <v>1</v>
      </c>
      <c r="J8" s="6">
        <f>G8*I8</f>
        <v>1</v>
      </c>
      <c r="K8" s="38">
        <f ca="1">F8*J8</f>
        <v>0.81349329875714627</v>
      </c>
      <c r="L8" s="19">
        <v>1</v>
      </c>
      <c r="M8" s="18">
        <v>1</v>
      </c>
      <c r="N8" s="18">
        <v>15</v>
      </c>
      <c r="O8" s="373">
        <f ca="1">E8*J8/$M8</f>
        <v>1.626029383393583</v>
      </c>
      <c r="P8" s="104">
        <f ca="1">F8*J8/$M8</f>
        <v>0.81349329875714627</v>
      </c>
      <c r="Q8" s="40">
        <f ca="1">P8*$Z8</f>
        <v>0</v>
      </c>
      <c r="R8" s="40">
        <f t="shared" ca="1" si="0"/>
        <v>0</v>
      </c>
      <c r="S8" s="40"/>
      <c r="T8" s="40"/>
      <c r="U8" s="40"/>
      <c r="V8" s="18"/>
      <c r="W8" s="258">
        <f ca="1">IF($E$12=0,0,E8/$E$12)</f>
        <v>0.9</v>
      </c>
      <c r="Y8" s="436">
        <f ca="1">MATCH(LEFT(B8,3),OFFSET(CalibData2!$C$78,1,0,100),0)</f>
        <v>21</v>
      </c>
      <c r="Z8" s="436">
        <v>0</v>
      </c>
      <c r="AA8" s="436">
        <v>0</v>
      </c>
      <c r="AB8" s="437">
        <f t="array" aca="1" ref="AB8:AB10" ca="1">OFFSET(TechShar,$Y8,AB$3,3)</f>
        <v>0.9</v>
      </c>
      <c r="AC8" s="437">
        <f t="array" aca="1" ref="AC8:AC10" ca="1">OFFSET(TechShar,$Y8,AC$3,3)</f>
        <v>0.55000000000000004</v>
      </c>
    </row>
    <row r="9" spans="1:29" ht="14.25" customHeight="1">
      <c r="B9" s="265" t="s">
        <v>507</v>
      </c>
      <c r="C9" s="402" t="s">
        <v>65</v>
      </c>
      <c r="D9" s="82" t="s">
        <v>836</v>
      </c>
      <c r="E9" s="64">
        <f ca="1">AB9*IEAData2!$L$88*IEAData2!$H$73</f>
        <v>9.0334965744087947E-2</v>
      </c>
      <c r="F9" s="64">
        <f ca="1">AC9*AuxData2!$L$88*AuxData2!$H$73</f>
        <v>0.17748944700155916</v>
      </c>
      <c r="G9" s="53">
        <v>2</v>
      </c>
      <c r="H9" s="343" t="str">
        <f>RIGHT(D9,3)</f>
        <v>ELC</v>
      </c>
      <c r="I9" s="81">
        <v>1</v>
      </c>
      <c r="J9" s="6">
        <f>G9*I9</f>
        <v>2</v>
      </c>
      <c r="K9" s="38">
        <f ca="1">F9*J9</f>
        <v>0.35497889400311833</v>
      </c>
      <c r="L9" s="19">
        <v>1</v>
      </c>
      <c r="M9" s="18">
        <v>1</v>
      </c>
      <c r="N9" s="18">
        <v>15</v>
      </c>
      <c r="O9" s="373">
        <f ca="1">E9*J9/$M9</f>
        <v>0.18066993148817589</v>
      </c>
      <c r="P9" s="104">
        <f ca="1">F9*J9/$M9</f>
        <v>0.35497889400311833</v>
      </c>
      <c r="Q9" s="40">
        <f ca="1">P9*$Z9</f>
        <v>0</v>
      </c>
      <c r="R9" s="40">
        <f t="shared" ca="1" si="0"/>
        <v>0</v>
      </c>
      <c r="S9" s="40"/>
      <c r="T9" s="40"/>
      <c r="U9" s="40"/>
      <c r="V9" s="18"/>
      <c r="W9" s="258">
        <f ca="1">IF($E$12=0,0,E9/$E$12)</f>
        <v>0.05</v>
      </c>
      <c r="Y9" s="436">
        <f ca="1">MATCH(LEFT(B9,3),OFFSET(CalibData2!$C$78,1,0,100),0)</f>
        <v>21</v>
      </c>
      <c r="Z9" s="436">
        <v>0</v>
      </c>
      <c r="AA9" s="436">
        <v>0</v>
      </c>
      <c r="AB9" s="438">
        <f ca="1"/>
        <v>0.05</v>
      </c>
      <c r="AC9" s="438">
        <f ca="1"/>
        <v>0.12</v>
      </c>
    </row>
    <row r="10" spans="1:29" ht="14.25" customHeight="1">
      <c r="B10" s="265" t="s">
        <v>508</v>
      </c>
      <c r="C10" s="402" t="s">
        <v>66</v>
      </c>
      <c r="D10" s="82" t="s">
        <v>836</v>
      </c>
      <c r="E10" s="64">
        <f ca="1">AB10*IEAData2!$L$88*IEAData2!$H$73</f>
        <v>9.0334965744087947E-2</v>
      </c>
      <c r="F10" s="64">
        <f ca="1">AC10*AuxData2!$L$88*AuxData2!$H$73</f>
        <v>0.19228023425168911</v>
      </c>
      <c r="G10" s="53">
        <v>4.5999999999999996</v>
      </c>
      <c r="H10" s="343" t="str">
        <f>RIGHT(D10,3)</f>
        <v>ELC</v>
      </c>
      <c r="I10" s="81">
        <v>1</v>
      </c>
      <c r="J10" s="6">
        <f>G10*I10</f>
        <v>4.5999999999999996</v>
      </c>
      <c r="K10" s="38">
        <f ca="1">F10*J10</f>
        <v>0.88448907755776984</v>
      </c>
      <c r="L10" s="57">
        <v>1</v>
      </c>
      <c r="M10" s="81">
        <v>1</v>
      </c>
      <c r="N10" s="18">
        <v>15</v>
      </c>
      <c r="O10" s="373">
        <f ca="1">E10*J10/$M10</f>
        <v>0.41554084242280453</v>
      </c>
      <c r="P10" s="104">
        <f ca="1">F10*J10/$M10</f>
        <v>0.88448907755776984</v>
      </c>
      <c r="Q10" s="40">
        <f ca="1">P10*$Z10</f>
        <v>0.26534672326733094</v>
      </c>
      <c r="R10" s="53">
        <f t="shared" ca="1" si="0"/>
        <v>0</v>
      </c>
      <c r="S10" s="53"/>
      <c r="T10" s="53"/>
      <c r="U10" s="53"/>
      <c r="V10" s="81"/>
      <c r="W10" s="258">
        <f ca="1">IF($E$12=0,0,E10/$E$12)</f>
        <v>0.05</v>
      </c>
      <c r="Y10" s="436">
        <f ca="1">MATCH(LEFT(B10,3),OFFSET(CalibData2!$C$78,1,0,100),0)</f>
        <v>21</v>
      </c>
      <c r="Z10" s="436">
        <v>0.3</v>
      </c>
      <c r="AA10" s="436">
        <v>0</v>
      </c>
      <c r="AB10" s="438">
        <f ca="1"/>
        <v>0.05</v>
      </c>
      <c r="AC10" s="438">
        <f ca="1"/>
        <v>0.13</v>
      </c>
    </row>
    <row r="11" spans="1:29" ht="14.25" customHeight="1" thickBot="1">
      <c r="B11" s="266" t="s">
        <v>986</v>
      </c>
      <c r="C11" s="403" t="s">
        <v>987</v>
      </c>
      <c r="D11" s="96" t="s">
        <v>836</v>
      </c>
      <c r="E11" s="34">
        <f ca="1">AB11*IEAData2!$L$88*IEAData2!$H$73</f>
        <v>0</v>
      </c>
      <c r="F11" s="34">
        <f ca="1">AC11*AuxData2!$L$88*AuxData2!$H$73</f>
        <v>0.29581574500259855</v>
      </c>
      <c r="G11" s="54">
        <v>7</v>
      </c>
      <c r="H11" s="464" t="str">
        <f>RIGHT(D11,3)</f>
        <v>ELC</v>
      </c>
      <c r="I11" s="20">
        <v>1</v>
      </c>
      <c r="J11" s="21">
        <f>G11*I11</f>
        <v>7</v>
      </c>
      <c r="K11" s="465">
        <f ca="1">F11*J11</f>
        <v>2.07071021501819</v>
      </c>
      <c r="L11" s="73">
        <v>1</v>
      </c>
      <c r="M11" s="20">
        <v>1</v>
      </c>
      <c r="N11" s="20">
        <v>15</v>
      </c>
      <c r="O11" s="401">
        <f ca="1">E11*J11/$M11</f>
        <v>0</v>
      </c>
      <c r="P11" s="117">
        <f ca="1">F11*J11/$M11</f>
        <v>2.07071021501819</v>
      </c>
      <c r="Q11" s="54">
        <f ca="1">P11*$Z11</f>
        <v>1.035355107509095</v>
      </c>
      <c r="R11" s="54">
        <f t="shared" ca="1" si="0"/>
        <v>0</v>
      </c>
      <c r="S11" s="54"/>
      <c r="T11" s="54"/>
      <c r="U11" s="54"/>
      <c r="V11" s="20"/>
      <c r="W11" s="258">
        <f ca="1">IF($E$12=0,0,E11/$E$12)</f>
        <v>0</v>
      </c>
      <c r="Y11" s="436">
        <f ca="1">MATCH(LEFT(B11,3),OFFSET(CalibData2!$C$78,1,0,100),0)</f>
        <v>21</v>
      </c>
      <c r="Z11" s="436">
        <v>0.5</v>
      </c>
      <c r="AA11" s="436">
        <v>0</v>
      </c>
      <c r="AB11" s="18">
        <f ca="1">1-SUM(AB8:AB10)</f>
        <v>0</v>
      </c>
      <c r="AC11" s="358">
        <f ca="1">1-SUM(AC8:AC10)</f>
        <v>0.19999999999999996</v>
      </c>
    </row>
    <row r="12" spans="1:29" ht="14.25" customHeight="1" thickBot="1">
      <c r="B12" s="434" t="s">
        <v>999</v>
      </c>
      <c r="C12" s="452" t="s">
        <v>1001</v>
      </c>
      <c r="D12" s="452"/>
      <c r="E12" s="453">
        <f ca="1">SUM(E7:E11)</f>
        <v>1.8066993148817589</v>
      </c>
      <c r="F12" s="453">
        <f ca="1">SUM(F7:F11)</f>
        <v>1.4790787250129931</v>
      </c>
      <c r="G12" s="453"/>
      <c r="H12" s="453">
        <f ca="1">SUMPRODUCT(E$7:E11,J$7:J11)</f>
        <v>2.2222401573045634</v>
      </c>
      <c r="I12" s="452"/>
      <c r="J12" s="454"/>
      <c r="K12" s="453">
        <f ca="1">SUM(K7:K11)</f>
        <v>4.1236714853362244</v>
      </c>
      <c r="L12" s="452"/>
      <c r="M12" s="452"/>
      <c r="N12" s="453"/>
      <c r="O12" s="467">
        <f ca="1">SUM(O7:O11)</f>
        <v>2.2222401573045634</v>
      </c>
      <c r="P12" s="452"/>
      <c r="Q12" s="452"/>
      <c r="R12" s="452"/>
      <c r="S12" s="452"/>
      <c r="T12" s="452"/>
      <c r="U12" s="452"/>
      <c r="V12" s="452"/>
      <c r="W12" s="259">
        <f ca="1">SUM(W7:W11)</f>
        <v>1</v>
      </c>
      <c r="Y12" s="190"/>
      <c r="Z12" s="190"/>
      <c r="AA12" s="190"/>
      <c r="AB12" s="190"/>
      <c r="AC12" s="190"/>
    </row>
    <row r="13" spans="1:29" ht="14.25" customHeight="1">
      <c r="B13" s="273" t="s">
        <v>362</v>
      </c>
      <c r="C13" s="424" t="s">
        <v>67</v>
      </c>
      <c r="D13" s="82" t="str">
        <f ca="1">IEAData2!H12</f>
        <v>RESKER</v>
      </c>
      <c r="E13" s="64">
        <f ca="1">IEAData2!$L$84*IEAData2!I69</f>
        <v>0</v>
      </c>
      <c r="F13" s="64">
        <f ca="1">AuxData2!$L$84*AuxData2!I69</f>
        <v>0</v>
      </c>
      <c r="G13" s="40">
        <v>0.7</v>
      </c>
      <c r="H13" s="343" t="str">
        <f>RIGHT(D13,3)</f>
        <v>KER</v>
      </c>
      <c r="I13" s="81">
        <v>1</v>
      </c>
      <c r="J13" s="6">
        <f>G13*I13</f>
        <v>0.7</v>
      </c>
      <c r="K13" s="38">
        <f ca="1">F13*J13</f>
        <v>0</v>
      </c>
      <c r="L13" s="19">
        <v>1</v>
      </c>
      <c r="M13" s="18">
        <v>1</v>
      </c>
      <c r="N13" s="18">
        <v>15</v>
      </c>
      <c r="O13" s="160">
        <f ca="1">E13*J13/$M13</f>
        <v>0</v>
      </c>
      <c r="P13" s="104">
        <f ca="1">F13*J13/$M13</f>
        <v>0</v>
      </c>
      <c r="Q13" s="40">
        <f ca="1">P13*$Z13</f>
        <v>0</v>
      </c>
      <c r="R13" s="40">
        <f t="shared" ca="1" si="0"/>
        <v>0</v>
      </c>
      <c r="S13" s="40"/>
      <c r="T13" s="40"/>
      <c r="U13" s="40"/>
      <c r="V13" s="40"/>
      <c r="W13" s="258">
        <f ca="1">IF($E$18=0,0,E13/$E$18)</f>
        <v>0</v>
      </c>
      <c r="Y13" s="436">
        <f ca="1">MATCH(LEFT(B13,3),OFFSET(CalibData2!$C$78,1,0,100),0)</f>
        <v>24</v>
      </c>
      <c r="Z13" s="436">
        <v>0.4</v>
      </c>
      <c r="AA13" s="436">
        <v>0</v>
      </c>
      <c r="AB13" s="14"/>
      <c r="AC13" s="14"/>
    </row>
    <row r="14" spans="1:29" ht="14.25" customHeight="1">
      <c r="B14" s="265" t="s">
        <v>363</v>
      </c>
      <c r="C14" s="402" t="s">
        <v>68</v>
      </c>
      <c r="D14" s="82" t="s">
        <v>836</v>
      </c>
      <c r="E14" s="64">
        <f ca="1">AB14*IEAData2!$L$88*IEAData2!$I$73</f>
        <v>0</v>
      </c>
      <c r="F14" s="64">
        <f ca="1">AC14*AuxData2!$L$88*AuxData2!$I$73</f>
        <v>0</v>
      </c>
      <c r="G14" s="53">
        <v>1</v>
      </c>
      <c r="H14" s="343" t="str">
        <f>RIGHT(D14,3)</f>
        <v>ELC</v>
      </c>
      <c r="I14" s="81">
        <v>1</v>
      </c>
      <c r="J14" s="6">
        <f>G14*I14</f>
        <v>1</v>
      </c>
      <c r="K14" s="38">
        <f ca="1">F14*J14</f>
        <v>0</v>
      </c>
      <c r="L14" s="19">
        <v>1</v>
      </c>
      <c r="M14" s="18">
        <v>1</v>
      </c>
      <c r="N14" s="18">
        <v>15</v>
      </c>
      <c r="O14" s="161">
        <f ca="1">E14*J14/$M14</f>
        <v>0</v>
      </c>
      <c r="P14" s="104">
        <f ca="1">F14*J14/$M14</f>
        <v>0</v>
      </c>
      <c r="Q14" s="40">
        <f ca="1">P14*$Z14</f>
        <v>0</v>
      </c>
      <c r="R14" s="40">
        <f t="shared" ca="1" si="0"/>
        <v>0</v>
      </c>
      <c r="S14" s="40"/>
      <c r="T14" s="40"/>
      <c r="U14" s="40"/>
      <c r="V14" s="18"/>
      <c r="W14" s="258">
        <f ca="1">IF($E$18=0,0,E14/$E$18)</f>
        <v>0</v>
      </c>
      <c r="Y14" s="436">
        <f ca="1">MATCH(LEFT(B14,3),OFFSET(CalibData2!$C$78,1,0,100),0)</f>
        <v>24</v>
      </c>
      <c r="Z14" s="436">
        <v>0</v>
      </c>
      <c r="AA14" s="436">
        <v>0</v>
      </c>
      <c r="AB14" s="437">
        <f t="array" aca="1" ref="AB14:AB16" ca="1">OFFSET(TechShar,$Y14,AB$3,3)</f>
        <v>0.9</v>
      </c>
      <c r="AC14" s="437">
        <f t="array" aca="1" ref="AC14:AC16" ca="1">OFFSET(TechShar,$Y14,AC$3,3)</f>
        <v>0.9</v>
      </c>
    </row>
    <row r="15" spans="1:29" ht="14.25" customHeight="1">
      <c r="B15" s="265" t="s">
        <v>364</v>
      </c>
      <c r="C15" s="402" t="s">
        <v>551</v>
      </c>
      <c r="D15" s="82" t="s">
        <v>836</v>
      </c>
      <c r="E15" s="64">
        <f ca="1">AB15*IEAData2!$L$88*IEAData2!$I$73</f>
        <v>0</v>
      </c>
      <c r="F15" s="64">
        <f ca="1">AC15*AuxData2!$L$88*AuxData2!$I$73</f>
        <v>0</v>
      </c>
      <c r="G15" s="53">
        <v>2.8</v>
      </c>
      <c r="H15" s="343" t="str">
        <f>RIGHT(D15,3)</f>
        <v>ELC</v>
      </c>
      <c r="I15" s="81">
        <v>1</v>
      </c>
      <c r="J15" s="6">
        <f>G15*I15</f>
        <v>2.8</v>
      </c>
      <c r="K15" s="38">
        <f ca="1">F15*J15</f>
        <v>0</v>
      </c>
      <c r="L15" s="19">
        <v>1</v>
      </c>
      <c r="M15" s="18">
        <v>1</v>
      </c>
      <c r="N15" s="18">
        <v>15</v>
      </c>
      <c r="O15" s="161">
        <f ca="1">E15*J15/$M15</f>
        <v>0</v>
      </c>
      <c r="P15" s="104">
        <f ca="1">F15*J15/$M15</f>
        <v>0</v>
      </c>
      <c r="Q15" s="40">
        <f ca="1">P15*$Z15</f>
        <v>0</v>
      </c>
      <c r="R15" s="40">
        <f t="shared" ca="1" si="0"/>
        <v>0</v>
      </c>
      <c r="S15" s="40"/>
      <c r="T15" s="40"/>
      <c r="U15" s="40"/>
      <c r="V15" s="18"/>
      <c r="W15" s="258">
        <f ca="1">IF($E$18=0,0,E15/$E$18)</f>
        <v>0</v>
      </c>
      <c r="Y15" s="436">
        <f ca="1">MATCH(LEFT(B15,3),OFFSET(CalibData2!$C$78,1,0,100),0)</f>
        <v>24</v>
      </c>
      <c r="Z15" s="436">
        <v>0</v>
      </c>
      <c r="AA15" s="436">
        <v>0</v>
      </c>
      <c r="AB15" s="438">
        <f ca="1"/>
        <v>0.05</v>
      </c>
      <c r="AC15" s="438">
        <f ca="1"/>
        <v>0.05</v>
      </c>
    </row>
    <row r="16" spans="1:29" ht="14.25" customHeight="1">
      <c r="B16" s="265" t="s">
        <v>365</v>
      </c>
      <c r="C16" s="402" t="s">
        <v>552</v>
      </c>
      <c r="D16" s="82" t="s">
        <v>836</v>
      </c>
      <c r="E16" s="64">
        <f ca="1">AB16*IEAData2!$L$88*IEAData2!$I$73</f>
        <v>0</v>
      </c>
      <c r="F16" s="64">
        <f ca="1">AC16*AuxData2!$L$88*AuxData2!$I$73</f>
        <v>0</v>
      </c>
      <c r="G16" s="53">
        <v>4.5</v>
      </c>
      <c r="H16" s="343" t="str">
        <f>RIGHT(D16,3)</f>
        <v>ELC</v>
      </c>
      <c r="I16" s="81">
        <v>1</v>
      </c>
      <c r="J16" s="6">
        <f>G16*I16</f>
        <v>4.5</v>
      </c>
      <c r="K16" s="38">
        <f ca="1">F16*J16</f>
        <v>0</v>
      </c>
      <c r="L16" s="57">
        <v>1</v>
      </c>
      <c r="M16" s="81">
        <v>1</v>
      </c>
      <c r="N16" s="18">
        <v>15</v>
      </c>
      <c r="O16" s="161">
        <f ca="1">E16*J16/$M16</f>
        <v>0</v>
      </c>
      <c r="P16" s="104">
        <f ca="1">F16*J16/$M16</f>
        <v>0</v>
      </c>
      <c r="Q16" s="40">
        <f ca="1">P16*$Z16</f>
        <v>0</v>
      </c>
      <c r="R16" s="53">
        <f t="shared" ca="1" si="0"/>
        <v>0</v>
      </c>
      <c r="S16" s="53"/>
      <c r="T16" s="53"/>
      <c r="U16" s="53"/>
      <c r="V16" s="81"/>
      <c r="W16" s="258">
        <f ca="1">IF($E$18=0,0,E16/$E$18)</f>
        <v>0</v>
      </c>
      <c r="Y16" s="436">
        <f ca="1">MATCH(LEFT(B16,3),OFFSET(CalibData2!$C$78,1,0,100),0)</f>
        <v>24</v>
      </c>
      <c r="Z16" s="436">
        <v>0.4</v>
      </c>
      <c r="AA16" s="436">
        <v>0</v>
      </c>
      <c r="AB16" s="438">
        <f ca="1"/>
        <v>0.05</v>
      </c>
      <c r="AC16" s="438">
        <f ca="1"/>
        <v>0.05</v>
      </c>
    </row>
    <row r="17" spans="1:29" ht="14.25" customHeight="1" thickBot="1">
      <c r="B17" s="266" t="s">
        <v>991</v>
      </c>
      <c r="C17" s="403" t="s">
        <v>990</v>
      </c>
      <c r="D17" s="96" t="s">
        <v>836</v>
      </c>
      <c r="E17" s="34">
        <f ca="1">AB17*IEAData2!$L$88*IEAData2!$I$73</f>
        <v>0</v>
      </c>
      <c r="F17" s="34">
        <f ca="1">AC17*AuxData2!$L$88*AuxData2!$I$73</f>
        <v>0</v>
      </c>
      <c r="G17" s="54">
        <v>4</v>
      </c>
      <c r="H17" s="464" t="str">
        <f>RIGHT(D17,3)</f>
        <v>ELC</v>
      </c>
      <c r="I17" s="20">
        <v>1</v>
      </c>
      <c r="J17" s="21">
        <f>G17*I17</f>
        <v>4</v>
      </c>
      <c r="K17" s="465">
        <f ca="1">F17*J17</f>
        <v>0</v>
      </c>
      <c r="L17" s="73">
        <v>1</v>
      </c>
      <c r="M17" s="20">
        <v>1</v>
      </c>
      <c r="N17" s="20">
        <v>15</v>
      </c>
      <c r="O17" s="162">
        <f ca="1">E17*J17/$M17</f>
        <v>0</v>
      </c>
      <c r="P17" s="117">
        <f ca="1">F17*J17/$M17</f>
        <v>0</v>
      </c>
      <c r="Q17" s="54">
        <f ca="1">P17*$Z17</f>
        <v>0</v>
      </c>
      <c r="R17" s="54">
        <f t="shared" ca="1" si="0"/>
        <v>0</v>
      </c>
      <c r="S17" s="54"/>
      <c r="T17" s="54"/>
      <c r="U17" s="54"/>
      <c r="V17" s="20"/>
      <c r="W17" s="258">
        <f ca="1">IF($E$18=0,0,E17/$E$18)</f>
        <v>0</v>
      </c>
      <c r="Y17" s="436">
        <f ca="1">MATCH(LEFT(B17,3),OFFSET(CalibData2!$C$78,1,0,100),0)</f>
        <v>24</v>
      </c>
      <c r="Z17" s="436">
        <v>0.55000000000000004</v>
      </c>
      <c r="AA17" s="436">
        <v>0</v>
      </c>
      <c r="AB17" s="18">
        <f ca="1">1-SUM(AB14:AB16)</f>
        <v>0</v>
      </c>
      <c r="AC17" s="358">
        <f ca="1">1-SUM(AC14:AC16)</f>
        <v>0</v>
      </c>
    </row>
    <row r="18" spans="1:29" ht="14.25">
      <c r="B18" s="434" t="s">
        <v>999</v>
      </c>
      <c r="C18" s="452" t="s">
        <v>1001</v>
      </c>
      <c r="D18" s="452"/>
      <c r="E18" s="453">
        <f ca="1">SUM(E13:E17)</f>
        <v>0</v>
      </c>
      <c r="F18" s="453">
        <f ca="1">SUM(F13:F17)</f>
        <v>0</v>
      </c>
      <c r="G18" s="453"/>
      <c r="H18" s="453">
        <f ca="1">SUMPRODUCT(E$13:E17,J$13:J17)</f>
        <v>0</v>
      </c>
      <c r="I18" s="452"/>
      <c r="J18" s="454"/>
      <c r="K18" s="453">
        <f ca="1">SUM(K13:K17)</f>
        <v>0</v>
      </c>
      <c r="L18" s="452"/>
      <c r="M18" s="452"/>
      <c r="N18" s="453"/>
      <c r="O18" s="260">
        <f ca="1">SUM(O13:O17)</f>
        <v>0</v>
      </c>
      <c r="P18" s="452"/>
      <c r="Q18" s="452"/>
      <c r="R18" s="452"/>
      <c r="S18" s="452"/>
      <c r="T18" s="452"/>
      <c r="U18" s="452"/>
      <c r="V18" s="452"/>
      <c r="W18" s="259">
        <f ca="1">SUM(W13:W17)</f>
        <v>0</v>
      </c>
      <c r="Y18" s="190"/>
      <c r="Z18" s="190"/>
      <c r="AA18" s="190"/>
      <c r="AB18" s="190"/>
      <c r="AC18" s="190"/>
    </row>
    <row r="19" spans="1:29">
      <c r="B19" s="123"/>
      <c r="C19" s="55"/>
      <c r="D19" s="55"/>
      <c r="E19" s="57"/>
      <c r="G19" s="57"/>
      <c r="H19" s="57"/>
      <c r="I19" s="55"/>
      <c r="J19" s="254"/>
      <c r="K19" s="57"/>
      <c r="L19" s="55"/>
      <c r="M19" s="55"/>
      <c r="N19" s="57"/>
      <c r="O19" s="161"/>
      <c r="P19" s="55"/>
      <c r="Q19" s="55"/>
      <c r="R19" s="161"/>
      <c r="S19" s="55"/>
      <c r="T19" s="55"/>
      <c r="U19" s="55"/>
      <c r="V19" s="55"/>
    </row>
    <row r="20" spans="1:29">
      <c r="B20" s="123"/>
      <c r="C20" s="55"/>
      <c r="D20" s="256"/>
      <c r="E20" s="57"/>
      <c r="G20" s="57"/>
      <c r="H20" s="57"/>
      <c r="I20" s="55"/>
      <c r="J20" s="254"/>
      <c r="K20" s="57"/>
      <c r="L20" s="55"/>
      <c r="M20" s="55"/>
      <c r="N20" s="57"/>
      <c r="O20" s="161"/>
      <c r="P20" s="55"/>
      <c r="Q20" s="55"/>
      <c r="R20" s="161"/>
      <c r="S20" s="55"/>
      <c r="T20" s="55"/>
      <c r="U20" s="55"/>
      <c r="V20" s="55"/>
    </row>
    <row r="21" spans="1:29">
      <c r="B21" s="123"/>
      <c r="C21" s="55"/>
      <c r="D21" s="55"/>
      <c r="E21" s="57"/>
      <c r="G21" s="57"/>
      <c r="H21" s="57"/>
      <c r="I21" s="55"/>
      <c r="J21" s="254"/>
      <c r="K21" s="57"/>
      <c r="L21" s="55"/>
      <c r="M21" s="55"/>
      <c r="N21" s="57"/>
      <c r="O21" s="161"/>
      <c r="P21" s="55"/>
      <c r="Q21" s="55"/>
      <c r="R21" s="161"/>
      <c r="S21" s="55"/>
      <c r="T21" s="55"/>
      <c r="U21" s="55"/>
      <c r="V21" s="55"/>
    </row>
    <row r="22" spans="1:29">
      <c r="B22" s="123"/>
      <c r="C22" s="55"/>
      <c r="D22" s="55"/>
      <c r="E22" s="57"/>
      <c r="G22" s="57"/>
      <c r="H22" s="57"/>
      <c r="I22" s="55"/>
      <c r="J22" s="254"/>
      <c r="K22" s="57"/>
      <c r="L22" s="55"/>
      <c r="M22" s="55"/>
      <c r="N22" s="57"/>
      <c r="O22" s="161"/>
      <c r="P22" s="55"/>
      <c r="Q22" s="55"/>
      <c r="R22" s="161"/>
      <c r="S22" s="55"/>
      <c r="T22" s="55"/>
      <c r="U22" s="55"/>
      <c r="V22" s="55"/>
    </row>
    <row r="23" spans="1:29">
      <c r="B23" s="123"/>
      <c r="C23" s="55"/>
      <c r="D23" s="55"/>
      <c r="E23" s="57"/>
      <c r="G23" s="57"/>
      <c r="H23" s="57"/>
      <c r="I23" s="55"/>
      <c r="J23" s="254"/>
      <c r="K23" s="57"/>
      <c r="L23" s="55"/>
      <c r="M23" s="55"/>
      <c r="N23" s="57"/>
      <c r="O23" s="161"/>
      <c r="P23" s="55"/>
      <c r="Q23" s="55"/>
      <c r="R23" s="161"/>
      <c r="S23" s="55"/>
      <c r="T23" s="55"/>
      <c r="U23" s="55"/>
      <c r="V23" s="55"/>
    </row>
    <row r="24" spans="1:29">
      <c r="B24" s="123"/>
      <c r="C24" s="55"/>
      <c r="D24" s="256"/>
      <c r="E24" s="57"/>
      <c r="G24" s="57"/>
      <c r="H24" s="55"/>
      <c r="I24" s="55"/>
      <c r="J24" s="57"/>
      <c r="K24" s="57"/>
      <c r="O24" s="161"/>
      <c r="P24" s="55"/>
      <c r="Q24" s="55"/>
      <c r="R24" s="161"/>
      <c r="S24" s="55"/>
      <c r="T24" s="55"/>
      <c r="U24" s="55"/>
      <c r="V24" s="55"/>
    </row>
    <row r="25" spans="1:29" ht="18">
      <c r="B25" s="155" t="s">
        <v>592</v>
      </c>
      <c r="C25" s="156"/>
      <c r="D25" s="252"/>
      <c r="K25" s="57"/>
    </row>
    <row r="26" spans="1:29" ht="13.5" thickBot="1">
      <c r="B26" s="27" t="s">
        <v>384</v>
      </c>
      <c r="C26" s="27" t="s">
        <v>385</v>
      </c>
      <c r="D26" s="27" t="s">
        <v>243</v>
      </c>
      <c r="E26" s="344" t="s">
        <v>942</v>
      </c>
      <c r="F26" s="344" t="s">
        <v>942</v>
      </c>
      <c r="G26" s="27"/>
      <c r="K26" s="57"/>
    </row>
    <row r="27" spans="1:29" ht="16.5" customHeight="1">
      <c r="A27" s="7"/>
      <c r="B27" s="80" t="s">
        <v>504</v>
      </c>
      <c r="C27" s="28" t="str">
        <f ca="1">CONCATENATE("Residential Lighting - ",IEAData2!B49)</f>
        <v>Residential Lighting - Region1</v>
      </c>
      <c r="D27" s="95" t="s">
        <v>249</v>
      </c>
      <c r="E27" s="63">
        <f ca="1">H12</f>
        <v>2.2222401573045634</v>
      </c>
      <c r="F27" s="63">
        <f ca="1">SUMPRODUCT(F7:F11,J7:J11)</f>
        <v>4.1236714853362244</v>
      </c>
      <c r="G27" s="18"/>
      <c r="K27" s="57"/>
      <c r="U27" s="133"/>
    </row>
    <row r="28" spans="1:29">
      <c r="B28" s="80" t="s">
        <v>361</v>
      </c>
      <c r="C28" s="28" t="str">
        <f ca="1">CONCATENATE("Residential Lighting - ",IEAData2!C49)</f>
        <v>Residential Lighting - Region2</v>
      </c>
      <c r="D28" s="95" t="s">
        <v>249</v>
      </c>
      <c r="E28" s="63">
        <f ca="1">H18</f>
        <v>0</v>
      </c>
      <c r="F28" s="63">
        <f ca="1">SUMPRODUCT(F13:F17,J13:J17)</f>
        <v>0</v>
      </c>
      <c r="G28" s="18"/>
      <c r="K28" s="57"/>
    </row>
    <row r="31" spans="1:29" ht="30.6" customHeight="1"/>
    <row r="47" spans="3:167">
      <c r="C47" s="123"/>
      <c r="D47" s="123"/>
      <c r="E47" s="123"/>
      <c r="F47" s="120"/>
      <c r="G47" s="123"/>
      <c r="H47" s="120"/>
      <c r="I47" s="123"/>
      <c r="J47" s="123"/>
      <c r="K47" s="123"/>
      <c r="L47" s="123"/>
      <c r="M47" s="123"/>
      <c r="N47" s="123"/>
      <c r="O47" s="123"/>
      <c r="P47" s="123"/>
      <c r="Q47" s="123"/>
      <c r="R47" s="124"/>
      <c r="S47" s="124"/>
      <c r="T47" s="123"/>
      <c r="U47" s="123"/>
      <c r="V47" s="123"/>
      <c r="W47" s="123"/>
      <c r="X47" s="123"/>
      <c r="Y47" s="123"/>
      <c r="Z47" s="123"/>
      <c r="AA47" s="123"/>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row>
    <row r="48" spans="3:167">
      <c r="C48" s="123"/>
      <c r="D48" s="120"/>
      <c r="E48" s="123"/>
      <c r="F48" s="123"/>
      <c r="G48" s="123"/>
      <c r="H48" s="123"/>
      <c r="I48" s="123"/>
      <c r="J48" s="123"/>
      <c r="K48" s="123"/>
      <c r="L48" s="123"/>
      <c r="M48" s="123"/>
      <c r="N48" s="123"/>
      <c r="O48" s="123"/>
      <c r="P48" s="123"/>
      <c r="Q48" s="123"/>
      <c r="R48" s="124"/>
      <c r="S48" s="124"/>
      <c r="T48" s="123"/>
      <c r="U48" s="123"/>
      <c r="V48" s="123"/>
      <c r="W48" s="123"/>
      <c r="X48" s="123"/>
      <c r="Y48" s="123"/>
      <c r="Z48" s="123"/>
      <c r="AA48" s="123"/>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row>
    <row r="49" spans="3:167">
      <c r="C49" s="123"/>
      <c r="D49" s="120"/>
      <c r="E49" s="123"/>
      <c r="F49" s="123"/>
      <c r="G49" s="123"/>
      <c r="H49" s="123"/>
      <c r="I49" s="123"/>
      <c r="J49" s="123"/>
      <c r="K49" s="123"/>
      <c r="L49" s="123"/>
      <c r="M49" s="123"/>
      <c r="N49" s="123"/>
      <c r="O49" s="123"/>
      <c r="P49" s="123"/>
      <c r="Q49" s="123"/>
      <c r="R49" s="124"/>
      <c r="S49" s="124"/>
      <c r="T49" s="123"/>
      <c r="U49" s="123"/>
      <c r="V49" s="123"/>
      <c r="W49" s="123"/>
      <c r="X49" s="123"/>
      <c r="Y49" s="123"/>
      <c r="Z49" s="123"/>
      <c r="AA49" s="123"/>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row>
    <row r="50" spans="3:167">
      <c r="C50" s="123"/>
      <c r="D50" s="120"/>
      <c r="E50" s="123"/>
      <c r="F50" s="123"/>
      <c r="G50" s="123"/>
      <c r="H50" s="123"/>
      <c r="I50" s="123"/>
      <c r="J50" s="123"/>
      <c r="K50" s="123"/>
      <c r="L50" s="123"/>
      <c r="M50" s="123"/>
      <c r="N50" s="123"/>
      <c r="O50" s="123"/>
      <c r="P50" s="123"/>
      <c r="Q50" s="123"/>
      <c r="R50" s="124"/>
      <c r="S50" s="124"/>
      <c r="T50" s="123"/>
      <c r="U50" s="123"/>
      <c r="V50" s="123"/>
      <c r="W50" s="123"/>
      <c r="X50" s="123"/>
      <c r="Y50" s="123"/>
      <c r="Z50" s="123"/>
      <c r="AA50" s="123"/>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row>
    <row r="51" spans="3:167">
      <c r="C51" s="123"/>
      <c r="D51" s="120"/>
      <c r="E51" s="123"/>
      <c r="F51" s="123"/>
      <c r="G51" s="123"/>
      <c r="H51" s="123"/>
      <c r="I51" s="123"/>
      <c r="J51" s="123"/>
      <c r="K51" s="123"/>
      <c r="L51" s="123"/>
      <c r="M51" s="123"/>
      <c r="N51" s="123"/>
      <c r="O51" s="123"/>
      <c r="P51" s="123"/>
      <c r="Q51" s="123"/>
      <c r="R51" s="124"/>
      <c r="S51" s="124"/>
      <c r="T51" s="123"/>
      <c r="U51" s="123"/>
      <c r="V51" s="123"/>
      <c r="W51" s="123"/>
      <c r="X51" s="123"/>
      <c r="Y51" s="123"/>
      <c r="Z51" s="123"/>
      <c r="AA51" s="123"/>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row>
    <row r="52" spans="3:167">
      <c r="C52" s="123"/>
      <c r="D52" s="120"/>
      <c r="E52" s="123"/>
      <c r="F52" s="123"/>
      <c r="G52" s="123"/>
      <c r="H52" s="123"/>
      <c r="I52" s="123"/>
      <c r="J52" s="123"/>
      <c r="K52" s="123"/>
      <c r="L52" s="123"/>
      <c r="M52" s="123"/>
      <c r="N52" s="123"/>
      <c r="O52" s="123"/>
      <c r="P52" s="123"/>
      <c r="Q52" s="123"/>
      <c r="R52" s="124"/>
      <c r="S52" s="124"/>
      <c r="T52" s="123"/>
      <c r="U52" s="123"/>
      <c r="V52" s="123"/>
      <c r="W52" s="123"/>
      <c r="X52" s="123"/>
      <c r="Y52" s="123"/>
      <c r="Z52" s="123"/>
      <c r="AA52" s="123"/>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row>
    <row r="53" spans="3:167">
      <c r="C53" s="123"/>
      <c r="D53" s="120"/>
      <c r="E53" s="123"/>
      <c r="F53" s="123"/>
      <c r="G53" s="123"/>
      <c r="H53" s="123"/>
      <c r="I53" s="123"/>
      <c r="J53" s="123"/>
      <c r="K53" s="123"/>
      <c r="L53" s="123"/>
      <c r="M53" s="123"/>
      <c r="N53" s="123"/>
      <c r="O53" s="123"/>
      <c r="P53" s="123"/>
      <c r="Q53" s="123"/>
      <c r="R53" s="124"/>
      <c r="S53" s="124"/>
      <c r="T53" s="123"/>
      <c r="U53" s="123"/>
      <c r="V53" s="123"/>
      <c r="W53" s="123"/>
      <c r="X53" s="123"/>
      <c r="Y53" s="123"/>
      <c r="Z53" s="123"/>
      <c r="AA53" s="123"/>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row>
    <row r="54" spans="3:167">
      <c r="C54" s="123"/>
      <c r="D54" s="120"/>
      <c r="E54" s="123"/>
      <c r="F54" s="123"/>
      <c r="G54" s="123"/>
      <c r="H54" s="123"/>
      <c r="I54" s="123"/>
      <c r="J54" s="123"/>
      <c r="K54" s="123"/>
      <c r="L54" s="123"/>
      <c r="M54" s="123"/>
      <c r="N54" s="123"/>
      <c r="O54" s="123"/>
      <c r="P54" s="123"/>
      <c r="Q54" s="123"/>
      <c r="R54" s="124"/>
      <c r="S54" s="124"/>
      <c r="T54" s="123"/>
      <c r="U54" s="123"/>
      <c r="V54" s="123"/>
      <c r="W54" s="123"/>
      <c r="X54" s="123"/>
      <c r="Y54" s="123"/>
      <c r="Z54" s="123"/>
      <c r="AA54" s="123"/>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row>
    <row r="55" spans="3:167">
      <c r="C55" s="123"/>
      <c r="D55" s="120"/>
      <c r="E55" s="123"/>
      <c r="F55" s="123"/>
      <c r="G55" s="123"/>
      <c r="H55" s="123"/>
      <c r="I55" s="123"/>
      <c r="J55" s="123"/>
      <c r="K55" s="123"/>
      <c r="L55" s="123"/>
      <c r="M55" s="123"/>
      <c r="N55" s="123"/>
      <c r="O55" s="123"/>
      <c r="P55" s="123"/>
      <c r="Q55" s="123"/>
      <c r="R55" s="124"/>
      <c r="S55" s="124"/>
      <c r="T55" s="123"/>
      <c r="U55" s="123"/>
      <c r="V55" s="123"/>
      <c r="W55" s="123"/>
      <c r="X55" s="123"/>
      <c r="Y55" s="123"/>
      <c r="Z55" s="123"/>
      <c r="AA55" s="123"/>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row>
    <row r="56" spans="3:167">
      <c r="C56" s="123"/>
      <c r="D56" s="120"/>
      <c r="E56" s="123"/>
      <c r="F56" s="123"/>
      <c r="G56" s="123"/>
      <c r="H56" s="123"/>
      <c r="I56" s="123"/>
      <c r="J56" s="123"/>
      <c r="K56" s="123"/>
      <c r="L56" s="123"/>
      <c r="M56" s="123"/>
      <c r="N56" s="123"/>
      <c r="O56" s="123"/>
      <c r="P56" s="123"/>
      <c r="Q56" s="123"/>
      <c r="R56" s="124"/>
      <c r="S56" s="124"/>
      <c r="T56" s="123"/>
      <c r="U56" s="123"/>
      <c r="V56" s="123"/>
      <c r="W56" s="123"/>
      <c r="X56" s="123"/>
      <c r="Y56" s="123"/>
      <c r="Z56" s="123"/>
      <c r="AA56" s="123"/>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row>
    <row r="57" spans="3:167">
      <c r="C57" s="123"/>
      <c r="D57" s="120"/>
      <c r="E57" s="123"/>
      <c r="F57" s="123"/>
      <c r="G57" s="123"/>
      <c r="H57" s="123"/>
      <c r="I57" s="123"/>
      <c r="J57" s="123"/>
      <c r="K57" s="123"/>
      <c r="L57" s="123"/>
      <c r="M57" s="123"/>
      <c r="N57" s="123"/>
      <c r="O57" s="123"/>
      <c r="P57" s="123"/>
      <c r="Q57" s="123"/>
      <c r="R57" s="124"/>
      <c r="S57" s="124"/>
      <c r="T57" s="123"/>
      <c r="U57" s="123"/>
      <c r="V57" s="123"/>
      <c r="W57" s="123"/>
      <c r="X57" s="123"/>
      <c r="Y57" s="123"/>
      <c r="Z57" s="123"/>
      <c r="AA57" s="123"/>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row>
    <row r="58" spans="3:167">
      <c r="C58" s="123"/>
      <c r="D58" s="120"/>
      <c r="E58" s="123"/>
      <c r="F58" s="123"/>
      <c r="G58" s="123"/>
      <c r="H58" s="123"/>
      <c r="I58" s="123"/>
      <c r="J58" s="123"/>
      <c r="K58" s="123"/>
      <c r="L58" s="123"/>
      <c r="M58" s="123"/>
      <c r="N58" s="123"/>
      <c r="O58" s="123"/>
      <c r="P58" s="123"/>
      <c r="Q58" s="123"/>
      <c r="R58" s="124"/>
      <c r="S58" s="124"/>
      <c r="T58" s="123"/>
      <c r="U58" s="123"/>
      <c r="V58" s="123"/>
      <c r="W58" s="123"/>
      <c r="X58" s="123"/>
      <c r="Y58" s="123"/>
      <c r="Z58" s="123"/>
      <c r="AA58" s="123"/>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row>
    <row r="59" spans="3:167">
      <c r="C59" s="123"/>
      <c r="D59" s="120"/>
      <c r="E59" s="123"/>
      <c r="F59" s="123"/>
      <c r="G59" s="123"/>
      <c r="H59" s="123"/>
      <c r="I59" s="123"/>
      <c r="J59" s="123"/>
      <c r="K59" s="123"/>
      <c r="L59" s="123"/>
      <c r="M59" s="123"/>
      <c r="N59" s="123"/>
      <c r="O59" s="123"/>
      <c r="P59" s="123"/>
      <c r="Q59" s="123"/>
      <c r="R59" s="124"/>
      <c r="S59" s="124"/>
      <c r="T59" s="123"/>
      <c r="U59" s="123"/>
      <c r="V59" s="123"/>
      <c r="W59" s="123"/>
      <c r="X59" s="123"/>
      <c r="Y59" s="123"/>
      <c r="Z59" s="123"/>
      <c r="AA59" s="123"/>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row>
    <row r="60" spans="3:167">
      <c r="C60" s="123"/>
      <c r="D60" s="120"/>
      <c r="E60" s="123"/>
      <c r="F60" s="123"/>
      <c r="G60" s="123"/>
      <c r="H60" s="123"/>
      <c r="I60" s="123"/>
      <c r="J60" s="123"/>
      <c r="K60" s="123"/>
      <c r="L60" s="123"/>
      <c r="M60" s="123"/>
      <c r="N60" s="123"/>
      <c r="O60" s="123"/>
      <c r="P60" s="123"/>
      <c r="Q60" s="123"/>
      <c r="R60" s="124"/>
      <c r="S60" s="124"/>
      <c r="T60" s="123"/>
      <c r="U60" s="123"/>
      <c r="V60" s="123"/>
      <c r="W60" s="123"/>
      <c r="X60" s="123"/>
      <c r="Y60" s="123"/>
      <c r="Z60" s="123"/>
      <c r="AA60" s="123"/>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row>
    <row r="61" spans="3:167">
      <c r="C61" s="123"/>
      <c r="D61" s="120"/>
      <c r="E61" s="123"/>
      <c r="F61" s="123"/>
      <c r="G61" s="123"/>
      <c r="H61" s="123"/>
      <c r="I61" s="123"/>
      <c r="J61" s="123"/>
      <c r="K61" s="123"/>
      <c r="L61" s="123"/>
      <c r="M61" s="123"/>
      <c r="N61" s="123"/>
      <c r="O61" s="123"/>
      <c r="P61" s="123"/>
      <c r="Q61" s="123"/>
      <c r="R61" s="124"/>
      <c r="S61" s="124"/>
      <c r="T61" s="123"/>
      <c r="U61" s="123"/>
      <c r="V61" s="123"/>
      <c r="W61" s="123"/>
      <c r="X61" s="123"/>
      <c r="Y61" s="123"/>
      <c r="Z61" s="123"/>
      <c r="AA61" s="123"/>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row>
    <row r="62" spans="3:167">
      <c r="C62" s="123"/>
      <c r="D62" s="120"/>
      <c r="E62" s="123"/>
      <c r="F62" s="123"/>
      <c r="G62" s="123"/>
      <c r="H62" s="123"/>
      <c r="I62" s="123"/>
      <c r="J62" s="123"/>
      <c r="K62" s="123"/>
      <c r="L62" s="123"/>
      <c r="M62" s="123"/>
      <c r="N62" s="123"/>
      <c r="O62" s="123"/>
      <c r="P62" s="123"/>
      <c r="Q62" s="123"/>
      <c r="R62" s="124"/>
      <c r="S62" s="124"/>
      <c r="T62" s="123"/>
      <c r="U62" s="123"/>
      <c r="V62" s="123"/>
      <c r="W62" s="123"/>
      <c r="X62" s="123"/>
      <c r="Y62" s="123"/>
      <c r="Z62" s="123"/>
      <c r="AA62" s="123"/>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row>
    <row r="63" spans="3:167">
      <c r="C63" s="123"/>
      <c r="D63" s="120"/>
      <c r="E63" s="123"/>
      <c r="F63" s="123"/>
      <c r="G63" s="123"/>
      <c r="H63" s="123"/>
      <c r="I63" s="123"/>
      <c r="J63" s="123"/>
      <c r="K63" s="123"/>
      <c r="L63" s="123"/>
      <c r="M63" s="123"/>
      <c r="N63" s="123"/>
      <c r="O63" s="123"/>
      <c r="P63" s="123"/>
      <c r="Q63" s="123"/>
      <c r="R63" s="124"/>
      <c r="S63" s="124"/>
      <c r="T63" s="123"/>
      <c r="U63" s="123"/>
      <c r="V63" s="123"/>
      <c r="W63" s="123"/>
      <c r="X63" s="123"/>
      <c r="Y63" s="123"/>
      <c r="Z63" s="123"/>
      <c r="AA63" s="123"/>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row>
    <row r="64" spans="3:167">
      <c r="C64" s="123"/>
      <c r="D64" s="120"/>
      <c r="E64" s="123"/>
      <c r="F64" s="120"/>
      <c r="G64" s="123"/>
      <c r="H64" s="120"/>
      <c r="I64" s="123"/>
      <c r="J64" s="123"/>
      <c r="K64" s="123"/>
      <c r="L64" s="123"/>
      <c r="M64" s="123"/>
      <c r="N64" s="123"/>
      <c r="O64" s="123"/>
      <c r="P64" s="123"/>
      <c r="Q64" s="123"/>
      <c r="R64" s="124"/>
      <c r="S64" s="124"/>
      <c r="T64" s="123"/>
      <c r="U64" s="123"/>
      <c r="V64" s="123"/>
      <c r="W64" s="123"/>
      <c r="X64" s="123"/>
      <c r="Y64" s="123"/>
      <c r="Z64" s="123"/>
      <c r="AA64" s="123"/>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row>
    <row r="65" spans="3:167">
      <c r="C65" s="123"/>
      <c r="D65" s="123"/>
      <c r="E65" s="123"/>
      <c r="F65" s="123"/>
      <c r="G65" s="123"/>
      <c r="H65" s="123"/>
      <c r="I65" s="123"/>
      <c r="J65" s="123"/>
      <c r="K65" s="123"/>
      <c r="L65" s="123"/>
      <c r="M65" s="123"/>
      <c r="N65" s="123"/>
      <c r="O65" s="123"/>
      <c r="P65" s="123"/>
      <c r="Q65" s="123"/>
      <c r="R65" s="124"/>
      <c r="S65" s="124"/>
      <c r="T65" s="123"/>
      <c r="U65" s="123"/>
      <c r="V65" s="123"/>
      <c r="W65" s="123"/>
      <c r="X65" s="123"/>
      <c r="Y65" s="123"/>
      <c r="Z65" s="123"/>
      <c r="AA65" s="123"/>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row>
    <row r="66" spans="3:167">
      <c r="C66" s="123"/>
      <c r="D66" s="123"/>
      <c r="E66" s="123"/>
      <c r="F66" s="120"/>
      <c r="G66" s="123"/>
      <c r="H66" s="120"/>
      <c r="I66" s="123"/>
      <c r="J66" s="123"/>
      <c r="K66" s="123"/>
      <c r="L66" s="123"/>
      <c r="M66" s="123"/>
      <c r="N66" s="123"/>
      <c r="O66" s="123"/>
      <c r="P66" s="123"/>
      <c r="Q66" s="123"/>
      <c r="R66" s="124"/>
      <c r="S66" s="124"/>
      <c r="T66" s="123"/>
      <c r="U66" s="123"/>
      <c r="V66" s="123"/>
      <c r="W66" s="123"/>
      <c r="X66" s="123"/>
      <c r="Y66" s="123"/>
      <c r="Z66" s="123"/>
      <c r="AA66" s="123"/>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row>
    <row r="67" spans="3:167">
      <c r="C67" s="123"/>
      <c r="D67" s="123"/>
      <c r="E67" s="123"/>
      <c r="F67" s="120"/>
      <c r="G67" s="123"/>
      <c r="H67" s="120"/>
      <c r="I67" s="123"/>
      <c r="J67" s="123"/>
      <c r="K67" s="123"/>
      <c r="L67" s="123"/>
      <c r="M67" s="123"/>
      <c r="N67" s="123"/>
      <c r="O67" s="123"/>
      <c r="P67" s="123"/>
      <c r="Q67" s="123"/>
      <c r="R67" s="124"/>
      <c r="S67" s="124"/>
      <c r="T67" s="123"/>
      <c r="U67" s="123"/>
      <c r="V67" s="123"/>
      <c r="W67" s="123"/>
      <c r="X67" s="123"/>
      <c r="Y67" s="123"/>
      <c r="Z67" s="123"/>
      <c r="AA67" s="123"/>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row>
    <row r="68" spans="3:167">
      <c r="C68" s="123"/>
      <c r="D68" s="120"/>
      <c r="E68" s="123"/>
      <c r="F68" s="123"/>
      <c r="G68" s="123"/>
      <c r="H68" s="123"/>
      <c r="I68" s="123"/>
      <c r="J68" s="123"/>
      <c r="K68" s="123"/>
      <c r="L68" s="123"/>
      <c r="M68" s="123"/>
      <c r="N68" s="123"/>
      <c r="O68" s="123"/>
      <c r="P68" s="123"/>
      <c r="Q68" s="123"/>
      <c r="R68" s="124"/>
      <c r="S68" s="124"/>
      <c r="T68" s="123"/>
      <c r="U68" s="123"/>
      <c r="V68" s="123"/>
      <c r="W68" s="123"/>
      <c r="X68" s="123"/>
      <c r="Y68" s="123"/>
      <c r="Z68" s="123"/>
      <c r="AA68" s="123"/>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row>
    <row r="69" spans="3:167">
      <c r="C69" s="123"/>
      <c r="D69" s="120"/>
      <c r="E69" s="123"/>
      <c r="F69" s="123"/>
      <c r="G69" s="123"/>
      <c r="H69" s="123"/>
      <c r="I69" s="123"/>
      <c r="J69" s="123"/>
      <c r="K69" s="123"/>
      <c r="L69" s="123"/>
      <c r="M69" s="123"/>
      <c r="N69" s="123"/>
      <c r="O69" s="123"/>
      <c r="P69" s="123"/>
      <c r="Q69" s="123"/>
      <c r="R69" s="124"/>
      <c r="S69" s="124"/>
      <c r="T69" s="123"/>
      <c r="U69" s="123"/>
      <c r="V69" s="123"/>
      <c r="W69" s="123"/>
      <c r="X69" s="123"/>
      <c r="Y69" s="123"/>
      <c r="Z69" s="123"/>
      <c r="AA69" s="123"/>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row>
    <row r="70" spans="3:167">
      <c r="C70" s="123"/>
      <c r="D70" s="120"/>
      <c r="E70" s="123"/>
      <c r="F70" s="123"/>
      <c r="G70" s="123"/>
      <c r="H70" s="123"/>
      <c r="I70" s="123"/>
      <c r="J70" s="123"/>
      <c r="K70" s="123"/>
      <c r="L70" s="123"/>
      <c r="M70" s="123"/>
      <c r="N70" s="123"/>
      <c r="O70" s="123"/>
      <c r="P70" s="123"/>
      <c r="Q70" s="123"/>
      <c r="R70" s="124"/>
      <c r="S70" s="124"/>
      <c r="T70" s="123"/>
      <c r="U70" s="123"/>
      <c r="V70" s="123"/>
      <c r="W70" s="123"/>
      <c r="X70" s="123"/>
      <c r="Y70" s="123"/>
      <c r="Z70" s="123"/>
      <c r="AA70" s="123"/>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row>
    <row r="71" spans="3:167">
      <c r="C71" s="123"/>
      <c r="D71" s="120"/>
      <c r="E71" s="123"/>
      <c r="F71" s="123"/>
      <c r="G71" s="123"/>
      <c r="H71" s="123"/>
      <c r="I71" s="123"/>
      <c r="J71" s="123"/>
      <c r="K71" s="123"/>
      <c r="L71" s="123"/>
      <c r="M71" s="123"/>
      <c r="N71" s="123"/>
      <c r="O71" s="123"/>
      <c r="P71" s="123"/>
      <c r="Q71" s="123"/>
      <c r="R71" s="124"/>
      <c r="S71" s="124"/>
      <c r="T71" s="123"/>
      <c r="U71" s="123"/>
      <c r="V71" s="123"/>
      <c r="W71" s="123"/>
      <c r="X71" s="123"/>
      <c r="Y71" s="123"/>
      <c r="Z71" s="123"/>
      <c r="AA71" s="123"/>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row>
    <row r="72" spans="3:167">
      <c r="C72" s="123"/>
      <c r="D72" s="120"/>
      <c r="E72" s="123"/>
      <c r="F72" s="123"/>
      <c r="G72" s="123"/>
      <c r="H72" s="123"/>
      <c r="I72" s="123"/>
      <c r="J72" s="123"/>
      <c r="K72" s="123"/>
      <c r="L72" s="123"/>
      <c r="M72" s="123"/>
      <c r="N72" s="123"/>
      <c r="O72" s="123"/>
      <c r="P72" s="123"/>
      <c r="Q72" s="123"/>
      <c r="R72" s="124"/>
      <c r="S72" s="124"/>
      <c r="T72" s="123"/>
      <c r="U72" s="123"/>
      <c r="V72" s="123"/>
      <c r="W72" s="123"/>
      <c r="X72" s="123"/>
      <c r="Y72" s="123"/>
      <c r="Z72" s="123"/>
      <c r="AA72" s="123"/>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row>
    <row r="73" spans="3:167">
      <c r="C73" s="123"/>
      <c r="D73" s="120"/>
      <c r="E73" s="123"/>
      <c r="F73" s="123"/>
      <c r="G73" s="123"/>
      <c r="H73" s="123"/>
      <c r="I73" s="123"/>
      <c r="J73" s="123"/>
      <c r="K73" s="123"/>
      <c r="L73" s="123"/>
      <c r="M73" s="123"/>
      <c r="N73" s="123"/>
      <c r="O73" s="123"/>
      <c r="P73" s="123"/>
      <c r="Q73" s="123"/>
      <c r="R73" s="124"/>
      <c r="S73" s="124"/>
      <c r="T73" s="123"/>
      <c r="U73" s="123"/>
      <c r="V73" s="123"/>
      <c r="W73" s="123"/>
      <c r="X73" s="123"/>
      <c r="Y73" s="123"/>
      <c r="Z73" s="123"/>
      <c r="AA73" s="123"/>
    </row>
    <row r="74" spans="3:167">
      <c r="C74" s="123"/>
      <c r="D74" s="120"/>
      <c r="E74" s="123"/>
      <c r="F74" s="123"/>
      <c r="G74" s="123"/>
      <c r="H74" s="123"/>
      <c r="I74" s="123"/>
      <c r="J74" s="123"/>
      <c r="K74" s="123"/>
      <c r="L74" s="123"/>
      <c r="M74" s="123"/>
      <c r="N74" s="123"/>
      <c r="O74" s="123"/>
      <c r="P74" s="123"/>
      <c r="Q74" s="123"/>
      <c r="R74" s="124"/>
      <c r="S74" s="124"/>
      <c r="T74" s="123"/>
      <c r="U74" s="123"/>
      <c r="V74" s="123"/>
      <c r="W74" s="123"/>
      <c r="X74" s="123"/>
      <c r="Y74" s="123"/>
      <c r="Z74" s="123"/>
      <c r="AA74" s="123"/>
    </row>
    <row r="75" spans="3:167">
      <c r="C75" s="123"/>
      <c r="D75" s="120"/>
      <c r="E75" s="123"/>
      <c r="F75" s="123"/>
      <c r="G75" s="123"/>
      <c r="H75" s="123"/>
      <c r="I75" s="123"/>
      <c r="J75" s="123"/>
      <c r="K75" s="123"/>
      <c r="L75" s="123"/>
      <c r="M75" s="123"/>
      <c r="N75" s="123"/>
      <c r="O75" s="123"/>
      <c r="P75" s="123"/>
      <c r="Q75" s="123"/>
      <c r="R75" s="124"/>
      <c r="S75" s="124"/>
      <c r="T75" s="123"/>
      <c r="U75" s="123"/>
      <c r="V75" s="123"/>
      <c r="W75" s="123"/>
      <c r="X75" s="123"/>
      <c r="Y75" s="123"/>
      <c r="Z75" s="123"/>
      <c r="AA75" s="123"/>
    </row>
    <row r="76" spans="3:167">
      <c r="C76" s="123"/>
      <c r="D76" s="120"/>
      <c r="E76" s="123"/>
      <c r="F76" s="123"/>
      <c r="G76" s="123"/>
      <c r="H76" s="123"/>
      <c r="I76" s="123"/>
      <c r="J76" s="123"/>
      <c r="K76" s="123"/>
      <c r="L76" s="123"/>
      <c r="M76" s="123"/>
      <c r="N76" s="123"/>
      <c r="O76" s="123"/>
      <c r="P76" s="123"/>
      <c r="Q76" s="123"/>
      <c r="R76" s="124"/>
      <c r="S76" s="124"/>
      <c r="T76" s="123"/>
      <c r="U76" s="123"/>
      <c r="V76" s="123"/>
      <c r="W76" s="123"/>
      <c r="X76" s="123"/>
      <c r="Y76" s="123"/>
      <c r="Z76" s="123"/>
      <c r="AA76" s="123"/>
    </row>
    <row r="77" spans="3:167">
      <c r="C77" s="123"/>
      <c r="D77" s="120"/>
      <c r="E77" s="123"/>
      <c r="F77" s="123"/>
      <c r="G77" s="123"/>
      <c r="H77" s="123"/>
      <c r="I77" s="123"/>
      <c r="J77" s="123"/>
      <c r="K77" s="123"/>
      <c r="L77" s="123"/>
      <c r="M77" s="123"/>
      <c r="N77" s="123"/>
      <c r="O77" s="123"/>
      <c r="P77" s="123"/>
      <c r="Q77" s="123"/>
      <c r="R77" s="124"/>
      <c r="S77" s="124"/>
      <c r="T77" s="123"/>
      <c r="U77" s="123"/>
      <c r="V77" s="123"/>
      <c r="W77" s="123"/>
      <c r="X77" s="123"/>
      <c r="Y77" s="123"/>
      <c r="Z77" s="123"/>
      <c r="AA77" s="123"/>
    </row>
    <row r="78" spans="3:167">
      <c r="C78" s="123"/>
      <c r="D78" s="120"/>
      <c r="E78" s="123"/>
      <c r="F78" s="123"/>
      <c r="G78" s="123"/>
      <c r="H78" s="123"/>
      <c r="I78" s="123"/>
      <c r="J78" s="123"/>
      <c r="K78" s="123"/>
      <c r="L78" s="123"/>
      <c r="M78" s="123"/>
      <c r="N78" s="123"/>
      <c r="O78" s="123"/>
      <c r="P78" s="123"/>
      <c r="Q78" s="123"/>
      <c r="R78" s="124"/>
      <c r="S78" s="124"/>
      <c r="T78" s="123"/>
      <c r="U78" s="123"/>
      <c r="V78" s="123"/>
      <c r="W78" s="123"/>
      <c r="X78" s="123"/>
      <c r="Y78" s="123"/>
      <c r="Z78" s="123"/>
      <c r="AA78" s="123"/>
    </row>
    <row r="79" spans="3:167">
      <c r="C79" s="123"/>
      <c r="D79" s="120"/>
      <c r="E79" s="123"/>
      <c r="F79" s="123"/>
      <c r="G79" s="123"/>
      <c r="H79" s="123"/>
      <c r="I79" s="123"/>
      <c r="J79" s="123"/>
      <c r="K79" s="123"/>
      <c r="L79" s="123"/>
      <c r="M79" s="123"/>
      <c r="N79" s="123"/>
      <c r="O79" s="123"/>
      <c r="P79" s="123"/>
      <c r="Q79" s="123"/>
      <c r="R79" s="124"/>
      <c r="S79" s="124"/>
      <c r="T79" s="123"/>
      <c r="U79" s="123"/>
      <c r="V79" s="123"/>
      <c r="W79" s="123"/>
      <c r="X79" s="123"/>
      <c r="Y79" s="123"/>
      <c r="Z79" s="123"/>
      <c r="AA79" s="123"/>
    </row>
    <row r="80" spans="3:167">
      <c r="C80" s="123"/>
      <c r="D80" s="120"/>
      <c r="E80" s="123"/>
      <c r="F80" s="123"/>
      <c r="G80" s="123"/>
      <c r="H80" s="123"/>
      <c r="I80" s="123"/>
      <c r="J80" s="123"/>
      <c r="K80" s="123"/>
      <c r="L80" s="123"/>
      <c r="M80" s="123"/>
      <c r="N80" s="123"/>
      <c r="O80" s="123"/>
      <c r="P80" s="123"/>
      <c r="Q80" s="123"/>
      <c r="R80" s="124"/>
      <c r="S80" s="124"/>
      <c r="T80" s="123"/>
      <c r="U80" s="123"/>
      <c r="V80" s="123"/>
      <c r="W80" s="123"/>
      <c r="X80" s="123"/>
      <c r="Y80" s="123"/>
      <c r="Z80" s="123"/>
      <c r="AA80" s="123"/>
    </row>
    <row r="81" spans="3:27">
      <c r="C81" s="123"/>
      <c r="D81" s="120"/>
      <c r="E81" s="123"/>
      <c r="F81" s="123"/>
      <c r="G81" s="123"/>
      <c r="H81" s="123"/>
      <c r="I81" s="123"/>
      <c r="J81" s="123"/>
      <c r="K81" s="123"/>
      <c r="L81" s="123"/>
      <c r="M81" s="123"/>
      <c r="N81" s="123"/>
      <c r="O81" s="123"/>
      <c r="P81" s="123"/>
      <c r="Q81" s="123"/>
      <c r="R81" s="124"/>
      <c r="S81" s="124"/>
      <c r="T81" s="123"/>
      <c r="U81" s="123"/>
      <c r="V81" s="123"/>
      <c r="W81" s="123"/>
      <c r="X81" s="123"/>
      <c r="Y81" s="123"/>
      <c r="Z81" s="123"/>
      <c r="AA81" s="123"/>
    </row>
    <row r="82" spans="3:27">
      <c r="C82" s="123"/>
      <c r="D82" s="120"/>
      <c r="E82" s="123"/>
      <c r="F82" s="123"/>
      <c r="G82" s="123"/>
      <c r="H82" s="123"/>
      <c r="I82" s="123"/>
      <c r="J82" s="123"/>
      <c r="K82" s="123"/>
      <c r="L82" s="123"/>
      <c r="M82" s="123"/>
      <c r="N82" s="123"/>
      <c r="O82" s="123"/>
      <c r="P82" s="123"/>
      <c r="Q82" s="123"/>
      <c r="R82" s="124"/>
      <c r="S82" s="124"/>
      <c r="T82" s="123"/>
      <c r="U82" s="123"/>
      <c r="V82" s="123"/>
      <c r="W82" s="123"/>
      <c r="X82" s="123"/>
      <c r="Y82" s="123"/>
      <c r="Z82" s="123"/>
      <c r="AA82" s="123"/>
    </row>
    <row r="83" spans="3:27">
      <c r="C83" s="123"/>
      <c r="D83" s="120"/>
      <c r="E83" s="123"/>
      <c r="F83" s="123"/>
      <c r="G83" s="123"/>
      <c r="H83" s="123"/>
      <c r="I83" s="123"/>
      <c r="J83" s="123"/>
      <c r="K83" s="123"/>
      <c r="L83" s="123"/>
      <c r="M83" s="123"/>
      <c r="N83" s="123"/>
      <c r="O83" s="123"/>
      <c r="P83" s="123"/>
      <c r="Q83" s="123"/>
      <c r="R83" s="124"/>
      <c r="S83" s="124"/>
      <c r="T83" s="123"/>
      <c r="U83" s="123"/>
      <c r="V83" s="123"/>
      <c r="W83" s="123"/>
      <c r="X83" s="123"/>
      <c r="Y83" s="123"/>
      <c r="Z83" s="123"/>
      <c r="AA83" s="123"/>
    </row>
    <row r="84" spans="3:27">
      <c r="C84" s="123"/>
      <c r="D84" s="120"/>
      <c r="E84" s="123"/>
      <c r="F84" s="120"/>
      <c r="G84" s="123"/>
      <c r="H84" s="120"/>
      <c r="I84" s="123"/>
      <c r="J84" s="123"/>
      <c r="K84" s="123"/>
      <c r="L84" s="123"/>
      <c r="M84" s="123"/>
      <c r="N84" s="123"/>
      <c r="O84" s="123"/>
      <c r="P84" s="123"/>
      <c r="Q84" s="123"/>
      <c r="R84" s="124"/>
      <c r="S84" s="124"/>
      <c r="T84" s="123"/>
      <c r="U84" s="123"/>
      <c r="V84" s="123"/>
      <c r="W84" s="123"/>
      <c r="X84" s="123"/>
      <c r="Y84" s="123"/>
      <c r="Z84" s="123"/>
      <c r="AA84" s="123"/>
    </row>
    <row r="85" spans="3:27">
      <c r="C85" s="120"/>
      <c r="D85" s="120"/>
      <c r="E85" s="123"/>
      <c r="F85" s="123"/>
      <c r="G85" s="123"/>
      <c r="H85" s="123"/>
      <c r="I85" s="123"/>
      <c r="J85" s="123"/>
      <c r="K85" s="123"/>
      <c r="L85" s="123"/>
      <c r="M85" s="123"/>
      <c r="N85" s="123"/>
      <c r="O85" s="123"/>
      <c r="P85" s="123"/>
      <c r="Q85" s="123"/>
      <c r="R85" s="123"/>
      <c r="S85" s="123"/>
      <c r="T85" s="123"/>
      <c r="U85" s="123"/>
      <c r="V85" s="123"/>
      <c r="W85" s="123"/>
      <c r="X85" s="123"/>
      <c r="Y85" s="123"/>
      <c r="Z85" s="123"/>
      <c r="AA85" s="123"/>
    </row>
    <row r="86" spans="3:27">
      <c r="C86" s="120"/>
      <c r="D86" s="120"/>
      <c r="E86" s="123"/>
      <c r="F86" s="123"/>
      <c r="G86" s="123"/>
      <c r="H86" s="123"/>
      <c r="I86" s="123"/>
      <c r="J86" s="123"/>
      <c r="K86" s="123"/>
      <c r="L86" s="123"/>
      <c r="M86" s="123"/>
      <c r="N86" s="123"/>
      <c r="O86" s="123"/>
      <c r="P86" s="123"/>
      <c r="Q86" s="123"/>
      <c r="R86" s="123"/>
      <c r="S86" s="123"/>
      <c r="T86" s="123"/>
      <c r="U86" s="123"/>
      <c r="V86" s="123"/>
      <c r="W86" s="123"/>
      <c r="X86" s="123"/>
      <c r="Y86" s="123"/>
      <c r="Z86" s="123"/>
      <c r="AA86" s="123"/>
    </row>
    <row r="87" spans="3:27">
      <c r="C87" s="120"/>
      <c r="D87" s="120"/>
      <c r="E87" s="123"/>
      <c r="F87" s="123"/>
      <c r="G87" s="123"/>
      <c r="H87" s="123"/>
      <c r="I87" s="123"/>
      <c r="J87" s="123"/>
      <c r="K87" s="123"/>
      <c r="L87" s="123"/>
      <c r="M87" s="123"/>
      <c r="N87" s="123"/>
      <c r="O87" s="123"/>
      <c r="P87" s="123"/>
      <c r="Q87" s="123"/>
      <c r="R87" s="123"/>
      <c r="S87" s="123"/>
      <c r="T87" s="123"/>
      <c r="U87" s="123"/>
      <c r="V87" s="123"/>
      <c r="W87" s="123"/>
      <c r="X87" s="123"/>
      <c r="Y87" s="123"/>
      <c r="Z87" s="123"/>
      <c r="AA87" s="123"/>
    </row>
    <row r="88" spans="3:27">
      <c r="C88" s="120"/>
      <c r="D88" s="120"/>
      <c r="E88" s="123"/>
      <c r="F88" s="123"/>
      <c r="G88" s="123"/>
      <c r="H88" s="123"/>
      <c r="I88" s="123"/>
      <c r="J88" s="123"/>
      <c r="K88" s="123"/>
      <c r="L88" s="123"/>
      <c r="M88" s="123"/>
      <c r="N88" s="123"/>
      <c r="O88" s="123"/>
      <c r="P88" s="123"/>
      <c r="Q88" s="123"/>
      <c r="R88" s="123"/>
      <c r="S88" s="123"/>
      <c r="T88" s="123"/>
      <c r="U88" s="123"/>
      <c r="V88" s="123"/>
      <c r="W88" s="123"/>
      <c r="X88" s="123"/>
      <c r="Y88" s="123"/>
      <c r="Z88" s="123"/>
      <c r="AA88" s="123"/>
    </row>
    <row r="89" spans="3:27">
      <c r="C89" s="120"/>
      <c r="D89" s="120"/>
      <c r="E89" s="123"/>
      <c r="F89" s="123"/>
      <c r="G89" s="123"/>
      <c r="H89" s="123"/>
      <c r="I89" s="123"/>
      <c r="J89" s="123"/>
      <c r="K89" s="123"/>
      <c r="L89" s="123"/>
      <c r="M89" s="123"/>
      <c r="N89" s="123"/>
      <c r="O89" s="123"/>
      <c r="P89" s="123"/>
      <c r="Q89" s="123"/>
      <c r="R89" s="123"/>
      <c r="S89" s="123"/>
      <c r="T89" s="123"/>
      <c r="U89" s="123"/>
      <c r="V89" s="123"/>
      <c r="W89" s="123"/>
      <c r="X89" s="123"/>
      <c r="Y89" s="123"/>
      <c r="Z89" s="123"/>
      <c r="AA89" s="123"/>
    </row>
    <row r="90" spans="3:27">
      <c r="C90" s="120"/>
      <c r="D90" s="120"/>
      <c r="E90" s="123"/>
      <c r="F90" s="123"/>
      <c r="G90" s="123"/>
      <c r="H90" s="123"/>
      <c r="I90" s="123"/>
      <c r="J90" s="123"/>
      <c r="K90" s="123"/>
      <c r="L90" s="123"/>
      <c r="M90" s="123"/>
      <c r="N90" s="123"/>
      <c r="O90" s="123"/>
      <c r="P90" s="123"/>
      <c r="Q90" s="123"/>
      <c r="R90" s="123"/>
      <c r="S90" s="123"/>
      <c r="T90" s="123"/>
      <c r="U90" s="123"/>
      <c r="V90" s="123"/>
      <c r="W90" s="123"/>
      <c r="X90" s="123"/>
      <c r="Y90" s="123"/>
      <c r="Z90" s="123"/>
      <c r="AA90" s="123"/>
    </row>
    <row r="91" spans="3:27">
      <c r="C91" s="120"/>
      <c r="D91" s="120"/>
      <c r="E91" s="123"/>
      <c r="F91" s="123"/>
      <c r="G91" s="123"/>
      <c r="H91" s="123"/>
      <c r="I91" s="123"/>
      <c r="J91" s="123"/>
      <c r="K91" s="123"/>
      <c r="L91" s="123"/>
      <c r="M91" s="123"/>
      <c r="N91" s="123"/>
      <c r="O91" s="123"/>
      <c r="P91" s="123"/>
      <c r="Q91" s="123"/>
      <c r="R91" s="123"/>
      <c r="S91" s="123"/>
      <c r="T91" s="123"/>
      <c r="U91" s="123"/>
      <c r="V91" s="123"/>
      <c r="W91" s="123"/>
      <c r="X91" s="123"/>
      <c r="Y91" s="123"/>
      <c r="Z91" s="123"/>
      <c r="AA91" s="123"/>
    </row>
    <row r="92" spans="3:27">
      <c r="C92" s="120"/>
      <c r="D92" s="120"/>
      <c r="E92" s="123"/>
      <c r="F92" s="123"/>
      <c r="G92" s="123"/>
      <c r="H92" s="123"/>
      <c r="I92" s="123"/>
      <c r="J92" s="123"/>
      <c r="K92" s="123"/>
      <c r="L92" s="123"/>
      <c r="M92" s="123"/>
      <c r="N92" s="123"/>
      <c r="O92" s="123"/>
      <c r="P92" s="123"/>
      <c r="Q92" s="123"/>
      <c r="R92" s="123"/>
      <c r="S92" s="123"/>
      <c r="T92" s="123"/>
      <c r="U92" s="123"/>
      <c r="V92" s="123"/>
      <c r="W92" s="123"/>
      <c r="X92" s="123"/>
      <c r="Y92" s="123"/>
      <c r="Z92" s="123"/>
      <c r="AA92" s="123"/>
    </row>
    <row r="93" spans="3:27">
      <c r="C93" s="120"/>
      <c r="D93" s="120"/>
      <c r="E93" s="123"/>
      <c r="F93" s="123"/>
      <c r="G93" s="123"/>
      <c r="H93" s="123"/>
      <c r="I93" s="123"/>
      <c r="J93" s="123"/>
      <c r="K93" s="123"/>
      <c r="L93" s="123"/>
      <c r="M93" s="123"/>
      <c r="N93" s="123"/>
      <c r="O93" s="123"/>
      <c r="P93" s="123"/>
      <c r="Q93" s="123"/>
      <c r="R93" s="123"/>
      <c r="S93" s="123"/>
      <c r="T93" s="123"/>
      <c r="U93" s="123"/>
      <c r="V93" s="123"/>
      <c r="W93" s="123"/>
      <c r="X93" s="123"/>
      <c r="Y93" s="123"/>
      <c r="Z93" s="123"/>
      <c r="AA93" s="123"/>
    </row>
    <row r="94" spans="3:27">
      <c r="C94" s="120"/>
      <c r="D94" s="120"/>
      <c r="E94" s="123"/>
      <c r="F94" s="123"/>
      <c r="G94" s="123"/>
      <c r="H94" s="123"/>
      <c r="I94" s="123"/>
      <c r="J94" s="123"/>
      <c r="K94" s="123"/>
      <c r="L94" s="123"/>
      <c r="M94" s="123"/>
      <c r="N94" s="123"/>
      <c r="O94" s="123"/>
      <c r="P94" s="123"/>
      <c r="Q94" s="123"/>
      <c r="R94" s="123"/>
      <c r="S94" s="123"/>
      <c r="T94" s="123"/>
      <c r="U94" s="123"/>
      <c r="V94" s="123"/>
      <c r="W94" s="123"/>
      <c r="X94" s="123"/>
      <c r="Y94" s="123"/>
      <c r="Z94" s="123"/>
      <c r="AA94" s="123"/>
    </row>
    <row r="95" spans="3:27">
      <c r="C95" s="120"/>
      <c r="D95" s="120"/>
      <c r="E95" s="123"/>
      <c r="F95" s="123"/>
      <c r="G95" s="123"/>
      <c r="H95" s="123"/>
      <c r="I95" s="123"/>
      <c r="J95" s="123"/>
      <c r="K95" s="123"/>
      <c r="L95" s="123"/>
      <c r="M95" s="123"/>
      <c r="N95" s="123"/>
      <c r="O95" s="123"/>
      <c r="P95" s="123"/>
      <c r="Q95" s="123"/>
      <c r="R95" s="123"/>
      <c r="S95" s="123"/>
      <c r="T95" s="123"/>
      <c r="U95" s="123"/>
      <c r="V95" s="123"/>
      <c r="W95" s="123"/>
      <c r="X95" s="123"/>
      <c r="Y95" s="123"/>
      <c r="Z95" s="123"/>
      <c r="AA95" s="123"/>
    </row>
    <row r="96" spans="3:27">
      <c r="C96" s="120"/>
      <c r="D96" s="120"/>
      <c r="E96" s="123"/>
      <c r="F96" s="123"/>
      <c r="G96" s="123"/>
      <c r="H96" s="123"/>
      <c r="I96" s="123"/>
      <c r="J96" s="123"/>
      <c r="K96" s="123"/>
      <c r="L96" s="123"/>
      <c r="M96" s="123"/>
      <c r="N96" s="123"/>
      <c r="O96" s="123"/>
      <c r="P96" s="123"/>
      <c r="Q96" s="123"/>
      <c r="R96" s="123"/>
      <c r="S96" s="123"/>
      <c r="T96" s="123"/>
      <c r="U96" s="123"/>
      <c r="V96" s="123"/>
      <c r="W96" s="123"/>
      <c r="X96" s="123"/>
      <c r="Y96" s="123"/>
      <c r="Z96" s="123"/>
      <c r="AA96" s="123"/>
    </row>
    <row r="97" spans="3:27">
      <c r="C97" s="120"/>
      <c r="D97" s="120"/>
      <c r="E97" s="123"/>
      <c r="F97" s="123"/>
      <c r="G97" s="123"/>
      <c r="H97" s="123"/>
      <c r="I97" s="123"/>
      <c r="J97" s="123"/>
      <c r="K97" s="123"/>
      <c r="L97" s="123"/>
      <c r="M97" s="123"/>
      <c r="N97" s="123"/>
      <c r="O97" s="123"/>
      <c r="P97" s="123"/>
      <c r="Q97" s="123"/>
      <c r="R97" s="123"/>
      <c r="S97" s="123"/>
      <c r="T97" s="123"/>
      <c r="U97" s="123"/>
      <c r="V97" s="123"/>
      <c r="W97" s="123"/>
      <c r="X97" s="123"/>
      <c r="Y97" s="123"/>
      <c r="Z97" s="123"/>
      <c r="AA97" s="123"/>
    </row>
    <row r="98" spans="3:27">
      <c r="C98" s="129"/>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row>
    <row r="99" spans="3:27">
      <c r="C99" s="129"/>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row>
    <row r="100" spans="3:27">
      <c r="C100" s="123"/>
      <c r="D100" s="120"/>
      <c r="E100" s="123"/>
      <c r="F100" s="123"/>
      <c r="G100" s="123"/>
      <c r="H100" s="123"/>
      <c r="I100" s="123"/>
      <c r="J100" s="123"/>
      <c r="K100" s="123"/>
      <c r="L100" s="123"/>
      <c r="M100" s="123"/>
      <c r="N100" s="123"/>
      <c r="O100" s="123"/>
      <c r="P100" s="123"/>
      <c r="Q100" s="123"/>
      <c r="R100" s="124"/>
      <c r="S100" s="124"/>
      <c r="T100" s="123"/>
      <c r="U100" s="123"/>
      <c r="V100" s="123"/>
      <c r="W100" s="123"/>
      <c r="X100" s="123"/>
      <c r="Y100" s="123"/>
      <c r="Z100" s="123"/>
      <c r="AA100" s="123"/>
    </row>
    <row r="101" spans="3:27">
      <c r="C101" s="123"/>
      <c r="D101" s="120"/>
      <c r="E101" s="123"/>
      <c r="F101" s="123"/>
      <c r="G101" s="123"/>
      <c r="H101" s="123"/>
      <c r="I101" s="123"/>
      <c r="J101" s="123"/>
      <c r="K101" s="123"/>
      <c r="L101" s="123"/>
      <c r="M101" s="123"/>
      <c r="N101" s="123"/>
      <c r="O101" s="123"/>
      <c r="P101" s="123"/>
      <c r="Q101" s="123"/>
      <c r="R101" s="124"/>
      <c r="S101" s="124"/>
      <c r="T101" s="123"/>
      <c r="U101" s="123"/>
      <c r="V101" s="123"/>
      <c r="W101" s="123"/>
      <c r="X101" s="123"/>
      <c r="Y101" s="123"/>
      <c r="Z101" s="123"/>
      <c r="AA101" s="123"/>
    </row>
    <row r="102" spans="3:27">
      <c r="C102" s="123"/>
      <c r="D102" s="120"/>
      <c r="E102" s="123"/>
      <c r="F102" s="123"/>
      <c r="G102" s="123"/>
      <c r="H102" s="123"/>
      <c r="I102" s="123"/>
      <c r="J102" s="123"/>
      <c r="K102" s="123"/>
      <c r="L102" s="123"/>
      <c r="M102" s="123"/>
      <c r="N102" s="123"/>
      <c r="O102" s="123"/>
      <c r="P102" s="123"/>
      <c r="Q102" s="123"/>
      <c r="R102" s="124"/>
      <c r="S102" s="124"/>
      <c r="T102" s="123"/>
      <c r="U102" s="123"/>
      <c r="V102" s="123"/>
      <c r="W102" s="123"/>
      <c r="X102" s="123"/>
      <c r="Y102" s="123"/>
      <c r="Z102" s="123"/>
      <c r="AA102" s="123"/>
    </row>
    <row r="103" spans="3:27">
      <c r="C103" s="123"/>
      <c r="D103" s="120"/>
      <c r="E103" s="123"/>
      <c r="F103" s="123"/>
      <c r="G103" s="123"/>
      <c r="H103" s="123"/>
      <c r="I103" s="123"/>
      <c r="J103" s="123"/>
      <c r="K103" s="123"/>
      <c r="L103" s="123"/>
      <c r="M103" s="123"/>
      <c r="N103" s="123"/>
      <c r="O103" s="123"/>
      <c r="P103" s="123"/>
      <c r="Q103" s="123"/>
      <c r="R103" s="124"/>
      <c r="S103" s="124"/>
      <c r="T103" s="123"/>
      <c r="U103" s="123"/>
      <c r="V103" s="123"/>
      <c r="W103" s="123"/>
      <c r="X103" s="123"/>
      <c r="Y103" s="123"/>
      <c r="Z103" s="123"/>
      <c r="AA103" s="123"/>
    </row>
    <row r="104" spans="3:27">
      <c r="C104" s="123"/>
      <c r="D104" s="120"/>
      <c r="E104" s="123"/>
      <c r="F104" s="123"/>
      <c r="G104" s="123"/>
      <c r="H104" s="123"/>
      <c r="I104" s="123"/>
      <c r="J104" s="123"/>
      <c r="K104" s="123"/>
      <c r="L104" s="123"/>
      <c r="M104" s="123"/>
      <c r="N104" s="123"/>
      <c r="O104" s="123"/>
      <c r="P104" s="123"/>
      <c r="Q104" s="123"/>
      <c r="R104" s="124"/>
      <c r="S104" s="124"/>
      <c r="T104" s="123"/>
      <c r="U104" s="123"/>
      <c r="V104" s="123"/>
      <c r="W104" s="123"/>
      <c r="X104" s="123"/>
      <c r="Y104" s="123"/>
      <c r="Z104" s="123"/>
      <c r="AA104" s="123"/>
    </row>
    <row r="105" spans="3:27">
      <c r="C105" s="123"/>
      <c r="D105" s="120"/>
      <c r="E105" s="123"/>
      <c r="F105" s="123"/>
      <c r="G105" s="123"/>
      <c r="H105" s="123"/>
      <c r="I105" s="123"/>
      <c r="J105" s="123"/>
      <c r="K105" s="123"/>
      <c r="L105" s="123"/>
      <c r="M105" s="123"/>
      <c r="N105" s="123"/>
      <c r="O105" s="123"/>
      <c r="P105" s="123"/>
      <c r="Q105" s="123"/>
      <c r="R105" s="124"/>
      <c r="S105" s="124"/>
      <c r="T105" s="123"/>
      <c r="U105" s="123"/>
      <c r="V105" s="123"/>
      <c r="W105" s="123"/>
      <c r="X105" s="123"/>
      <c r="Y105" s="123"/>
      <c r="Z105" s="123"/>
      <c r="AA105" s="123"/>
    </row>
    <row r="106" spans="3:27">
      <c r="C106" s="123"/>
      <c r="D106" s="120"/>
      <c r="E106" s="123"/>
      <c r="F106" s="123"/>
      <c r="G106" s="123"/>
      <c r="H106" s="123"/>
      <c r="I106" s="123"/>
      <c r="J106" s="123"/>
      <c r="K106" s="123"/>
      <c r="L106" s="123"/>
      <c r="M106" s="123"/>
      <c r="N106" s="123"/>
      <c r="O106" s="123"/>
      <c r="P106" s="123"/>
      <c r="Q106" s="123"/>
      <c r="R106" s="124"/>
      <c r="S106" s="124"/>
      <c r="T106" s="123"/>
      <c r="U106" s="123"/>
      <c r="V106" s="123"/>
      <c r="W106" s="123"/>
      <c r="X106" s="123"/>
      <c r="Y106" s="123"/>
      <c r="Z106" s="123"/>
      <c r="AA106" s="123"/>
    </row>
    <row r="107" spans="3:27">
      <c r="C107" s="123"/>
      <c r="D107" s="120"/>
      <c r="E107" s="123"/>
      <c r="F107" s="123"/>
      <c r="G107" s="123"/>
      <c r="H107" s="123"/>
      <c r="I107" s="123"/>
      <c r="J107" s="123"/>
      <c r="K107" s="123"/>
      <c r="L107" s="123"/>
      <c r="M107" s="123"/>
      <c r="N107" s="123"/>
      <c r="O107" s="123"/>
      <c r="P107" s="123"/>
      <c r="Q107" s="123"/>
      <c r="R107" s="124"/>
      <c r="S107" s="124"/>
      <c r="T107" s="123"/>
      <c r="U107" s="123"/>
      <c r="V107" s="123"/>
      <c r="W107" s="123"/>
      <c r="X107" s="123"/>
      <c r="Y107" s="123"/>
      <c r="Z107" s="123"/>
      <c r="AA107"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39.xml><?xml version="1.0" encoding="utf-8"?>
<worksheet xmlns="http://schemas.openxmlformats.org/spreadsheetml/2006/main" xmlns:r="http://schemas.openxmlformats.org/officeDocument/2006/relationships">
  <sheetPr codeName="Sheet551214"/>
  <dimension ref="A1:AF77"/>
  <sheetViews>
    <sheetView zoomScale="75" workbookViewId="0">
      <selection activeCell="O39" sqref="O39"/>
    </sheetView>
  </sheetViews>
  <sheetFormatPr defaultColWidth="11.42578125" defaultRowHeight="12.75"/>
  <cols>
    <col min="1" max="1" width="15.140625" customWidth="1"/>
    <col min="2" max="2" width="13.5703125" customWidth="1"/>
    <col min="3" max="3" width="33.85546875" customWidth="1"/>
    <col min="4" max="4" width="13" customWidth="1"/>
    <col min="5" max="6" width="9.7109375" bestFit="1" customWidth="1"/>
  </cols>
  <sheetData>
    <row r="1" spans="1:27" ht="18">
      <c r="A1" s="10" t="s">
        <v>609</v>
      </c>
    </row>
    <row r="2" spans="1:27" ht="18">
      <c r="A2" s="10"/>
      <c r="D2" s="245"/>
    </row>
    <row r="3" spans="1:27">
      <c r="B3" s="16"/>
      <c r="C3" s="17"/>
      <c r="D3" s="245"/>
      <c r="O3" s="18">
        <v>1</v>
      </c>
      <c r="P3" t="s">
        <v>666</v>
      </c>
      <c r="Z3" s="463">
        <v>0</v>
      </c>
      <c r="AA3" s="463">
        <v>1</v>
      </c>
    </row>
    <row r="4" spans="1:27" ht="18">
      <c r="B4" s="131" t="s">
        <v>594</v>
      </c>
      <c r="C4" s="98"/>
      <c r="D4" s="252" t="str">
        <f>"~FI_T: "&amp;Region</f>
        <v>~FI_T: FIM</v>
      </c>
      <c r="E4" s="4" t="s">
        <v>250</v>
      </c>
      <c r="R4" s="4"/>
      <c r="S4" s="4"/>
    </row>
    <row r="5" spans="1:27" ht="39" thickBot="1">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"RESID~"&amp;CEILING(AuxYear+19,5)</f>
        <v>RESID~2040</v>
      </c>
      <c r="S5" s="52" t="str">
        <f ca="1">"RESID~"&amp;CEILING(AuxYear+29,5)</f>
        <v>RESID~2050</v>
      </c>
      <c r="T5" s="52" t="s">
        <v>981</v>
      </c>
      <c r="U5" s="52" t="s">
        <v>537</v>
      </c>
      <c r="V5" s="52" t="s">
        <v>778</v>
      </c>
      <c r="W5" s="257" t="s">
        <v>381</v>
      </c>
      <c r="Y5" s="427" t="s">
        <v>993</v>
      </c>
      <c r="Z5" s="427" t="s">
        <v>997</v>
      </c>
      <c r="AA5" s="427" t="s">
        <v>998</v>
      </c>
    </row>
    <row r="6" spans="1:27" ht="14.1" customHeight="1" thickBot="1">
      <c r="B6" s="434" t="s">
        <v>999</v>
      </c>
      <c r="C6" s="190"/>
      <c r="D6" s="190"/>
      <c r="E6" s="191"/>
      <c r="F6" s="191"/>
      <c r="G6" s="191"/>
      <c r="H6" s="191"/>
      <c r="I6" s="190"/>
      <c r="J6" s="193"/>
      <c r="K6" s="191"/>
      <c r="L6" s="190"/>
      <c r="M6" s="190"/>
      <c r="N6" s="191"/>
      <c r="O6" s="192"/>
      <c r="P6" s="190"/>
      <c r="Q6" s="190"/>
      <c r="R6" s="192"/>
      <c r="S6" s="190"/>
      <c r="T6" s="190"/>
      <c r="U6" s="190"/>
      <c r="V6" s="190"/>
      <c r="W6" s="257"/>
      <c r="Y6" s="190"/>
      <c r="Z6" s="190"/>
      <c r="AA6" s="190"/>
    </row>
    <row r="7" spans="1:27" ht="14.1" customHeight="1">
      <c r="B7" s="76" t="s">
        <v>624</v>
      </c>
      <c r="C7" s="378" t="s">
        <v>548</v>
      </c>
      <c r="D7" s="84" t="s">
        <v>837</v>
      </c>
      <c r="E7" s="33">
        <f ca="1">Z7*IEAData2!$E$88</f>
        <v>0.82048031759737627</v>
      </c>
      <c r="F7" s="33">
        <f ca="1">AA7*AuxData2!$E$88</f>
        <v>0.87841277583966437</v>
      </c>
      <c r="G7" s="40">
        <v>1</v>
      </c>
      <c r="H7" s="343" t="str">
        <f ca="1">RIGHT(D7,3)</f>
        <v>ELC</v>
      </c>
      <c r="I7" s="81">
        <v>1</v>
      </c>
      <c r="J7" s="366">
        <f>G7*I7</f>
        <v>1</v>
      </c>
      <c r="K7" s="420">
        <f ca="1">F7*J7</f>
        <v>0.87841277583966437</v>
      </c>
      <c r="L7" s="497">
        <v>1</v>
      </c>
      <c r="M7" s="358">
        <v>1</v>
      </c>
      <c r="N7" s="358">
        <v>15</v>
      </c>
      <c r="O7" s="414">
        <f ca="1">E7*J7/$M7</f>
        <v>0.82048031759737627</v>
      </c>
      <c r="P7" s="412">
        <f ca="1">F7*J7/$M7</f>
        <v>0.87841277583966437</v>
      </c>
      <c r="Q7" s="498">
        <f ca="1">0.6*P7</f>
        <v>0.52704766550379856</v>
      </c>
      <c r="R7" s="359">
        <v>0</v>
      </c>
      <c r="S7" s="40"/>
      <c r="T7" s="40"/>
      <c r="U7" s="40"/>
      <c r="V7" s="40"/>
      <c r="W7" s="258">
        <f ca="1">IF($E$9=0,0,E7/$E$9)</f>
        <v>0.78</v>
      </c>
      <c r="Y7" s="436">
        <f ca="1">IF(B6="*",MATCH(LEFT(B7,3),OFFSET(CalibData2!$C$78,1,0,100),0),Y6)</f>
        <v>20</v>
      </c>
      <c r="Z7" s="361">
        <f ca="1">OFFSET(TechShar,$Y7,Z$3)</f>
        <v>0.78</v>
      </c>
      <c r="AA7" s="361">
        <f ca="1">OFFSET(TechShar,$Y7,AA$3)</f>
        <v>0.78</v>
      </c>
    </row>
    <row r="8" spans="1:27" ht="14.1" customHeight="1">
      <c r="B8" s="455" t="s">
        <v>625</v>
      </c>
      <c r="C8" s="460" t="s">
        <v>549</v>
      </c>
      <c r="D8" s="142" t="s">
        <v>837</v>
      </c>
      <c r="E8" s="456">
        <f ca="1">Z8*IEAData2!$E$88</f>
        <v>0.23141752547618302</v>
      </c>
      <c r="F8" s="456">
        <f ca="1">AA8*AuxData2!$E$88</f>
        <v>0.24775744959580273</v>
      </c>
      <c r="G8" s="457">
        <v>1</v>
      </c>
      <c r="H8" s="458" t="str">
        <f ca="1">RIGHT(D8,3)</f>
        <v>ELC</v>
      </c>
      <c r="I8" s="146">
        <v>1</v>
      </c>
      <c r="J8" s="499">
        <f>G8*I8</f>
        <v>1</v>
      </c>
      <c r="K8" s="458">
        <f ca="1">F8*J8</f>
        <v>0.24775744959580273</v>
      </c>
      <c r="L8" s="500">
        <v>1</v>
      </c>
      <c r="M8" s="501">
        <v>1</v>
      </c>
      <c r="N8" s="501">
        <v>15</v>
      </c>
      <c r="O8" s="502">
        <f ca="1">E8*J8/$M8</f>
        <v>0.23141752547618302</v>
      </c>
      <c r="P8" s="503">
        <f ca="1">F8*J8/$M8</f>
        <v>0.24775744959580273</v>
      </c>
      <c r="Q8" s="504">
        <f ca="1">0.6*P8</f>
        <v>0.14865446975748164</v>
      </c>
      <c r="R8" s="505">
        <v>0</v>
      </c>
      <c r="S8" s="340"/>
      <c r="T8" s="340"/>
      <c r="U8" s="340"/>
      <c r="V8" s="340"/>
      <c r="W8" s="258">
        <f ca="1">IF($E$9=0,0,E8/$E$9)</f>
        <v>0.21999999999999997</v>
      </c>
      <c r="Y8" s="436">
        <f ca="1">IF(B7="*",MATCH(LEFT(B8,3),OFFSET(CalibData2!$C$78,1,0,100),0),Y7)</f>
        <v>20</v>
      </c>
      <c r="Z8" s="358">
        <f ca="1">1-Z7</f>
        <v>0.21999999999999997</v>
      </c>
      <c r="AA8" s="358">
        <f ca="1">1-AA7</f>
        <v>0.21999999999999997</v>
      </c>
    </row>
    <row r="9" spans="1:27" ht="14.1" customHeight="1">
      <c r="B9" s="451" t="s">
        <v>999</v>
      </c>
      <c r="C9" s="452"/>
      <c r="D9" s="452"/>
      <c r="E9" s="453">
        <f ca="1">SUM(E7:E8)</f>
        <v>1.0518978430735593</v>
      </c>
      <c r="F9" s="453">
        <f ca="1">SUM(F7:F8)</f>
        <v>1.1261702254354671</v>
      </c>
      <c r="G9" s="453"/>
      <c r="H9" s="506">
        <f ca="1">SUMPRODUCT(E7:E8,J7:J8)</f>
        <v>1.0518978430735593</v>
      </c>
      <c r="I9" s="452"/>
      <c r="J9" s="507"/>
      <c r="K9" s="506">
        <f ca="1">SUM(K7:K8)</f>
        <v>1.1261702254354671</v>
      </c>
      <c r="L9" s="508"/>
      <c r="M9" s="508"/>
      <c r="N9" s="506"/>
      <c r="O9" s="509">
        <f ca="1">SUM(O7:O8)</f>
        <v>1.0518978430735593</v>
      </c>
      <c r="P9" s="508"/>
      <c r="Q9" s="508"/>
      <c r="R9" s="509"/>
      <c r="S9" s="452"/>
      <c r="T9" s="452"/>
      <c r="U9" s="452"/>
      <c r="V9" s="452"/>
      <c r="W9" s="259">
        <f ca="1">SUM(W7:W8)</f>
        <v>1</v>
      </c>
      <c r="Y9" s="190"/>
      <c r="Z9" s="190"/>
      <c r="AA9" s="190"/>
    </row>
    <row r="10" spans="1:27" ht="14.1" customHeight="1">
      <c r="B10" s="455" t="s">
        <v>628</v>
      </c>
      <c r="C10" s="460" t="s">
        <v>550</v>
      </c>
      <c r="D10" s="142" t="s">
        <v>838</v>
      </c>
      <c r="E10" s="456">
        <f ca="1">IEAData2!H88</f>
        <v>0.18708240021768344</v>
      </c>
      <c r="F10" s="456">
        <f ca="1">AuxData2!H88</f>
        <v>0.20029191067884283</v>
      </c>
      <c r="G10" s="457">
        <v>1</v>
      </c>
      <c r="H10" s="458" t="str">
        <f ca="1">RIGHT(D10,3)</f>
        <v>ELC</v>
      </c>
      <c r="I10" s="146">
        <v>1</v>
      </c>
      <c r="J10" s="499">
        <f>G10*I10</f>
        <v>1</v>
      </c>
      <c r="K10" s="458">
        <f ca="1">F10*J10</f>
        <v>0.20029191067884283</v>
      </c>
      <c r="L10" s="500">
        <v>1</v>
      </c>
      <c r="M10" s="501">
        <v>1</v>
      </c>
      <c r="N10" s="501">
        <v>15</v>
      </c>
      <c r="O10" s="502">
        <f ca="1">E10*J10/$M10</f>
        <v>0.18708240021768344</v>
      </c>
      <c r="P10" s="503">
        <f ca="1">F10*J10/$M10</f>
        <v>0.20029191067884283</v>
      </c>
      <c r="Q10" s="504">
        <f ca="1">0.6*P10</f>
        <v>0.1201751464073057</v>
      </c>
      <c r="R10" s="504">
        <v>0</v>
      </c>
      <c r="S10" s="340"/>
      <c r="T10" s="340"/>
      <c r="U10" s="340"/>
      <c r="V10" s="340"/>
      <c r="W10" s="258">
        <f ca="1">IF($E$11=0,0,E10/$E$11)</f>
        <v>1</v>
      </c>
      <c r="Y10" s="436"/>
      <c r="Z10" s="436"/>
      <c r="AA10" s="436"/>
    </row>
    <row r="11" spans="1:27" ht="14.1" customHeight="1">
      <c r="B11" s="451" t="s">
        <v>999</v>
      </c>
      <c r="C11" s="459"/>
      <c r="D11" s="452"/>
      <c r="E11" s="453">
        <f ca="1">SUM(E10:E10)</f>
        <v>0.18708240021768344</v>
      </c>
      <c r="F11" s="453">
        <f ca="1">SUM(F10:F10)</f>
        <v>0.20029191067884283</v>
      </c>
      <c r="G11" s="453"/>
      <c r="H11" s="506">
        <f ca="1">SUMPRODUCT(E10:E10,J10:J10)</f>
        <v>0.18708240021768344</v>
      </c>
      <c r="I11" s="452"/>
      <c r="J11" s="507"/>
      <c r="K11" s="506">
        <f ca="1">SUM(K10:K10)</f>
        <v>0.20029191067884283</v>
      </c>
      <c r="L11" s="508"/>
      <c r="M11" s="508"/>
      <c r="N11" s="506"/>
      <c r="O11" s="422">
        <f ca="1">SUM(O10:O10)</f>
        <v>0.18708240021768344</v>
      </c>
      <c r="P11" s="508"/>
      <c r="Q11" s="508"/>
      <c r="R11" s="509"/>
      <c r="S11" s="452"/>
      <c r="T11" s="452"/>
      <c r="U11" s="452"/>
      <c r="V11" s="452"/>
      <c r="W11" s="259">
        <f ca="1">SUM(W10)</f>
        <v>1</v>
      </c>
      <c r="Y11" s="190"/>
      <c r="Z11" s="190"/>
      <c r="AA11" s="190"/>
    </row>
    <row r="12" spans="1:27" ht="14.1" customHeight="1">
      <c r="B12" s="76" t="s">
        <v>626</v>
      </c>
      <c r="C12" s="378" t="s">
        <v>279</v>
      </c>
      <c r="D12" s="12" t="str">
        <f ca="1">IEAData2!H9</f>
        <v>RESNGA</v>
      </c>
      <c r="E12" s="33">
        <f ca="1">IEAData2!$F$81</f>
        <v>0</v>
      </c>
      <c r="F12" s="33">
        <f ca="1">AuxData2!$F$81</f>
        <v>0</v>
      </c>
      <c r="G12" s="40">
        <v>1</v>
      </c>
      <c r="H12" s="343" t="str">
        <f ca="1">RIGHT(D12,3)</f>
        <v>NGA</v>
      </c>
      <c r="I12" s="81">
        <v>1</v>
      </c>
      <c r="J12" s="366">
        <f>G12*I12</f>
        <v>1</v>
      </c>
      <c r="K12" s="420">
        <f ca="1">F12*J12</f>
        <v>0</v>
      </c>
      <c r="L12" s="497">
        <v>1</v>
      </c>
      <c r="M12" s="358">
        <v>1</v>
      </c>
      <c r="N12" s="358">
        <v>15</v>
      </c>
      <c r="O12" s="414">
        <f ca="1">E12*J12/$M12</f>
        <v>0</v>
      </c>
      <c r="P12" s="412">
        <f ca="1">F12*J12/$M12</f>
        <v>0</v>
      </c>
      <c r="Q12" s="359">
        <f ca="1">0.6*P12</f>
        <v>0</v>
      </c>
      <c r="R12" s="359">
        <v>0</v>
      </c>
      <c r="S12" s="40"/>
      <c r="T12" s="40"/>
      <c r="U12" s="40"/>
      <c r="V12" s="40"/>
      <c r="W12" s="258">
        <f ca="1">IF($E$14=0,0,E12/$E$14)</f>
        <v>0</v>
      </c>
      <c r="Y12" s="436"/>
      <c r="Z12" s="436"/>
      <c r="AA12" s="436"/>
    </row>
    <row r="13" spans="1:27" ht="14.1" customHeight="1">
      <c r="B13" s="455" t="s">
        <v>627</v>
      </c>
      <c r="C13" s="460" t="s">
        <v>280</v>
      </c>
      <c r="D13" s="461" t="s">
        <v>838</v>
      </c>
      <c r="E13" s="456">
        <f ca="1">IEAData2!$F$88</f>
        <v>0.12951858476608852</v>
      </c>
      <c r="F13" s="456">
        <f ca="1">AuxData2!$F$88</f>
        <v>0.1386636304699681</v>
      </c>
      <c r="G13" s="457">
        <v>1</v>
      </c>
      <c r="H13" s="458" t="str">
        <f ca="1">RIGHT(D13,3)</f>
        <v>ELC</v>
      </c>
      <c r="I13" s="146">
        <v>1</v>
      </c>
      <c r="J13" s="499">
        <f>G13*I13</f>
        <v>1</v>
      </c>
      <c r="K13" s="458">
        <f ca="1">F13*J13</f>
        <v>0.1386636304699681</v>
      </c>
      <c r="L13" s="500">
        <v>1</v>
      </c>
      <c r="M13" s="501">
        <v>1</v>
      </c>
      <c r="N13" s="501">
        <v>15</v>
      </c>
      <c r="O13" s="502">
        <f ca="1">E13*J13/$M13</f>
        <v>0.12951858476608852</v>
      </c>
      <c r="P13" s="503">
        <f ca="1">F13*J13/$M13</f>
        <v>0.1386636304699681</v>
      </c>
      <c r="Q13" s="505">
        <f ca="1">0.6*P13</f>
        <v>8.3198178281980853E-2</v>
      </c>
      <c r="R13" s="505">
        <v>0</v>
      </c>
      <c r="S13" s="340"/>
      <c r="T13" s="340"/>
      <c r="U13" s="340"/>
      <c r="V13" s="340"/>
      <c r="W13" s="258">
        <f ca="1">IF($E$14=0,0,E13/$E$14)</f>
        <v>1</v>
      </c>
      <c r="Y13" s="436"/>
      <c r="Z13" s="436"/>
      <c r="AA13" s="436"/>
    </row>
    <row r="14" spans="1:27" ht="14.1" customHeight="1">
      <c r="B14" s="451" t="s">
        <v>999</v>
      </c>
      <c r="C14" s="190"/>
      <c r="D14" s="452"/>
      <c r="E14" s="453">
        <f ca="1">SUM(E12:E13)</f>
        <v>0.12951858476608852</v>
      </c>
      <c r="F14" s="453">
        <f ca="1">SUM(F12:F13)</f>
        <v>0.1386636304699681</v>
      </c>
      <c r="G14" s="453"/>
      <c r="H14" s="506">
        <f ca="1">SUMPRODUCT(E12:E13,J12:J13)</f>
        <v>0.12951858476608852</v>
      </c>
      <c r="I14" s="452"/>
      <c r="J14" s="507"/>
      <c r="K14" s="506">
        <f ca="1">SUM(K12:K13)</f>
        <v>0.1386636304699681</v>
      </c>
      <c r="L14" s="508"/>
      <c r="M14" s="508"/>
      <c r="N14" s="506"/>
      <c r="O14" s="422">
        <f ca="1">SUM(O12:O13)</f>
        <v>0.12951858476608852</v>
      </c>
      <c r="P14" s="508"/>
      <c r="Q14" s="508"/>
      <c r="R14" s="509"/>
      <c r="S14" s="452"/>
      <c r="T14" s="452"/>
      <c r="U14" s="452"/>
      <c r="V14" s="452"/>
      <c r="W14" s="259">
        <f ca="1">SUM(W12:W13)</f>
        <v>1</v>
      </c>
      <c r="Y14" s="190"/>
      <c r="Z14" s="190"/>
      <c r="AA14" s="190"/>
    </row>
    <row r="15" spans="1:27" ht="14.1" customHeight="1">
      <c r="B15" s="455" t="s">
        <v>629</v>
      </c>
      <c r="C15" s="141" t="s">
        <v>355</v>
      </c>
      <c r="D15" s="142" t="s">
        <v>838</v>
      </c>
      <c r="E15" s="456">
        <f ca="1">IEAData2!I88</f>
        <v>0.26623264646362638</v>
      </c>
      <c r="F15" s="456">
        <f ca="1">AuxData2!I88</f>
        <v>0.28503079596604552</v>
      </c>
      <c r="G15" s="457">
        <v>1</v>
      </c>
      <c r="H15" s="458" t="str">
        <f ca="1">RIGHT(D15,3)</f>
        <v>ELC</v>
      </c>
      <c r="I15" s="146">
        <v>1</v>
      </c>
      <c r="J15" s="499">
        <f>G15*I15</f>
        <v>1</v>
      </c>
      <c r="K15" s="458">
        <f ca="1">F15*J15</f>
        <v>0.28503079596604552</v>
      </c>
      <c r="L15" s="500">
        <v>1</v>
      </c>
      <c r="M15" s="501">
        <v>1</v>
      </c>
      <c r="N15" s="501">
        <v>15</v>
      </c>
      <c r="O15" s="502">
        <f ca="1">E15*J15/$M15</f>
        <v>0.26623264646362638</v>
      </c>
      <c r="P15" s="503">
        <f ca="1">F15*J15/$M15</f>
        <v>0.28503079596604552</v>
      </c>
      <c r="Q15" s="504">
        <f ca="1">0.6*P15</f>
        <v>0.17101847757962732</v>
      </c>
      <c r="R15" s="504">
        <v>0</v>
      </c>
      <c r="S15" s="340"/>
      <c r="T15" s="340"/>
      <c r="U15" s="340"/>
      <c r="V15" s="340"/>
      <c r="W15" s="258">
        <f ca="1">IF($E$16=0,0,E15/$E$16)</f>
        <v>1</v>
      </c>
      <c r="Y15" s="436"/>
      <c r="Z15" s="436"/>
      <c r="AA15" s="436"/>
    </row>
    <row r="16" spans="1:27" ht="14.1" customHeight="1">
      <c r="B16" s="451" t="s">
        <v>999</v>
      </c>
      <c r="C16" s="190"/>
      <c r="D16" s="452"/>
      <c r="E16" s="453">
        <f ca="1">SUM(E15:E15)</f>
        <v>0.26623264646362638</v>
      </c>
      <c r="F16" s="453">
        <f ca="1">SUM(F15:F15)</f>
        <v>0.28503079596604552</v>
      </c>
      <c r="G16" s="453"/>
      <c r="H16" s="506">
        <f ca="1">SUMPRODUCT(E$15:E15,J$15:J15)</f>
        <v>0.26623264646362638</v>
      </c>
      <c r="I16" s="452"/>
      <c r="J16" s="507"/>
      <c r="K16" s="506">
        <f ca="1">SUM(K15:K15)</f>
        <v>0.28503079596604552</v>
      </c>
      <c r="L16" s="508"/>
      <c r="M16" s="508"/>
      <c r="N16" s="506"/>
      <c r="O16" s="422">
        <f ca="1">SUM(O15:O15)</f>
        <v>0.26623264646362638</v>
      </c>
      <c r="P16" s="508"/>
      <c r="Q16" s="508"/>
      <c r="R16" s="509"/>
      <c r="S16" s="452"/>
      <c r="T16" s="452"/>
      <c r="U16" s="452"/>
      <c r="V16" s="452"/>
      <c r="W16" s="259">
        <f ca="1">SUM(W15)</f>
        <v>1</v>
      </c>
      <c r="Y16" s="190"/>
      <c r="Z16" s="190"/>
      <c r="AA16" s="190"/>
    </row>
    <row r="17" spans="2:27" ht="14.1" customHeight="1">
      <c r="B17" s="455" t="s">
        <v>643</v>
      </c>
      <c r="C17" s="460" t="s">
        <v>357</v>
      </c>
      <c r="D17" s="142" t="s">
        <v>838</v>
      </c>
      <c r="E17" s="456">
        <f ca="1">IEAData2!K88</f>
        <v>3.8533394064144861</v>
      </c>
      <c r="F17" s="456">
        <f ca="1">AuxData2!K88</f>
        <v>4.480983783919914</v>
      </c>
      <c r="G17" s="457">
        <v>1</v>
      </c>
      <c r="H17" s="458" t="str">
        <f ca="1">RIGHT(D17,3)</f>
        <v>ELC</v>
      </c>
      <c r="I17" s="146">
        <v>1</v>
      </c>
      <c r="J17" s="499">
        <f>G17*I17</f>
        <v>1</v>
      </c>
      <c r="K17" s="458">
        <f ca="1">F17*J17</f>
        <v>4.480983783919914</v>
      </c>
      <c r="L17" s="500">
        <v>1</v>
      </c>
      <c r="M17" s="501">
        <v>1</v>
      </c>
      <c r="N17" s="501">
        <v>5</v>
      </c>
      <c r="O17" s="502">
        <f ca="1">E17*J17/$M17</f>
        <v>3.8533394064144861</v>
      </c>
      <c r="P17" s="503">
        <f ca="1">F17*J17/$M17</f>
        <v>4.480983783919914</v>
      </c>
      <c r="Q17" s="504">
        <f ca="1">0.6*P17</f>
        <v>2.6885902703519484</v>
      </c>
      <c r="R17" s="505">
        <v>0</v>
      </c>
      <c r="S17" s="340"/>
      <c r="T17" s="340"/>
      <c r="U17" s="340"/>
      <c r="V17" s="340"/>
      <c r="Y17" s="436"/>
      <c r="Z17" s="436"/>
      <c r="AA17" s="436"/>
    </row>
    <row r="18" spans="2:27" ht="14.1" customHeight="1">
      <c r="B18" s="451" t="s">
        <v>999</v>
      </c>
      <c r="C18" s="452"/>
      <c r="D18" s="452"/>
      <c r="E18" s="453">
        <f ca="1">SUM(E17:E17)</f>
        <v>3.8533394064144861</v>
      </c>
      <c r="F18" s="453">
        <f ca="1">SUM(F17:F17)</f>
        <v>4.480983783919914</v>
      </c>
      <c r="G18" s="453"/>
      <c r="H18" s="506">
        <f ca="1">SUMPRODUCT(E$17:E17,J$17:J17)</f>
        <v>3.8533394064144861</v>
      </c>
      <c r="I18" s="452"/>
      <c r="J18" s="454"/>
      <c r="K18" s="506">
        <f ca="1">SUM(K17:K17)</f>
        <v>4.480983783919914</v>
      </c>
      <c r="L18" s="452"/>
      <c r="M18" s="452"/>
      <c r="N18" s="506"/>
      <c r="O18" s="422">
        <f ca="1">SUM(O17:O17)</f>
        <v>3.8533394064144861</v>
      </c>
      <c r="P18" s="508"/>
      <c r="Q18" s="508"/>
      <c r="R18" s="509"/>
      <c r="S18" s="452"/>
      <c r="T18" s="452"/>
      <c r="U18" s="452"/>
      <c r="V18" s="452"/>
      <c r="W18" s="123"/>
      <c r="Y18" s="190"/>
      <c r="Z18" s="190"/>
      <c r="AA18" s="190"/>
    </row>
    <row r="19" spans="2:27" ht="14.1" customHeight="1">
      <c r="B19" s="267" t="s">
        <v>644</v>
      </c>
      <c r="C19" s="99" t="s">
        <v>358</v>
      </c>
      <c r="D19" s="99" t="str">
        <f ca="1">IEAData2!H10</f>
        <v>RESDST</v>
      </c>
      <c r="E19" s="103">
        <f ca="1">IEAData2!J82</f>
        <v>0</v>
      </c>
      <c r="F19" s="103">
        <f ca="1">AuxData2!J82</f>
        <v>0</v>
      </c>
      <c r="G19" s="69">
        <v>1</v>
      </c>
      <c r="H19" s="343" t="str">
        <f ca="1">RIGHT(D19,3)</f>
        <v>DST</v>
      </c>
      <c r="I19" s="81">
        <v>1</v>
      </c>
      <c r="J19" s="366">
        <f>G19*I19</f>
        <v>1</v>
      </c>
      <c r="K19" s="420">
        <f ca="1">F19*J19</f>
        <v>0</v>
      </c>
      <c r="L19" s="410">
        <v>1</v>
      </c>
      <c r="M19" s="411">
        <v>1</v>
      </c>
      <c r="N19" s="411">
        <v>10</v>
      </c>
      <c r="O19" s="414">
        <f ca="1">E19*J19/$M19</f>
        <v>0</v>
      </c>
      <c r="P19" s="412">
        <f ca="1">F19*J19/$M19</f>
        <v>0</v>
      </c>
      <c r="Q19" s="409"/>
      <c r="R19" s="413">
        <v>0</v>
      </c>
      <c r="S19" s="413"/>
      <c r="T19" s="413"/>
      <c r="U19" s="53"/>
      <c r="V19" s="53"/>
      <c r="W19" s="258">
        <f ca="1">IF($E$24=0,0,E19/$E$24)</f>
        <v>0</v>
      </c>
      <c r="X19" s="123"/>
      <c r="Y19" s="123"/>
      <c r="Z19" s="123"/>
      <c r="AA19" s="123"/>
    </row>
    <row r="20" spans="2:27" ht="14.1" customHeight="1">
      <c r="B20" s="267" t="s">
        <v>659</v>
      </c>
      <c r="C20" s="99" t="s">
        <v>366</v>
      </c>
      <c r="D20" s="99" t="str">
        <f ca="1">IEAData2!H12</f>
        <v>RESKER</v>
      </c>
      <c r="E20" s="103">
        <f ca="1">IEAData2!J84</f>
        <v>0</v>
      </c>
      <c r="F20" s="103">
        <f ca="1">AuxData2!J84</f>
        <v>0</v>
      </c>
      <c r="G20" s="69">
        <v>1</v>
      </c>
      <c r="H20" s="343" t="str">
        <f ca="1">RIGHT(D20,3)</f>
        <v>KER</v>
      </c>
      <c r="I20" s="81">
        <v>1</v>
      </c>
      <c r="J20" s="366">
        <f>G20*I20</f>
        <v>1</v>
      </c>
      <c r="K20" s="420">
        <f ca="1">F20*J20</f>
        <v>0</v>
      </c>
      <c r="L20" s="410">
        <v>1</v>
      </c>
      <c r="M20" s="411">
        <v>1</v>
      </c>
      <c r="N20" s="411">
        <v>10</v>
      </c>
      <c r="O20" s="414">
        <f ca="1">E20*J20/$M20</f>
        <v>0</v>
      </c>
      <c r="P20" s="412">
        <f ca="1">F20*J20/$M20</f>
        <v>0</v>
      </c>
      <c r="Q20" s="409"/>
      <c r="R20" s="413">
        <v>0</v>
      </c>
      <c r="S20" s="413"/>
      <c r="T20" s="413"/>
      <c r="U20" s="53"/>
      <c r="V20" s="81"/>
      <c r="W20" s="258">
        <f ca="1">IF($E$24=0,0,E20/$E$24)</f>
        <v>0</v>
      </c>
      <c r="X20" s="123"/>
      <c r="Y20" s="123"/>
      <c r="Z20" s="123"/>
      <c r="AA20" s="123"/>
    </row>
    <row r="21" spans="2:27" ht="14.1" customHeight="1">
      <c r="B21" s="267" t="s">
        <v>660</v>
      </c>
      <c r="C21" s="99" t="s">
        <v>60</v>
      </c>
      <c r="D21" s="99" t="str">
        <f ca="1">IEAData2!$H$15</f>
        <v>RESBIO</v>
      </c>
      <c r="E21" s="103">
        <f ca="1">IEAData2!J87</f>
        <v>0</v>
      </c>
      <c r="F21" s="103">
        <f ca="1">AuxData2!J87</f>
        <v>0</v>
      </c>
      <c r="G21" s="69">
        <v>0.05</v>
      </c>
      <c r="H21" s="343" t="str">
        <f ca="1">RIGHT(D21,3)</f>
        <v>BIO</v>
      </c>
      <c r="I21" s="81">
        <v>1</v>
      </c>
      <c r="J21" s="366">
        <f>G21*I21</f>
        <v>0.05</v>
      </c>
      <c r="K21" s="420">
        <f ca="1">F21*J21</f>
        <v>0</v>
      </c>
      <c r="L21" s="410">
        <v>1</v>
      </c>
      <c r="M21" s="411">
        <v>0.1</v>
      </c>
      <c r="N21" s="411">
        <v>100</v>
      </c>
      <c r="O21" s="414">
        <f ca="1">E21*J21/$M21</f>
        <v>0</v>
      </c>
      <c r="P21" s="412">
        <f ca="1">F21*J21/$M21</f>
        <v>0</v>
      </c>
      <c r="Q21" s="409"/>
      <c r="R21" s="413"/>
      <c r="S21" s="409">
        <f ca="1">P21</f>
        <v>0</v>
      </c>
      <c r="T21" s="423">
        <v>0.1</v>
      </c>
      <c r="U21" s="53"/>
      <c r="V21" s="81"/>
      <c r="W21" s="258">
        <f ca="1">IF($E$24=0,0,E21/$E$24)</f>
        <v>0</v>
      </c>
      <c r="X21" s="55"/>
      <c r="Y21" s="55"/>
      <c r="Z21" s="55"/>
      <c r="AA21" s="55"/>
    </row>
    <row r="22" spans="2:27" ht="14.1" customHeight="1">
      <c r="B22" s="267" t="s">
        <v>645</v>
      </c>
      <c r="C22" s="99" t="s">
        <v>61</v>
      </c>
      <c r="D22" s="99" t="str">
        <f ca="1">IEAData2!H14</f>
        <v>RESLPG</v>
      </c>
      <c r="E22" s="103">
        <f ca="1">IEAData2!J86</f>
        <v>0</v>
      </c>
      <c r="F22" s="103">
        <f ca="1">AuxData2!J86</f>
        <v>0</v>
      </c>
      <c r="G22" s="69">
        <v>1</v>
      </c>
      <c r="H22" s="343" t="str">
        <f ca="1">RIGHT(D22,3)</f>
        <v>LPG</v>
      </c>
      <c r="I22" s="81">
        <v>1</v>
      </c>
      <c r="J22" s="366">
        <f>G22*I22</f>
        <v>1</v>
      </c>
      <c r="K22" s="420">
        <f ca="1">F22*J22</f>
        <v>0</v>
      </c>
      <c r="L22" s="410">
        <v>1</v>
      </c>
      <c r="M22" s="411">
        <v>1</v>
      </c>
      <c r="N22" s="411">
        <v>10</v>
      </c>
      <c r="O22" s="414">
        <f ca="1">E22*J22/$M22</f>
        <v>0</v>
      </c>
      <c r="P22" s="412">
        <f ca="1">F22*J22/$M22</f>
        <v>0</v>
      </c>
      <c r="Q22" s="409"/>
      <c r="R22" s="413">
        <v>0</v>
      </c>
      <c r="S22" s="413"/>
      <c r="T22" s="413"/>
      <c r="U22" s="53"/>
      <c r="V22" s="81"/>
      <c r="W22" s="258">
        <f ca="1">IF($E$24=0,0,E22/$E$24)</f>
        <v>0</v>
      </c>
      <c r="X22" s="55"/>
      <c r="Y22" s="55"/>
      <c r="Z22" s="55"/>
      <c r="AA22" s="55"/>
    </row>
    <row r="23" spans="2:27" ht="14.1" customHeight="1" thickBot="1">
      <c r="B23" s="266" t="s">
        <v>667</v>
      </c>
      <c r="C23" s="26" t="s">
        <v>62</v>
      </c>
      <c r="D23" s="24" t="str">
        <f ca="1">IEAData2!H9</f>
        <v>RESNGA</v>
      </c>
      <c r="E23" s="34">
        <f ca="1">IEAData2!J81</f>
        <v>0</v>
      </c>
      <c r="F23" s="34">
        <f ca="1">AuxData2!J81</f>
        <v>0</v>
      </c>
      <c r="G23" s="71">
        <v>1</v>
      </c>
      <c r="H23" s="464" t="str">
        <f ca="1">RIGHT(D23,3)</f>
        <v>NGA</v>
      </c>
      <c r="I23" s="20">
        <v>1</v>
      </c>
      <c r="J23" s="510">
        <f>G23*I23</f>
        <v>1</v>
      </c>
      <c r="K23" s="464">
        <f ca="1">F23*J23</f>
        <v>0</v>
      </c>
      <c r="L23" s="415">
        <v>1</v>
      </c>
      <c r="M23" s="416">
        <v>1</v>
      </c>
      <c r="N23" s="416">
        <v>10</v>
      </c>
      <c r="O23" s="417">
        <f ca="1">E23*J23/$M23</f>
        <v>0</v>
      </c>
      <c r="P23" s="418">
        <f ca="1">F23*J23/$M23</f>
        <v>0</v>
      </c>
      <c r="Q23" s="418"/>
      <c r="R23" s="419">
        <v>0</v>
      </c>
      <c r="S23" s="419"/>
      <c r="T23" s="419"/>
      <c r="U23" s="54"/>
      <c r="V23" s="20"/>
      <c r="W23" s="258">
        <f ca="1">IF($E$24=0,0,E23/$E$24)</f>
        <v>0</v>
      </c>
      <c r="X23" s="55"/>
      <c r="Y23" s="55"/>
      <c r="Z23" s="55"/>
      <c r="AA23" s="55"/>
    </row>
    <row r="24" spans="2:27" ht="14.1" customHeight="1">
      <c r="B24" s="451" t="s">
        <v>999</v>
      </c>
      <c r="C24" s="190"/>
      <c r="D24" s="190"/>
      <c r="E24" s="191">
        <f ca="1">SUM(E19:E23)</f>
        <v>0</v>
      </c>
      <c r="F24" s="191">
        <f ca="1">SUM(F19:F23)</f>
        <v>0</v>
      </c>
      <c r="G24" s="191"/>
      <c r="H24" s="506">
        <f ca="1">SUMPRODUCT(E$19:E23,J$19:J23)</f>
        <v>0</v>
      </c>
      <c r="I24" s="452"/>
      <c r="J24" s="507"/>
      <c r="K24" s="506">
        <f ca="1">SUM(K19:K23)</f>
        <v>0</v>
      </c>
      <c r="L24" s="190"/>
      <c r="M24" s="190"/>
      <c r="N24" s="191"/>
      <c r="O24" s="422">
        <f ca="1">SUM(O19:O23)</f>
        <v>0</v>
      </c>
      <c r="P24" s="190"/>
      <c r="Q24" s="190"/>
      <c r="R24" s="192"/>
      <c r="S24" s="190"/>
      <c r="T24" s="190"/>
      <c r="U24" s="190"/>
      <c r="V24" s="190"/>
      <c r="W24" s="259">
        <f ca="1">SUM(W19:W23)</f>
        <v>0</v>
      </c>
      <c r="X24" s="55"/>
      <c r="Y24" s="55"/>
      <c r="Z24" s="55"/>
      <c r="AA24" s="55"/>
    </row>
    <row r="25" spans="2:27">
      <c r="N25" s="55"/>
      <c r="O25" s="55"/>
      <c r="P25" s="55"/>
      <c r="Q25" s="55"/>
      <c r="R25" s="55"/>
      <c r="S25" s="55"/>
      <c r="T25" s="55"/>
      <c r="U25" s="55"/>
      <c r="V25" s="55"/>
      <c r="W25" s="55"/>
      <c r="X25" s="55"/>
      <c r="Y25" s="55"/>
      <c r="Z25" s="55"/>
      <c r="AA25" s="55"/>
    </row>
    <row r="26" spans="2:27">
      <c r="N26" s="55"/>
      <c r="O26" s="55"/>
      <c r="P26" s="55"/>
      <c r="Q26" s="55"/>
      <c r="R26" s="55"/>
      <c r="S26" s="55"/>
      <c r="T26" s="55"/>
      <c r="U26" s="55"/>
      <c r="V26" s="55"/>
      <c r="W26" s="55"/>
      <c r="X26" s="55"/>
      <c r="Y26" s="55"/>
      <c r="Z26" s="55"/>
      <c r="AA26" s="55"/>
    </row>
    <row r="27" spans="2:27">
      <c r="N27" s="55"/>
      <c r="O27" s="55"/>
      <c r="P27" s="55"/>
      <c r="Q27" s="55"/>
      <c r="R27" s="55"/>
      <c r="S27" s="55"/>
      <c r="T27" s="55"/>
      <c r="U27" s="55"/>
      <c r="V27" s="55"/>
      <c r="W27" s="55"/>
      <c r="X27" s="55"/>
      <c r="Y27" s="55"/>
      <c r="Z27" s="55"/>
      <c r="AA27" s="55"/>
    </row>
    <row r="28" spans="2:27" ht="14.25" customHeight="1">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2:27">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2:27" ht="18">
      <c r="B30" s="155" t="s">
        <v>592</v>
      </c>
      <c r="C30" s="156"/>
      <c r="D30" s="252" t="str">
        <f>"~FI_T: "&amp;Region</f>
        <v>~FI_T: FIM</v>
      </c>
      <c r="N30" s="55"/>
      <c r="O30" s="55"/>
      <c r="P30" s="55"/>
      <c r="Q30" s="55"/>
      <c r="R30" s="55"/>
      <c r="S30" s="55"/>
      <c r="T30" s="55"/>
      <c r="U30" s="55"/>
      <c r="V30" s="55"/>
      <c r="W30" s="55"/>
      <c r="X30" s="55"/>
      <c r="Y30" s="55"/>
      <c r="Z30" s="55"/>
      <c r="AA30" s="55"/>
    </row>
    <row r="31" spans="2:27" ht="13.5" thickBot="1">
      <c r="B31" s="27" t="s">
        <v>384</v>
      </c>
      <c r="C31" s="27" t="s">
        <v>385</v>
      </c>
      <c r="D31" s="27" t="s">
        <v>243</v>
      </c>
      <c r="E31" s="344" t="s">
        <v>942</v>
      </c>
      <c r="F31" s="344" t="s">
        <v>942</v>
      </c>
      <c r="G31" s="344" t="s">
        <v>379</v>
      </c>
      <c r="H31" s="344" t="str">
        <f ca="1">G31&amp;"~"&amp;AuxYear</f>
        <v>DEMAND~2017</v>
      </c>
      <c r="I31" s="344" t="s">
        <v>940</v>
      </c>
      <c r="J31" s="344" t="str">
        <f ca="1">I31&amp;"~"&amp;AuxYear</f>
        <v>COM_IE~2017</v>
      </c>
      <c r="K31" s="27"/>
      <c r="N31" s="55"/>
      <c r="O31" s="55"/>
      <c r="P31" s="55"/>
      <c r="Q31" s="55"/>
      <c r="R31" s="55"/>
      <c r="S31" s="55"/>
      <c r="T31" s="55"/>
      <c r="U31" s="55"/>
      <c r="V31" s="55"/>
      <c r="W31" s="55"/>
      <c r="X31" s="55"/>
      <c r="Y31" s="55"/>
      <c r="Z31" s="55"/>
      <c r="AA31" s="55"/>
    </row>
    <row r="32" spans="2:27">
      <c r="B32" s="58" t="str">
        <f ca="1">'RCL2'!B26</f>
        <v>RC1</v>
      </c>
      <c r="C32" s="28" t="str">
        <f ca="1">'RCL2'!C26</f>
        <v>Residential Cooling - Region1</v>
      </c>
      <c r="D32" s="95" t="s">
        <v>249</v>
      </c>
      <c r="E32" s="63">
        <f ca="1">'RCL2'!E26</f>
        <v>0.15265037195118092</v>
      </c>
      <c r="F32" s="63">
        <f ca="1">'RCL2'!F26</f>
        <v>0.61904813042765094</v>
      </c>
      <c r="G32" s="63">
        <f ca="1">IF(E32,1,0)</f>
        <v>1</v>
      </c>
      <c r="H32" s="63">
        <f ca="1">IF(F32,1,0)</f>
        <v>1</v>
      </c>
      <c r="I32" s="368">
        <f t="shared" ref="I32:I43" ca="1" si="0">IF(E32,1/E32,1)</f>
        <v>6.5509175458793498</v>
      </c>
      <c r="J32" s="368">
        <f t="shared" ref="J32:J43" ca="1" si="1">IF(F32,1/F32,1)</f>
        <v>1.615383280956167</v>
      </c>
      <c r="K32" s="18"/>
      <c r="N32" s="55"/>
      <c r="O32" s="55"/>
      <c r="P32" s="55"/>
      <c r="Q32" s="55"/>
      <c r="R32" s="55"/>
      <c r="S32" s="55"/>
      <c r="T32" s="55"/>
      <c r="U32" s="55"/>
      <c r="V32" s="55"/>
      <c r="W32" s="55"/>
      <c r="X32" s="55"/>
      <c r="Y32" s="55"/>
      <c r="Z32" s="55"/>
      <c r="AA32" s="55"/>
    </row>
    <row r="33" spans="2:27">
      <c r="B33" s="58" t="str">
        <f ca="1">'RCL2'!B27</f>
        <v>RC2</v>
      </c>
      <c r="C33" s="28" t="str">
        <f ca="1">'RCL2'!C27</f>
        <v>Residential Cooling - Region2</v>
      </c>
      <c r="D33" s="95" t="s">
        <v>249</v>
      </c>
      <c r="E33" s="63">
        <f ca="1">'RCL2'!E27</f>
        <v>0</v>
      </c>
      <c r="F33" s="63">
        <f ca="1">'RCL2'!F27</f>
        <v>0</v>
      </c>
      <c r="G33" s="63">
        <f t="shared" ref="G33:G43" ca="1" si="2">IF(E33,1,0)</f>
        <v>0</v>
      </c>
      <c r="H33" s="63">
        <f t="shared" ref="H33:H43" ca="1" si="3">IF(F33,1,0)</f>
        <v>0</v>
      </c>
      <c r="I33" s="368">
        <f t="shared" ca="1" si="0"/>
        <v>1</v>
      </c>
      <c r="J33" s="368">
        <f t="shared" ca="1" si="1"/>
        <v>1</v>
      </c>
      <c r="K33" s="18"/>
      <c r="N33" s="55"/>
      <c r="O33" s="55"/>
      <c r="P33" s="55"/>
      <c r="Q33" s="55"/>
      <c r="R33" s="55"/>
      <c r="S33" s="55"/>
      <c r="T33" s="55"/>
      <c r="U33" s="55"/>
      <c r="V33" s="55"/>
      <c r="W33" s="55"/>
      <c r="X33" s="55"/>
      <c r="Y33" s="55"/>
      <c r="Z33" s="55"/>
      <c r="AA33" s="55"/>
    </row>
    <row r="34" spans="2:27">
      <c r="B34" s="80" t="str">
        <f ca="1">'RCK2'!B30</f>
        <v>RK1</v>
      </c>
      <c r="C34" s="28" t="str">
        <f ca="1">'RCK2'!C30</f>
        <v>Residential Cooking - Region1</v>
      </c>
      <c r="D34" s="95" t="s">
        <v>249</v>
      </c>
      <c r="E34" s="63">
        <f ca="1">'RCK2'!E30</f>
        <v>0.56933456427138474</v>
      </c>
      <c r="F34" s="63">
        <f ca="1">'RCK2'!F30</f>
        <v>0.55188788587232929</v>
      </c>
      <c r="G34" s="63">
        <f t="shared" ca="1" si="2"/>
        <v>1</v>
      </c>
      <c r="H34" s="63">
        <f t="shared" ca="1" si="3"/>
        <v>1</v>
      </c>
      <c r="I34" s="368">
        <f t="shared" ca="1" si="0"/>
        <v>1.7564364834932629</v>
      </c>
      <c r="J34" s="368">
        <f t="shared" ca="1" si="1"/>
        <v>1.8119622220360432</v>
      </c>
      <c r="K34" s="18"/>
      <c r="N34" s="55"/>
      <c r="O34" s="55"/>
      <c r="P34" s="55"/>
      <c r="Q34" s="55"/>
      <c r="R34" s="55"/>
      <c r="S34" s="55"/>
      <c r="T34" s="55"/>
      <c r="U34" s="55"/>
      <c r="V34" s="55"/>
      <c r="W34" s="55"/>
      <c r="X34" s="55"/>
      <c r="Y34" s="55"/>
      <c r="Z34" s="55"/>
      <c r="AA34" s="55"/>
    </row>
    <row r="35" spans="2:27">
      <c r="B35" s="80" t="str">
        <f ca="1">'RCK2'!B31</f>
        <v>RK2</v>
      </c>
      <c r="C35" s="28" t="str">
        <f ca="1">'RCK2'!C31</f>
        <v>Residential Cooking - Region2</v>
      </c>
      <c r="D35" s="95" t="s">
        <v>249</v>
      </c>
      <c r="E35" s="63">
        <f ca="1">'RCK2'!E31</f>
        <v>0</v>
      </c>
      <c r="F35" s="63">
        <f ca="1">'RCK2'!F31</f>
        <v>0</v>
      </c>
      <c r="G35" s="63">
        <f t="shared" ca="1" si="2"/>
        <v>0</v>
      </c>
      <c r="H35" s="63">
        <f t="shared" ca="1" si="3"/>
        <v>0</v>
      </c>
      <c r="I35" s="368">
        <f t="shared" ca="1" si="0"/>
        <v>1</v>
      </c>
      <c r="J35" s="368">
        <f t="shared" ca="1" si="1"/>
        <v>1</v>
      </c>
      <c r="K35" s="18"/>
      <c r="N35" s="55"/>
      <c r="O35" s="55"/>
      <c r="P35" s="55"/>
      <c r="Q35" s="55"/>
      <c r="R35" s="55"/>
      <c r="S35" s="55"/>
      <c r="T35" s="55"/>
      <c r="U35" s="55"/>
      <c r="V35" s="55"/>
      <c r="W35" s="55"/>
      <c r="X35" s="55"/>
      <c r="Y35" s="55"/>
      <c r="Z35" s="55"/>
      <c r="AA35" s="55"/>
    </row>
    <row r="36" spans="2:27">
      <c r="B36" s="80" t="str">
        <f ca="1">'RLT2'!B27</f>
        <v>RL1</v>
      </c>
      <c r="C36" s="28" t="str">
        <f ca="1">'RLT2'!C27</f>
        <v>Residential Lighting - Region1</v>
      </c>
      <c r="D36" s="95" t="s">
        <v>249</v>
      </c>
      <c r="E36" s="63">
        <f ca="1">'RLT2'!E27</f>
        <v>2.2222401573045634</v>
      </c>
      <c r="F36" s="63">
        <f ca="1">'RLT2'!F27</f>
        <v>4.1236714853362244</v>
      </c>
      <c r="G36" s="63">
        <f t="shared" ca="1" si="2"/>
        <v>1</v>
      </c>
      <c r="H36" s="63">
        <f t="shared" ca="1" si="3"/>
        <v>1</v>
      </c>
      <c r="I36" s="368">
        <f t="shared" ca="1" si="0"/>
        <v>0.44999636817513761</v>
      </c>
      <c r="J36" s="368">
        <f t="shared" ca="1" si="1"/>
        <v>0.24250234373809842</v>
      </c>
      <c r="K36" s="18"/>
      <c r="N36" s="55"/>
      <c r="O36" s="55"/>
      <c r="P36" s="55"/>
      <c r="Q36" s="55"/>
      <c r="R36" s="55"/>
      <c r="S36" s="55"/>
      <c r="T36" s="55"/>
      <c r="U36" s="55"/>
      <c r="V36" s="55"/>
      <c r="W36" s="55"/>
      <c r="X36" s="55"/>
      <c r="Y36" s="55"/>
      <c r="Z36" s="55"/>
      <c r="AA36" s="55"/>
    </row>
    <row r="37" spans="2:27">
      <c r="B37" s="80" t="str">
        <f ca="1">'RLT2'!B28</f>
        <v>RL2</v>
      </c>
      <c r="C37" s="28" t="str">
        <f ca="1">'RLT2'!C28</f>
        <v>Residential Lighting - Region2</v>
      </c>
      <c r="D37" s="95" t="s">
        <v>249</v>
      </c>
      <c r="E37" s="63">
        <f ca="1">'RLT2'!E28</f>
        <v>0</v>
      </c>
      <c r="F37" s="63">
        <f ca="1">'RLT2'!F28</f>
        <v>0</v>
      </c>
      <c r="G37" s="63">
        <f t="shared" ca="1" si="2"/>
        <v>0</v>
      </c>
      <c r="H37" s="63">
        <f t="shared" ca="1" si="3"/>
        <v>0</v>
      </c>
      <c r="I37" s="368">
        <f t="shared" ca="1" si="0"/>
        <v>1</v>
      </c>
      <c r="J37" s="368">
        <f t="shared" ca="1" si="1"/>
        <v>1</v>
      </c>
      <c r="K37" s="18"/>
      <c r="N37" s="55"/>
      <c r="O37" s="55"/>
      <c r="P37" s="55"/>
      <c r="Q37" s="55"/>
      <c r="R37" s="55"/>
      <c r="S37" s="55"/>
      <c r="T37" s="55"/>
      <c r="U37" s="55"/>
      <c r="V37" s="55"/>
      <c r="W37" s="55"/>
      <c r="X37" s="55"/>
      <c r="Y37" s="55"/>
      <c r="Z37" s="55"/>
      <c r="AA37" s="55"/>
    </row>
    <row r="38" spans="2:27">
      <c r="B38" s="560" t="s">
        <v>91</v>
      </c>
      <c r="C38" s="58" t="s">
        <v>98</v>
      </c>
      <c r="D38" s="95" t="s">
        <v>249</v>
      </c>
      <c r="E38" s="63">
        <f ca="1">H9</f>
        <v>1.0518978430735593</v>
      </c>
      <c r="F38" s="63">
        <f ca="1">SUMPRODUCT(F7:F8,J7:J8)</f>
        <v>1.1261702254354671</v>
      </c>
      <c r="G38" s="63">
        <f t="shared" ca="1" si="2"/>
        <v>1</v>
      </c>
      <c r="H38" s="63">
        <f t="shared" ca="1" si="3"/>
        <v>1</v>
      </c>
      <c r="I38" s="368">
        <f t="shared" ca="1" si="0"/>
        <v>0.95066265853163268</v>
      </c>
      <c r="J38" s="368">
        <f t="shared" ca="1" si="1"/>
        <v>0.88796522711592774</v>
      </c>
      <c r="K38" s="18"/>
    </row>
    <row r="39" spans="2:27">
      <c r="B39" s="560" t="s">
        <v>96</v>
      </c>
      <c r="C39" s="58" t="s">
        <v>100</v>
      </c>
      <c r="D39" s="95" t="s">
        <v>249</v>
      </c>
      <c r="E39" s="63">
        <f ca="1">H11</f>
        <v>0.18708240021768344</v>
      </c>
      <c r="F39" s="63">
        <f ca="1">SUMPRODUCT(F$10:F10,J$10:J10)</f>
        <v>0.20029191067884283</v>
      </c>
      <c r="G39" s="63">
        <f t="shared" ca="1" si="2"/>
        <v>1</v>
      </c>
      <c r="H39" s="63">
        <f t="shared" ca="1" si="3"/>
        <v>1</v>
      </c>
      <c r="I39" s="368">
        <f t="shared" ca="1" si="0"/>
        <v>5.3452382417396302</v>
      </c>
      <c r="J39" s="368">
        <f t="shared" ca="1" si="1"/>
        <v>4.992712868985735</v>
      </c>
      <c r="K39" s="18"/>
    </row>
    <row r="40" spans="2:27">
      <c r="B40" s="560" t="s">
        <v>94</v>
      </c>
      <c r="C40" s="58" t="s">
        <v>99</v>
      </c>
      <c r="D40" s="95" t="s">
        <v>249</v>
      </c>
      <c r="E40" s="63">
        <f ca="1">H14</f>
        <v>0.12951858476608852</v>
      </c>
      <c r="F40" s="63">
        <f ca="1">$K$14</f>
        <v>0.1386636304699681</v>
      </c>
      <c r="G40" s="63">
        <f t="shared" ca="1" si="2"/>
        <v>1</v>
      </c>
      <c r="H40" s="63">
        <f t="shared" ca="1" si="3"/>
        <v>1</v>
      </c>
      <c r="I40" s="368">
        <f t="shared" ca="1" si="0"/>
        <v>7.7208996825128002</v>
      </c>
      <c r="J40" s="368">
        <f t="shared" ca="1" si="1"/>
        <v>7.2116963663127294</v>
      </c>
      <c r="K40" s="18"/>
    </row>
    <row r="41" spans="2:27">
      <c r="B41" s="560" t="s">
        <v>92</v>
      </c>
      <c r="C41" s="58" t="s">
        <v>101</v>
      </c>
      <c r="D41" s="95" t="s">
        <v>249</v>
      </c>
      <c r="E41" s="63">
        <f ca="1">H16</f>
        <v>0.26623264646362638</v>
      </c>
      <c r="F41" s="63">
        <f ca="1">$K$16</f>
        <v>0.28503079596604552</v>
      </c>
      <c r="G41" s="63">
        <f t="shared" ca="1" si="2"/>
        <v>1</v>
      </c>
      <c r="H41" s="63">
        <f t="shared" ca="1" si="3"/>
        <v>1</v>
      </c>
      <c r="I41" s="368">
        <f t="shared" ca="1" si="0"/>
        <v>3.7561133590602815</v>
      </c>
      <c r="J41" s="368">
        <f t="shared" ca="1" si="1"/>
        <v>3.5083928268548417</v>
      </c>
      <c r="K41" s="18"/>
    </row>
    <row r="42" spans="2:27">
      <c r="B42" s="560" t="s">
        <v>639</v>
      </c>
      <c r="C42" s="58" t="s">
        <v>638</v>
      </c>
      <c r="D42" s="95" t="s">
        <v>249</v>
      </c>
      <c r="E42" s="63">
        <f ca="1">H18</f>
        <v>3.8533394064144861</v>
      </c>
      <c r="F42" s="63">
        <f ca="1">$K$18</f>
        <v>4.480983783919914</v>
      </c>
      <c r="G42" s="63">
        <f t="shared" ca="1" si="2"/>
        <v>1</v>
      </c>
      <c r="H42" s="63">
        <f t="shared" ca="1" si="3"/>
        <v>1</v>
      </c>
      <c r="I42" s="368">
        <f t="shared" ca="1" si="0"/>
        <v>0.2595151619230176</v>
      </c>
      <c r="J42" s="368">
        <f t="shared" ca="1" si="1"/>
        <v>0.22316527981835527</v>
      </c>
      <c r="K42" s="18"/>
      <c r="M42" s="55"/>
    </row>
    <row r="43" spans="2:27">
      <c r="B43" s="560" t="s">
        <v>637</v>
      </c>
      <c r="C43" s="58" t="s">
        <v>609</v>
      </c>
      <c r="D43" s="95" t="s">
        <v>249</v>
      </c>
      <c r="E43" s="63">
        <f ca="1">'ROT2'!H24</f>
        <v>0</v>
      </c>
      <c r="F43" s="63">
        <f ca="1">$K$24</f>
        <v>0</v>
      </c>
      <c r="G43" s="63">
        <f t="shared" ca="1" si="2"/>
        <v>0</v>
      </c>
      <c r="H43" s="63">
        <f t="shared" ca="1" si="3"/>
        <v>0</v>
      </c>
      <c r="I43" s="368">
        <f t="shared" ca="1" si="0"/>
        <v>1</v>
      </c>
      <c r="J43" s="368">
        <f t="shared" ca="1" si="1"/>
        <v>1</v>
      </c>
      <c r="K43" s="18"/>
      <c r="M43" s="55"/>
    </row>
    <row r="51" spans="1:32">
      <c r="A51" s="55"/>
      <c r="B51" s="55"/>
      <c r="C51" s="120"/>
      <c r="D51" s="123"/>
      <c r="E51" s="120"/>
      <c r="F51" s="120"/>
      <c r="G51" s="120"/>
      <c r="H51" s="120"/>
      <c r="I51" s="120"/>
      <c r="J51" s="120"/>
      <c r="K51" s="120"/>
      <c r="L51" s="120"/>
      <c r="M51" s="120"/>
      <c r="N51" s="120"/>
      <c r="O51" s="120"/>
      <c r="P51" s="120"/>
      <c r="Q51" s="120"/>
      <c r="R51" s="120"/>
      <c r="S51" s="120"/>
      <c r="T51" s="120"/>
      <c r="U51" s="120"/>
      <c r="V51" s="123"/>
      <c r="W51" s="123"/>
      <c r="X51" s="123"/>
      <c r="Y51" s="123"/>
      <c r="Z51" s="123"/>
      <c r="AA51" s="123"/>
      <c r="AB51" s="55"/>
      <c r="AC51" s="55"/>
      <c r="AD51" s="55"/>
      <c r="AE51" s="55"/>
      <c r="AF51" s="55"/>
    </row>
    <row r="52" spans="1:32">
      <c r="A52" s="55"/>
      <c r="B52" s="55"/>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55"/>
      <c r="AC52" s="55"/>
      <c r="AD52" s="55"/>
      <c r="AE52" s="55"/>
      <c r="AF52" s="55"/>
    </row>
    <row r="53" spans="1:32">
      <c r="A53" s="55"/>
      <c r="B53" s="55"/>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55"/>
      <c r="AC53" s="55"/>
      <c r="AD53" s="55"/>
      <c r="AE53" s="55"/>
      <c r="AF53" s="55"/>
    </row>
    <row r="54" spans="1:32">
      <c r="A54" s="55"/>
      <c r="B54" s="55"/>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55"/>
      <c r="AC54" s="55"/>
      <c r="AD54" s="55"/>
      <c r="AE54" s="55"/>
      <c r="AF54" s="55"/>
    </row>
    <row r="55" spans="1:32">
      <c r="A55" s="55"/>
      <c r="B55" s="55"/>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55"/>
      <c r="AC55" s="55"/>
      <c r="AD55" s="55"/>
      <c r="AE55" s="55"/>
      <c r="AF55" s="55"/>
    </row>
    <row r="56" spans="1:32">
      <c r="A56" s="55"/>
      <c r="B56" s="55"/>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55"/>
      <c r="AC56" s="55"/>
      <c r="AD56" s="55"/>
      <c r="AE56" s="55"/>
      <c r="AF56" s="55"/>
    </row>
    <row r="57" spans="1:32">
      <c r="A57" s="55"/>
      <c r="B57" s="55"/>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55"/>
      <c r="AC57" s="55"/>
      <c r="AD57" s="55"/>
      <c r="AE57" s="55"/>
      <c r="AF57" s="55"/>
    </row>
    <row r="58" spans="1:32">
      <c r="A58" s="55"/>
      <c r="B58" s="55"/>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55"/>
      <c r="AC58" s="55"/>
      <c r="AD58" s="55"/>
      <c r="AE58" s="55"/>
      <c r="AF58" s="55"/>
    </row>
    <row r="59" spans="1:32">
      <c r="A59" s="55"/>
      <c r="B59" s="55"/>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55"/>
      <c r="AC59" s="55"/>
      <c r="AD59" s="55"/>
      <c r="AE59" s="55"/>
      <c r="AF59" s="55"/>
    </row>
    <row r="60" spans="1:32">
      <c r="A60" s="55"/>
      <c r="B60" s="55"/>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55"/>
      <c r="AC60" s="55"/>
      <c r="AD60" s="55"/>
      <c r="AE60" s="55"/>
      <c r="AF60" s="55"/>
    </row>
    <row r="61" spans="1:32">
      <c r="A61" s="55"/>
      <c r="B61" s="55"/>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55"/>
      <c r="AC61" s="55"/>
      <c r="AD61" s="55"/>
      <c r="AE61" s="55"/>
      <c r="AF61" s="55"/>
    </row>
    <row r="62" spans="1:32">
      <c r="A62" s="55"/>
      <c r="B62" s="55"/>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55"/>
      <c r="AC62" s="55"/>
      <c r="AD62" s="55"/>
      <c r="AE62" s="55"/>
      <c r="AF62" s="55"/>
    </row>
    <row r="63" spans="1:32">
      <c r="A63" s="55"/>
      <c r="B63" s="55"/>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55"/>
      <c r="AC63" s="55"/>
      <c r="AD63" s="55"/>
      <c r="AE63" s="55"/>
      <c r="AF63" s="55"/>
    </row>
    <row r="64" spans="1:32">
      <c r="A64" s="55"/>
      <c r="B64" s="55"/>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55"/>
      <c r="AC64" s="55"/>
      <c r="AD64" s="55"/>
      <c r="AE64" s="55"/>
      <c r="AF64" s="55"/>
    </row>
    <row r="65" spans="1:32">
      <c r="A65" s="55"/>
      <c r="B65" s="55"/>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55"/>
      <c r="AC65" s="55"/>
      <c r="AD65" s="55"/>
      <c r="AE65" s="55"/>
      <c r="AF65" s="55"/>
    </row>
    <row r="66" spans="1:32">
      <c r="A66" s="55"/>
      <c r="B66" s="55"/>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55"/>
      <c r="AC66" s="55"/>
      <c r="AD66" s="55"/>
      <c r="AE66" s="55"/>
      <c r="AF66" s="55"/>
    </row>
    <row r="67" spans="1:32">
      <c r="A67" s="55"/>
      <c r="B67" s="55"/>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55"/>
      <c r="AC67" s="55"/>
      <c r="AD67" s="55"/>
      <c r="AE67" s="55"/>
      <c r="AF67" s="55"/>
    </row>
    <row r="68" spans="1:32">
      <c r="A68" s="55"/>
      <c r="B68" s="55"/>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55"/>
      <c r="AC68" s="55"/>
      <c r="AD68" s="55"/>
      <c r="AE68" s="55"/>
      <c r="AF68" s="55"/>
    </row>
    <row r="69" spans="1:32">
      <c r="A69" s="55"/>
      <c r="B69" s="55"/>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55"/>
      <c r="AC69" s="55"/>
      <c r="AD69" s="55"/>
      <c r="AE69" s="55"/>
      <c r="AF69" s="55"/>
    </row>
    <row r="70" spans="1:32">
      <c r="A70" s="55"/>
      <c r="B70" s="55"/>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55"/>
      <c r="AC70" s="55"/>
      <c r="AD70" s="55"/>
      <c r="AE70" s="55"/>
      <c r="AF70" s="55"/>
    </row>
    <row r="71" spans="1:32">
      <c r="A71" s="55"/>
      <c r="B71" s="55"/>
      <c r="C71" s="120"/>
      <c r="D71" s="120"/>
      <c r="E71" s="120"/>
      <c r="F71" s="120"/>
      <c r="G71" s="120"/>
      <c r="H71" s="120"/>
      <c r="I71" s="120"/>
      <c r="J71" s="120"/>
      <c r="K71" s="120"/>
      <c r="L71" s="120"/>
      <c r="M71" s="120"/>
      <c r="N71" s="120"/>
      <c r="O71" s="120"/>
      <c r="P71" s="120"/>
      <c r="Q71" s="120"/>
      <c r="R71" s="120"/>
      <c r="S71" s="120"/>
      <c r="T71" s="120"/>
      <c r="U71" s="120"/>
      <c r="V71" s="123"/>
      <c r="W71" s="123"/>
      <c r="X71" s="123"/>
      <c r="Y71" s="123"/>
      <c r="Z71" s="123"/>
      <c r="AA71" s="123"/>
      <c r="AB71" s="55"/>
      <c r="AC71" s="55"/>
      <c r="AD71" s="55"/>
      <c r="AE71" s="55"/>
      <c r="AF71" s="55"/>
    </row>
    <row r="72" spans="1:32">
      <c r="A72" s="55"/>
      <c r="B72" s="55"/>
      <c r="C72" s="120"/>
      <c r="D72" s="120"/>
      <c r="E72" s="120"/>
      <c r="F72" s="120"/>
      <c r="G72" s="120"/>
      <c r="H72" s="120"/>
      <c r="I72" s="120"/>
      <c r="J72" s="120"/>
      <c r="K72" s="120"/>
      <c r="L72" s="120"/>
      <c r="M72" s="120"/>
      <c r="N72" s="120"/>
      <c r="O72" s="120"/>
      <c r="P72" s="120"/>
      <c r="Q72" s="120"/>
      <c r="R72" s="120"/>
      <c r="S72" s="120"/>
      <c r="T72" s="120"/>
      <c r="U72" s="120"/>
      <c r="V72" s="123"/>
      <c r="W72" s="123"/>
      <c r="X72" s="123"/>
      <c r="Y72" s="123"/>
      <c r="Z72" s="123"/>
      <c r="AA72" s="123"/>
      <c r="AB72" s="55"/>
      <c r="AC72" s="55"/>
      <c r="AD72" s="55"/>
      <c r="AE72" s="55"/>
      <c r="AF72" s="55"/>
    </row>
    <row r="73" spans="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row>
    <row r="74" spans="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row>
    <row r="75" spans="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row>
    <row r="76" spans="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row>
    <row r="77" spans="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40.xml><?xml version="1.0" encoding="utf-8"?>
<worksheet xmlns="http://schemas.openxmlformats.org/spreadsheetml/2006/main" xmlns:r="http://schemas.openxmlformats.org/officeDocument/2006/relationships">
  <dimension ref="A1:Y113"/>
  <sheetViews>
    <sheetView zoomScale="85" workbookViewId="0">
      <selection activeCell="I1" sqref="I1"/>
    </sheetView>
  </sheetViews>
  <sheetFormatPr defaultRowHeight="12.75"/>
  <cols>
    <col min="2" max="2" width="13.7109375" customWidth="1"/>
    <col min="3" max="3" width="28.7109375" customWidth="1"/>
    <col min="6" max="6" width="8.42578125" customWidth="1"/>
    <col min="7" max="7" width="11.42578125" customWidth="1"/>
    <col min="9" max="9" width="6.7109375" customWidth="1"/>
    <col min="10" max="15" width="7.7109375" customWidth="1"/>
    <col min="17" max="19" width="7.42578125" customWidth="1"/>
    <col min="20" max="21" width="7.140625" customWidth="1"/>
  </cols>
  <sheetData>
    <row r="1" spans="1:25" ht="18">
      <c r="A1" s="10" t="s">
        <v>1156</v>
      </c>
    </row>
    <row r="2" spans="1:25">
      <c r="I2" s="556" t="s">
        <v>1157</v>
      </c>
      <c r="J2" s="293"/>
      <c r="K2" s="293"/>
      <c r="L2" s="293"/>
      <c r="M2" s="293"/>
      <c r="N2" s="293"/>
      <c r="O2" s="556" t="s">
        <v>1158</v>
      </c>
      <c r="P2" s="293"/>
      <c r="Q2" s="293"/>
      <c r="R2" s="293"/>
      <c r="S2" s="293"/>
    </row>
    <row r="3" spans="1:25">
      <c r="I3" s="557"/>
      <c r="J3" s="558">
        <v>2020</v>
      </c>
      <c r="K3" s="558">
        <v>2030</v>
      </c>
      <c r="L3" s="558">
        <v>2050</v>
      </c>
      <c r="M3" s="558">
        <v>2100</v>
      </c>
      <c r="N3" s="293"/>
      <c r="O3" s="557"/>
      <c r="P3" s="558">
        <v>2020</v>
      </c>
      <c r="Q3" s="558">
        <v>2030</v>
      </c>
      <c r="R3" s="558">
        <v>2050</v>
      </c>
      <c r="S3" s="558">
        <v>2100</v>
      </c>
    </row>
    <row r="4" spans="1:25">
      <c r="I4" s="293" t="s">
        <v>253</v>
      </c>
      <c r="J4" s="317">
        <v>0.99299999999999999</v>
      </c>
      <c r="K4" s="317">
        <v>0.99299999999999999</v>
      </c>
      <c r="L4" s="317">
        <v>0.99299999999999999</v>
      </c>
      <c r="M4" s="317">
        <v>0.99299999999999999</v>
      </c>
      <c r="N4" s="293"/>
      <c r="O4" s="293" t="s">
        <v>253</v>
      </c>
      <c r="P4" s="317">
        <v>0.96499999999999997</v>
      </c>
      <c r="Q4" s="317">
        <v>0.91</v>
      </c>
      <c r="R4" s="317">
        <v>0.82</v>
      </c>
      <c r="S4" s="317">
        <v>0.74</v>
      </c>
    </row>
    <row r="5" spans="1:25">
      <c r="I5" s="293" t="s">
        <v>252</v>
      </c>
      <c r="J5" s="317">
        <v>0.99299999999999999</v>
      </c>
      <c r="K5" s="317">
        <v>0.99299999999999999</v>
      </c>
      <c r="L5" s="317">
        <v>0.99299999999999999</v>
      </c>
      <c r="M5" s="317">
        <v>0.99299999999999999</v>
      </c>
      <c r="N5" s="293"/>
      <c r="O5" s="293" t="s">
        <v>252</v>
      </c>
      <c r="P5" s="317">
        <v>0.95499999999999996</v>
      </c>
      <c r="Q5" s="317">
        <v>0.9</v>
      </c>
      <c r="R5" s="317">
        <v>0.8</v>
      </c>
      <c r="S5" s="317">
        <v>0.72</v>
      </c>
    </row>
    <row r="6" spans="1:25">
      <c r="I6" s="293" t="s">
        <v>237</v>
      </c>
      <c r="J6" s="317">
        <v>0.98899999999999999</v>
      </c>
      <c r="K6" s="317">
        <v>0.98899999999999999</v>
      </c>
      <c r="L6" s="317">
        <v>0.98899999999999999</v>
      </c>
      <c r="M6" s="317">
        <v>0.98899999999999999</v>
      </c>
      <c r="N6" s="293"/>
      <c r="O6" s="293" t="s">
        <v>237</v>
      </c>
      <c r="P6" s="317">
        <v>0.95499999999999996</v>
      </c>
      <c r="Q6" s="317">
        <v>0.89</v>
      </c>
      <c r="R6" s="317">
        <v>0.8</v>
      </c>
      <c r="S6" s="317">
        <v>0.72</v>
      </c>
    </row>
    <row r="12" spans="1:25">
      <c r="H12" s="252" t="str">
        <f>"~FI_T: "&amp;Region&amp;"~EUR10"</f>
        <v>~FI_T: FIM~EUR10</v>
      </c>
    </row>
    <row r="13" spans="1:25" ht="24.75" thickBot="1">
      <c r="B13" s="525" t="s">
        <v>57</v>
      </c>
      <c r="C13" s="525" t="s">
        <v>58</v>
      </c>
      <c r="D13" s="525" t="s">
        <v>56</v>
      </c>
      <c r="E13" s="525" t="s">
        <v>59</v>
      </c>
      <c r="F13" s="525" t="s">
        <v>741</v>
      </c>
      <c r="G13" s="525" t="s">
        <v>1068</v>
      </c>
      <c r="H13" s="525" t="s">
        <v>86</v>
      </c>
      <c r="I13" s="530" t="s">
        <v>1058</v>
      </c>
      <c r="J13" s="525">
        <v>2010</v>
      </c>
      <c r="K13" s="525">
        <v>2017</v>
      </c>
      <c r="L13" s="525">
        <v>2020</v>
      </c>
      <c r="M13" s="525">
        <v>2030</v>
      </c>
      <c r="N13" s="525">
        <v>2050</v>
      </c>
      <c r="O13" s="525">
        <v>2100</v>
      </c>
      <c r="P13" s="529" t="s">
        <v>1059</v>
      </c>
      <c r="Q13" s="525" t="s">
        <v>662</v>
      </c>
      <c r="R13" s="525" t="s">
        <v>88</v>
      </c>
      <c r="S13" s="525" t="s">
        <v>993</v>
      </c>
      <c r="T13" s="525" t="s">
        <v>1060</v>
      </c>
      <c r="U13" s="525" t="s">
        <v>1120</v>
      </c>
      <c r="V13" s="525" t="s">
        <v>1144</v>
      </c>
      <c r="X13" s="533" t="s">
        <v>1092</v>
      </c>
    </row>
    <row r="14" spans="1:25">
      <c r="B14" s="528" t="s">
        <v>1064</v>
      </c>
      <c r="C14" s="528" t="s">
        <v>1061</v>
      </c>
      <c r="D14" s="528" t="s">
        <v>1115</v>
      </c>
      <c r="E14" s="528" t="s">
        <v>1128</v>
      </c>
      <c r="F14" s="528"/>
      <c r="G14" s="528" t="s">
        <v>1069</v>
      </c>
      <c r="H14" s="532" t="s">
        <v>924</v>
      </c>
      <c r="I14" s="314"/>
      <c r="J14" s="527">
        <v>1</v>
      </c>
      <c r="K14" s="527">
        <v>1</v>
      </c>
      <c r="L14" s="526">
        <f>K14*HLOOKUP(L$13,$J$3:$M$6,$Y14)^(L$13-K$13)</f>
        <v>0.97914665699999992</v>
      </c>
      <c r="M14" s="526">
        <f>L14*HLOOKUP(M$13,$J$3:$M$6,$Y14)^(M$13-L$13)</f>
        <v>0.91272559728487057</v>
      </c>
      <c r="N14" s="526">
        <f>M14*HLOOKUP(N$13,$J$3:$M$6,$Y14)^(N$13-M$13)</f>
        <v>0.79309497887840863</v>
      </c>
      <c r="O14" s="526">
        <f>N14*HLOOKUP(O$13,$J$3:$M$6,$Y14)^(O$13-N$13)</f>
        <v>0.55819716329724978</v>
      </c>
      <c r="P14" s="554" t="str">
        <f t="array" ref="P14:Q25">T(0)</f>
        <v/>
      </c>
      <c r="Q14" s="411" t="str">
        <v/>
      </c>
      <c r="R14" s="532">
        <v>150</v>
      </c>
      <c r="S14" s="81"/>
      <c r="T14" s="81"/>
      <c r="U14" s="81"/>
      <c r="V14" s="36"/>
      <c r="X14" s="444"/>
      <c r="Y14">
        <f>MATCH(LEFT(D14,3),$I$4:$I$6,0)+1</f>
        <v>2</v>
      </c>
    </row>
    <row r="15" spans="1:25">
      <c r="B15" s="36"/>
      <c r="C15" s="36"/>
      <c r="D15" s="36"/>
      <c r="E15" s="36" t="s">
        <v>1062</v>
      </c>
      <c r="F15" s="36" t="s">
        <v>1115</v>
      </c>
      <c r="G15" s="36" t="s">
        <v>1063</v>
      </c>
      <c r="H15" s="538"/>
      <c r="I15" s="536">
        <v>2</v>
      </c>
      <c r="J15" s="537">
        <v>9999</v>
      </c>
      <c r="K15" s="538">
        <v>9999</v>
      </c>
      <c r="L15" s="538"/>
      <c r="M15" s="537"/>
      <c r="N15" s="537"/>
      <c r="O15" s="538"/>
      <c r="P15" s="554" t="str">
        <v/>
      </c>
      <c r="Q15" s="411" t="str">
        <v/>
      </c>
      <c r="R15" s="36"/>
      <c r="S15" s="81"/>
      <c r="T15" s="81"/>
      <c r="U15" s="81"/>
      <c r="V15" s="538">
        <v>1</v>
      </c>
      <c r="X15" s="444"/>
    </row>
    <row r="16" spans="1:25">
      <c r="B16" s="36"/>
      <c r="C16" s="36"/>
      <c r="D16" s="36" t="s">
        <v>1115</v>
      </c>
      <c r="E16" s="36"/>
      <c r="F16" s="36"/>
      <c r="G16" s="36" t="s">
        <v>1070</v>
      </c>
      <c r="H16" s="538" t="s">
        <v>767</v>
      </c>
      <c r="I16" s="536">
        <v>4</v>
      </c>
      <c r="J16" s="539">
        <v>0.997</v>
      </c>
      <c r="K16" s="539">
        <v>0.997</v>
      </c>
      <c r="L16" s="538">
        <v>0.9</v>
      </c>
      <c r="M16" s="538"/>
      <c r="N16" s="538"/>
      <c r="O16" s="538"/>
      <c r="P16" s="554" t="str">
        <v/>
      </c>
      <c r="Q16" s="411" t="str">
        <v/>
      </c>
      <c r="R16" s="36"/>
      <c r="S16" s="81"/>
      <c r="T16" s="81"/>
      <c r="U16" s="81"/>
      <c r="V16" s="36"/>
      <c r="X16" s="444"/>
    </row>
    <row r="17" spans="2:25">
      <c r="B17" s="36"/>
      <c r="C17" s="36"/>
      <c r="D17" s="36" t="s">
        <v>1115</v>
      </c>
      <c r="E17" s="36"/>
      <c r="F17" s="538" t="s">
        <v>1128</v>
      </c>
      <c r="G17" s="36" t="s">
        <v>1065</v>
      </c>
      <c r="H17" s="36"/>
      <c r="I17" s="536"/>
      <c r="J17" s="539">
        <v>1</v>
      </c>
      <c r="K17" s="540">
        <v>1</v>
      </c>
      <c r="L17" s="538">
        <f>HLOOKUP(L$13,$P$3:$S$6,$Y14)</f>
        <v>0.96499999999999997</v>
      </c>
      <c r="M17" s="538">
        <f>HLOOKUP(M$13,$P$3:$S$6,$Y14)</f>
        <v>0.91</v>
      </c>
      <c r="N17" s="538">
        <f>HLOOKUP(N$13,$P$3:$S$6,$Y14)</f>
        <v>0.82</v>
      </c>
      <c r="O17" s="538">
        <f>HLOOKUP(O$13,$P$3:$S$6,$Y14)</f>
        <v>0.74</v>
      </c>
      <c r="P17" s="554" t="str">
        <v/>
      </c>
      <c r="Q17" s="411" t="str">
        <v/>
      </c>
      <c r="R17" s="36"/>
      <c r="S17" s="81"/>
      <c r="T17" s="81"/>
      <c r="U17" s="81"/>
      <c r="V17" s="36"/>
      <c r="X17" s="444"/>
    </row>
    <row r="18" spans="2:25">
      <c r="B18" s="528" t="s">
        <v>1073</v>
      </c>
      <c r="C18" s="528" t="s">
        <v>1074</v>
      </c>
      <c r="D18" s="528" t="s">
        <v>1116</v>
      </c>
      <c r="E18" s="528" t="s">
        <v>1129</v>
      </c>
      <c r="F18" s="528"/>
      <c r="G18" s="528" t="s">
        <v>1069</v>
      </c>
      <c r="H18" s="532" t="s">
        <v>924</v>
      </c>
      <c r="I18" s="314"/>
      <c r="J18" s="527">
        <v>1</v>
      </c>
      <c r="K18" s="527">
        <v>1</v>
      </c>
      <c r="L18" s="526">
        <f>K18*HLOOKUP(L$13,$J$3:$M$6,$Y18)^(L$13-K$13)</f>
        <v>0.97914665699999992</v>
      </c>
      <c r="M18" s="526">
        <f>L18*HLOOKUP(M$13,$J$3:$M$6,$Y18)^(M$13-L$13)</f>
        <v>0.91272559728487057</v>
      </c>
      <c r="N18" s="526">
        <f>M18*HLOOKUP(N$13,$J$3:$M$6,$Y18)^(N$13-M$13)</f>
        <v>0.79309497887840863</v>
      </c>
      <c r="O18" s="526">
        <f>N18*HLOOKUP(O$13,$J$3:$M$6,$Y18)^(O$13-N$13)</f>
        <v>0.55819716329724978</v>
      </c>
      <c r="P18" s="554" t="str">
        <v/>
      </c>
      <c r="Q18" s="411" t="str">
        <v/>
      </c>
      <c r="R18" s="532">
        <v>150</v>
      </c>
      <c r="S18" s="81"/>
      <c r="T18" s="81"/>
      <c r="U18" s="81"/>
      <c r="V18" s="36"/>
      <c r="X18" s="444"/>
      <c r="Y18">
        <f>MATCH(LEFT(D18,3),$I$4:$I$6,0)+1</f>
        <v>3</v>
      </c>
    </row>
    <row r="19" spans="2:25">
      <c r="B19" s="36"/>
      <c r="C19" s="36"/>
      <c r="D19" s="36"/>
      <c r="E19" s="36" t="s">
        <v>1076</v>
      </c>
      <c r="F19" s="36" t="s">
        <v>1116</v>
      </c>
      <c r="G19" s="36" t="s">
        <v>1063</v>
      </c>
      <c r="H19" s="538"/>
      <c r="I19" s="536">
        <v>2</v>
      </c>
      <c r="J19" s="537">
        <v>9999</v>
      </c>
      <c r="K19" s="538">
        <v>9999</v>
      </c>
      <c r="L19" s="538"/>
      <c r="M19" s="537"/>
      <c r="N19" s="537"/>
      <c r="O19" s="538"/>
      <c r="P19" s="554" t="str">
        <v/>
      </c>
      <c r="Q19" s="411" t="str">
        <v/>
      </c>
      <c r="R19" s="36"/>
      <c r="S19" s="81"/>
      <c r="T19" s="81"/>
      <c r="U19" s="81"/>
      <c r="V19" s="538">
        <v>1</v>
      </c>
      <c r="X19" s="444"/>
    </row>
    <row r="20" spans="2:25">
      <c r="B20" s="36"/>
      <c r="C20" s="36"/>
      <c r="D20" s="36" t="s">
        <v>1116</v>
      </c>
      <c r="E20" s="36"/>
      <c r="F20" s="36"/>
      <c r="G20" s="36" t="s">
        <v>1070</v>
      </c>
      <c r="H20" s="538" t="s">
        <v>767</v>
      </c>
      <c r="I20" s="536">
        <v>4</v>
      </c>
      <c r="J20" s="539">
        <v>0.997</v>
      </c>
      <c r="K20" s="539">
        <v>0.997</v>
      </c>
      <c r="L20" s="538">
        <v>0.9</v>
      </c>
      <c r="M20" s="538"/>
      <c r="N20" s="538"/>
      <c r="O20" s="538"/>
      <c r="P20" s="554" t="str">
        <v/>
      </c>
      <c r="Q20" s="411" t="str">
        <v/>
      </c>
      <c r="R20" s="36"/>
      <c r="S20" s="81"/>
      <c r="T20" s="81"/>
      <c r="U20" s="81"/>
      <c r="V20" s="36"/>
      <c r="X20" s="444"/>
    </row>
    <row r="21" spans="2:25">
      <c r="B21" s="36"/>
      <c r="C21" s="36"/>
      <c r="D21" s="36" t="s">
        <v>1116</v>
      </c>
      <c r="E21" s="36"/>
      <c r="F21" s="538" t="s">
        <v>1129</v>
      </c>
      <c r="G21" s="36" t="s">
        <v>1065</v>
      </c>
      <c r="H21" s="36"/>
      <c r="I21" s="536"/>
      <c r="J21" s="539">
        <v>1</v>
      </c>
      <c r="K21" s="540">
        <v>1</v>
      </c>
      <c r="L21" s="538">
        <f>HLOOKUP(L$13,$P$3:$S$6,$Y18)</f>
        <v>0.95499999999999996</v>
      </c>
      <c r="M21" s="538">
        <f>HLOOKUP(M$13,$P$3:$S$6,$Y18)</f>
        <v>0.9</v>
      </c>
      <c r="N21" s="538">
        <f>HLOOKUP(N$13,$P$3:$S$6,$Y18)</f>
        <v>0.8</v>
      </c>
      <c r="O21" s="538">
        <f>HLOOKUP(O$13,$P$3:$S$6,$Y18)</f>
        <v>0.72</v>
      </c>
      <c r="P21" s="554" t="str">
        <v/>
      </c>
      <c r="Q21" s="411" t="str">
        <v/>
      </c>
      <c r="R21" s="36"/>
      <c r="S21" s="81"/>
      <c r="T21" s="81"/>
      <c r="U21" s="81"/>
      <c r="V21" s="36"/>
      <c r="X21" s="444"/>
    </row>
    <row r="22" spans="2:25">
      <c r="B22" s="528" t="s">
        <v>1078</v>
      </c>
      <c r="C22" s="528" t="s">
        <v>1079</v>
      </c>
      <c r="D22" s="528" t="s">
        <v>1117</v>
      </c>
      <c r="E22" s="528" t="s">
        <v>1130</v>
      </c>
      <c r="F22" s="528"/>
      <c r="G22" s="528" t="s">
        <v>1069</v>
      </c>
      <c r="H22" s="532" t="s">
        <v>924</v>
      </c>
      <c r="I22" s="314"/>
      <c r="J22" s="527">
        <v>1</v>
      </c>
      <c r="K22" s="527">
        <v>1</v>
      </c>
      <c r="L22" s="526">
        <f>K22*HLOOKUP(L$13,$J$3:$M$6,$Y22)^(L$13-K$13)</f>
        <v>0.96736166899999998</v>
      </c>
      <c r="M22" s="526">
        <f>L22*HLOOKUP(M$13,$J$3:$M$6,$Y22)^(M$13-L$13)</f>
        <v>0.86606759804919597</v>
      </c>
      <c r="N22" s="526">
        <f>M22*HLOOKUP(N$13,$J$3:$M$6,$Y22)^(N$13-M$13)</f>
        <v>0.69418883228160755</v>
      </c>
      <c r="O22" s="526">
        <f>N22*HLOOKUP(O$13,$J$3:$M$6,$Y22)^(O$13-N$13)</f>
        <v>0.39929346514189512</v>
      </c>
      <c r="P22" s="554" t="str">
        <v/>
      </c>
      <c r="Q22" s="411" t="str">
        <v/>
      </c>
      <c r="R22" s="532">
        <v>150</v>
      </c>
      <c r="S22" s="81"/>
      <c r="T22" s="81"/>
      <c r="U22" s="81"/>
      <c r="V22" s="36"/>
      <c r="X22" s="444"/>
      <c r="Y22">
        <f>MATCH(LEFT(D22,3),$I$4:$I$6,0)+1</f>
        <v>4</v>
      </c>
    </row>
    <row r="23" spans="2:25">
      <c r="B23" s="36"/>
      <c r="C23" s="36"/>
      <c r="D23" s="36"/>
      <c r="E23" s="36" t="s">
        <v>1159</v>
      </c>
      <c r="F23" s="36" t="s">
        <v>1117</v>
      </c>
      <c r="G23" s="36" t="s">
        <v>1063</v>
      </c>
      <c r="H23" s="538"/>
      <c r="I23" s="536">
        <v>2</v>
      </c>
      <c r="J23" s="537">
        <v>9999</v>
      </c>
      <c r="K23" s="538">
        <v>9999</v>
      </c>
      <c r="L23" s="538"/>
      <c r="M23" s="537"/>
      <c r="N23" s="537"/>
      <c r="O23" s="538"/>
      <c r="P23" s="554" t="str">
        <v/>
      </c>
      <c r="Q23" s="81" t="str">
        <v/>
      </c>
      <c r="R23" s="36"/>
      <c r="S23" s="81"/>
      <c r="T23" s="81"/>
      <c r="U23" s="81"/>
      <c r="V23" s="538">
        <v>1</v>
      </c>
      <c r="X23" s="444"/>
    </row>
    <row r="24" spans="2:25">
      <c r="B24" s="36"/>
      <c r="C24" s="36"/>
      <c r="D24" s="36" t="s">
        <v>1117</v>
      </c>
      <c r="E24" s="36"/>
      <c r="F24" s="36"/>
      <c r="G24" s="36" t="s">
        <v>1070</v>
      </c>
      <c r="H24" s="538" t="s">
        <v>767</v>
      </c>
      <c r="I24" s="536">
        <v>4</v>
      </c>
      <c r="J24" s="539">
        <v>0.997</v>
      </c>
      <c r="K24" s="539">
        <v>0.997</v>
      </c>
      <c r="L24" s="538">
        <v>0.9</v>
      </c>
      <c r="M24" s="538"/>
      <c r="N24" s="538"/>
      <c r="O24" s="538"/>
      <c r="P24" s="554" t="str">
        <v/>
      </c>
      <c r="Q24" s="81" t="str">
        <v/>
      </c>
      <c r="R24" s="36"/>
      <c r="S24" s="81"/>
      <c r="T24" s="81"/>
      <c r="U24" s="81"/>
      <c r="V24" s="36"/>
      <c r="X24" s="444"/>
    </row>
    <row r="25" spans="2:25">
      <c r="B25" s="36"/>
      <c r="C25" s="36"/>
      <c r="D25" s="36" t="s">
        <v>1117</v>
      </c>
      <c r="E25" s="36"/>
      <c r="F25" s="538" t="s">
        <v>1130</v>
      </c>
      <c r="G25" s="36" t="s">
        <v>1065</v>
      </c>
      <c r="H25" s="36"/>
      <c r="I25" s="536"/>
      <c r="J25" s="539">
        <v>1</v>
      </c>
      <c r="K25" s="540">
        <v>1</v>
      </c>
      <c r="L25" s="538">
        <f>HLOOKUP(L$13,$P$3:$S$6,$Y22)</f>
        <v>0.95499999999999996</v>
      </c>
      <c r="M25" s="538">
        <f>HLOOKUP(M$13,$P$3:$S$6,$Y22)</f>
        <v>0.89</v>
      </c>
      <c r="N25" s="538">
        <f>HLOOKUP(N$13,$P$3:$S$6,$Y22)</f>
        <v>0.8</v>
      </c>
      <c r="O25" s="538">
        <f>HLOOKUP(O$13,$P$3:$S$6,$Y22)</f>
        <v>0.72</v>
      </c>
      <c r="P25" s="554" t="str">
        <v/>
      </c>
      <c r="Q25" s="81" t="str">
        <v/>
      </c>
      <c r="R25" s="36"/>
      <c r="S25" s="81"/>
      <c r="T25" s="81"/>
      <c r="U25" s="81"/>
      <c r="V25" s="36"/>
      <c r="X25" s="444"/>
    </row>
    <row r="26" spans="2:25">
      <c r="B26" s="293" t="s">
        <v>1067</v>
      </c>
      <c r="C26" s="293" t="str">
        <f>"Residential.1.INS.New."&amp;TEXT(X26,"0%")</f>
        <v>Residential.1.INS.New.40%</v>
      </c>
      <c r="D26" s="293" t="s">
        <v>1115</v>
      </c>
      <c r="E26" s="293"/>
      <c r="F26" s="295"/>
      <c r="G26" s="293" t="s">
        <v>861</v>
      </c>
      <c r="H26" s="293"/>
      <c r="I26" s="314"/>
      <c r="J26" s="411"/>
      <c r="K26" s="531">
        <f>1/$X26-1</f>
        <v>1.5</v>
      </c>
      <c r="L26" s="526"/>
      <c r="M26" s="526"/>
      <c r="N26" s="526"/>
      <c r="O26" s="526"/>
      <c r="P26" s="555">
        <v>24.5493701414375</v>
      </c>
      <c r="Q26" s="295">
        <v>1</v>
      </c>
      <c r="R26" s="295">
        <v>100</v>
      </c>
      <c r="S26" s="295">
        <f ca="1">AuxYear+1</f>
        <v>2018</v>
      </c>
      <c r="T26" s="295"/>
      <c r="U26" s="295"/>
      <c r="V26" s="295"/>
      <c r="X26" s="444">
        <v>0.4</v>
      </c>
    </row>
    <row r="27" spans="2:25">
      <c r="B27" s="12"/>
      <c r="C27" s="12"/>
      <c r="D27" s="12" t="s">
        <v>1066</v>
      </c>
      <c r="E27" s="12"/>
      <c r="F27" s="12"/>
      <c r="G27" s="12" t="s">
        <v>861</v>
      </c>
      <c r="H27" s="12"/>
      <c r="I27" s="536"/>
      <c r="J27" s="411"/>
      <c r="K27" s="541">
        <f>MIN(K26,(K26)*(1/0.75/(K26+1))^2)</f>
        <v>0.42666666666666664</v>
      </c>
      <c r="L27" s="541"/>
      <c r="M27" s="541"/>
      <c r="N27" s="541"/>
      <c r="O27" s="541"/>
      <c r="P27" s="515"/>
      <c r="Q27" s="369"/>
      <c r="R27" s="369"/>
      <c r="S27" s="369"/>
      <c r="T27" s="369"/>
      <c r="U27" s="369"/>
      <c r="V27" s="369"/>
      <c r="X27" s="444"/>
    </row>
    <row r="28" spans="2:25">
      <c r="B28" s="12"/>
      <c r="C28" s="12"/>
      <c r="D28" s="12"/>
      <c r="E28" s="12" t="s">
        <v>1062</v>
      </c>
      <c r="F28" s="369" t="s">
        <v>1072</v>
      </c>
      <c r="G28" s="12" t="s">
        <v>1071</v>
      </c>
      <c r="H28" s="12"/>
      <c r="I28" s="296"/>
      <c r="J28" s="411"/>
      <c r="K28" s="540">
        <f>$K26/K$17</f>
        <v>1.5</v>
      </c>
      <c r="L28" s="540">
        <f>$K26/L$17</f>
        <v>1.5544041450777202</v>
      </c>
      <c r="M28" s="540">
        <f>$K26/M$17</f>
        <v>1.6483516483516483</v>
      </c>
      <c r="N28" s="540">
        <f>$K26/N$17</f>
        <v>1.8292682926829269</v>
      </c>
      <c r="O28" s="540">
        <f>$K26/O$17</f>
        <v>2.0270270270270272</v>
      </c>
      <c r="P28" s="515"/>
      <c r="Q28" s="369"/>
      <c r="R28" s="369"/>
      <c r="S28" s="369"/>
      <c r="T28" s="369">
        <v>40</v>
      </c>
      <c r="U28" s="369">
        <v>40</v>
      </c>
      <c r="V28" s="369"/>
      <c r="X28" s="444"/>
    </row>
    <row r="29" spans="2:25">
      <c r="B29" s="12"/>
      <c r="C29" s="12"/>
      <c r="D29" s="12"/>
      <c r="E29" s="12" t="s">
        <v>1128</v>
      </c>
      <c r="F29" s="12"/>
      <c r="G29" s="12" t="s">
        <v>1094</v>
      </c>
      <c r="H29" s="12"/>
      <c r="I29" s="296"/>
      <c r="J29" s="358"/>
      <c r="K29" s="368">
        <f>1/(K$17*$X26)</f>
        <v>2.5</v>
      </c>
      <c r="L29" s="368">
        <f>1/(L$17*$X26)</f>
        <v>2.5906735751295336</v>
      </c>
      <c r="M29" s="368">
        <f>1/(M$17*$X26)</f>
        <v>2.7472527472527468</v>
      </c>
      <c r="N29" s="368">
        <f>1/(N$17*$X26)</f>
        <v>3.0487804878048781</v>
      </c>
      <c r="O29" s="368">
        <f>1/(O$17*$X26)</f>
        <v>3.3783783783783785</v>
      </c>
      <c r="P29" s="515"/>
      <c r="Q29" s="369"/>
      <c r="R29" s="369"/>
      <c r="S29" s="369"/>
      <c r="T29" s="369"/>
      <c r="U29" s="369"/>
      <c r="V29" s="369"/>
      <c r="X29" s="444"/>
    </row>
    <row r="30" spans="2:25">
      <c r="B30" s="293" t="s">
        <v>1081</v>
      </c>
      <c r="C30" s="293" t="str">
        <f>"Residential.1.INS.New."&amp;TEXT(X30,"0%")</f>
        <v>Residential.1.INS.New.55%</v>
      </c>
      <c r="D30" s="293" t="s">
        <v>1115</v>
      </c>
      <c r="E30" s="293"/>
      <c r="F30" s="295"/>
      <c r="G30" s="293" t="s">
        <v>861</v>
      </c>
      <c r="H30" s="293"/>
      <c r="I30" s="314"/>
      <c r="J30" s="411"/>
      <c r="K30" s="531">
        <f>1/$X30-1</f>
        <v>0.81818181818181812</v>
      </c>
      <c r="L30" s="526"/>
      <c r="M30" s="526"/>
      <c r="N30" s="526"/>
      <c r="O30" s="526"/>
      <c r="P30" s="555">
        <f>P26+100</f>
        <v>124.54937014143749</v>
      </c>
      <c r="Q30" s="295">
        <v>1</v>
      </c>
      <c r="R30" s="295">
        <v>100</v>
      </c>
      <c r="S30" s="295">
        <f ca="1">AuxYear+1</f>
        <v>2018</v>
      </c>
      <c r="T30" s="295"/>
      <c r="U30" s="295"/>
      <c r="V30" s="295"/>
      <c r="X30" s="444">
        <v>0.55000000000000004</v>
      </c>
    </row>
    <row r="31" spans="2:25">
      <c r="B31" s="12"/>
      <c r="C31" s="12"/>
      <c r="D31" s="12" t="s">
        <v>1066</v>
      </c>
      <c r="E31" s="12"/>
      <c r="F31" s="12"/>
      <c r="G31" s="12" t="s">
        <v>861</v>
      </c>
      <c r="H31" s="12"/>
      <c r="I31" s="536"/>
      <c r="J31" s="411"/>
      <c r="K31" s="541">
        <f>MIN(K30,(K30)*(1/0.75/(K30+1))^2)</f>
        <v>0.43999999999999989</v>
      </c>
      <c r="L31" s="541"/>
      <c r="M31" s="541"/>
      <c r="N31" s="541"/>
      <c r="O31" s="541"/>
      <c r="P31" s="515"/>
      <c r="Q31" s="369"/>
      <c r="R31" s="369"/>
      <c r="S31" s="369"/>
      <c r="T31" s="369"/>
      <c r="U31" s="369"/>
      <c r="V31" s="369"/>
      <c r="X31" s="444"/>
    </row>
    <row r="32" spans="2:25">
      <c r="B32" s="12"/>
      <c r="C32" s="12"/>
      <c r="D32" s="12"/>
      <c r="E32" s="12" t="s">
        <v>1062</v>
      </c>
      <c r="F32" s="369" t="s">
        <v>1072</v>
      </c>
      <c r="G32" s="12" t="s">
        <v>1071</v>
      </c>
      <c r="H32" s="12"/>
      <c r="I32" s="296"/>
      <c r="J32" s="411"/>
      <c r="K32" s="540">
        <f>$K30/K$17</f>
        <v>0.81818181818181812</v>
      </c>
      <c r="L32" s="540">
        <f>$K30/L$17</f>
        <v>0.84785680640602912</v>
      </c>
      <c r="M32" s="540">
        <f>$K30/M$17</f>
        <v>0.89910089910089896</v>
      </c>
      <c r="N32" s="540">
        <f>$K30/N$17</f>
        <v>0.99778270509977829</v>
      </c>
      <c r="O32" s="540">
        <f>$K30/O$17</f>
        <v>1.1056511056511056</v>
      </c>
      <c r="P32" s="515"/>
      <c r="Q32" s="369"/>
      <c r="R32" s="369"/>
      <c r="S32" s="369"/>
      <c r="T32" s="369">
        <v>40</v>
      </c>
      <c r="U32" s="369">
        <v>40</v>
      </c>
      <c r="V32" s="369"/>
      <c r="X32" s="444"/>
    </row>
    <row r="33" spans="2:24">
      <c r="B33" s="12"/>
      <c r="C33" s="12"/>
      <c r="D33" s="12"/>
      <c r="E33" s="12" t="s">
        <v>1128</v>
      </c>
      <c r="F33" s="12"/>
      <c r="G33" s="12" t="s">
        <v>1094</v>
      </c>
      <c r="H33" s="12"/>
      <c r="I33" s="296"/>
      <c r="J33" s="358"/>
      <c r="K33" s="368">
        <f>1/(K$17*$X30)</f>
        <v>1.8181818181818181</v>
      </c>
      <c r="L33" s="368">
        <f>1/(L$17*$X30)</f>
        <v>1.8841262364578424</v>
      </c>
      <c r="M33" s="368">
        <f>1/(M$17*$X30)</f>
        <v>1.9980019980019978</v>
      </c>
      <c r="N33" s="368">
        <f>1/(N$17*$X30)</f>
        <v>2.2172949002217295</v>
      </c>
      <c r="O33" s="368">
        <f>1/(O$17*$X30)</f>
        <v>2.4570024570024569</v>
      </c>
      <c r="P33" s="515"/>
      <c r="Q33" s="369"/>
      <c r="R33" s="369"/>
      <c r="S33" s="369"/>
      <c r="T33" s="369"/>
      <c r="U33" s="369"/>
      <c r="V33" s="369"/>
      <c r="X33" s="444"/>
    </row>
    <row r="34" spans="2:24">
      <c r="B34" s="293" t="s">
        <v>1082</v>
      </c>
      <c r="C34" s="293" t="str">
        <f>"Residential.1.INS.New."&amp;TEXT(X34,"0%")</f>
        <v>Residential.1.INS.New.70%</v>
      </c>
      <c r="D34" s="293" t="s">
        <v>1115</v>
      </c>
      <c r="E34" s="293"/>
      <c r="F34" s="295"/>
      <c r="G34" s="293" t="s">
        <v>861</v>
      </c>
      <c r="H34" s="293"/>
      <c r="I34" s="314"/>
      <c r="J34" s="411"/>
      <c r="K34" s="531">
        <f>1/$X34-1</f>
        <v>0.4285714285714286</v>
      </c>
      <c r="L34" s="526"/>
      <c r="M34" s="526"/>
      <c r="N34" s="526"/>
      <c r="O34" s="526"/>
      <c r="P34" s="555">
        <f>P30+80</f>
        <v>204.54937014143749</v>
      </c>
      <c r="Q34" s="295">
        <v>1</v>
      </c>
      <c r="R34" s="295">
        <v>100</v>
      </c>
      <c r="S34" s="295">
        <f ca="1">AuxYear+1</f>
        <v>2018</v>
      </c>
      <c r="T34" s="295"/>
      <c r="U34" s="295"/>
      <c r="V34" s="295"/>
      <c r="X34" s="444">
        <v>0.7</v>
      </c>
    </row>
    <row r="35" spans="2:24">
      <c r="B35" s="12"/>
      <c r="C35" s="12"/>
      <c r="D35" s="12" t="s">
        <v>1066</v>
      </c>
      <c r="E35" s="12"/>
      <c r="F35" s="12"/>
      <c r="G35" s="12" t="s">
        <v>861</v>
      </c>
      <c r="H35" s="12"/>
      <c r="I35" s="536"/>
      <c r="J35" s="411"/>
      <c r="K35" s="541">
        <f>MIN(K34,(K34)*(1/0.75/(K34+1))^2)</f>
        <v>0.37333333333333329</v>
      </c>
      <c r="L35" s="541"/>
      <c r="M35" s="541"/>
      <c r="N35" s="541"/>
      <c r="O35" s="541"/>
      <c r="P35" s="515"/>
      <c r="Q35" s="369"/>
      <c r="R35" s="369"/>
      <c r="S35" s="369"/>
      <c r="T35" s="369"/>
      <c r="U35" s="369"/>
      <c r="V35" s="369"/>
      <c r="X35" s="444"/>
    </row>
    <row r="36" spans="2:24">
      <c r="B36" s="12"/>
      <c r="C36" s="12"/>
      <c r="D36" s="12"/>
      <c r="E36" s="12" t="s">
        <v>1062</v>
      </c>
      <c r="F36" s="369" t="s">
        <v>1072</v>
      </c>
      <c r="G36" s="12" t="s">
        <v>1071</v>
      </c>
      <c r="H36" s="12"/>
      <c r="I36" s="296"/>
      <c r="J36" s="411"/>
      <c r="K36" s="540">
        <f>$K34/K$17</f>
        <v>0.4285714285714286</v>
      </c>
      <c r="L36" s="540">
        <f>$K34/L$17</f>
        <v>0.4441154700222058</v>
      </c>
      <c r="M36" s="540">
        <f>$K34/M$17</f>
        <v>0.4709576138147567</v>
      </c>
      <c r="N36" s="540">
        <f>$K34/N$17</f>
        <v>0.52264808362369342</v>
      </c>
      <c r="O36" s="540">
        <f>$K34/O$17</f>
        <v>0.57915057915057921</v>
      </c>
      <c r="P36" s="515"/>
      <c r="Q36" s="369"/>
      <c r="R36" s="369"/>
      <c r="S36" s="369"/>
      <c r="T36" s="369">
        <v>40</v>
      </c>
      <c r="U36" s="369">
        <v>40</v>
      </c>
      <c r="V36" s="369"/>
      <c r="X36" s="444"/>
    </row>
    <row r="37" spans="2:24">
      <c r="B37" s="12"/>
      <c r="C37" s="12"/>
      <c r="D37" s="12"/>
      <c r="E37" s="12" t="s">
        <v>1128</v>
      </c>
      <c r="F37" s="12"/>
      <c r="G37" s="12" t="s">
        <v>1094</v>
      </c>
      <c r="H37" s="12"/>
      <c r="I37" s="296"/>
      <c r="J37" s="358"/>
      <c r="K37" s="368">
        <f>1/(K$17*$X34)</f>
        <v>1.4285714285714286</v>
      </c>
      <c r="L37" s="368">
        <f>1/(L$17*$X34)</f>
        <v>1.4803849000740192</v>
      </c>
      <c r="M37" s="368">
        <f>1/(M$17*$X34)</f>
        <v>1.5698587127158556</v>
      </c>
      <c r="N37" s="368">
        <f>1/(N$17*$X34)</f>
        <v>1.7421602787456447</v>
      </c>
      <c r="O37" s="368">
        <f>1/(O$17*$X34)</f>
        <v>1.9305019305019304</v>
      </c>
      <c r="P37" s="515"/>
      <c r="Q37" s="369"/>
      <c r="R37" s="369"/>
      <c r="S37" s="369"/>
      <c r="T37" s="369"/>
      <c r="U37" s="369"/>
      <c r="V37" s="369"/>
      <c r="X37" s="444"/>
    </row>
    <row r="38" spans="2:24">
      <c r="B38" s="293" t="s">
        <v>1083</v>
      </c>
      <c r="C38" s="293" t="str">
        <f>"Residential.1.INS.New."&amp;TEXT(X38,"0%")</f>
        <v>Residential.1.INS.New.80%</v>
      </c>
      <c r="D38" s="293" t="s">
        <v>1115</v>
      </c>
      <c r="E38" s="293"/>
      <c r="F38" s="295"/>
      <c r="G38" s="293" t="s">
        <v>861</v>
      </c>
      <c r="H38" s="293"/>
      <c r="I38" s="314"/>
      <c r="J38" s="411"/>
      <c r="K38" s="531">
        <f>1/$X38-1</f>
        <v>0.25</v>
      </c>
      <c r="L38" s="526"/>
      <c r="M38" s="526"/>
      <c r="N38" s="526"/>
      <c r="O38" s="526"/>
      <c r="P38" s="555">
        <f>P34+80</f>
        <v>284.54937014143752</v>
      </c>
      <c r="Q38" s="295">
        <v>1</v>
      </c>
      <c r="R38" s="295">
        <v>100</v>
      </c>
      <c r="S38" s="295">
        <f ca="1">AuxYear+1</f>
        <v>2018</v>
      </c>
      <c r="T38" s="295"/>
      <c r="U38" s="295"/>
      <c r="V38" s="295"/>
      <c r="X38" s="444">
        <v>0.8</v>
      </c>
    </row>
    <row r="39" spans="2:24">
      <c r="B39" s="12"/>
      <c r="C39" s="12"/>
      <c r="D39" s="12" t="s">
        <v>1066</v>
      </c>
      <c r="E39" s="12"/>
      <c r="F39" s="12"/>
      <c r="G39" s="12" t="s">
        <v>861</v>
      </c>
      <c r="H39" s="12"/>
      <c r="I39" s="536"/>
      <c r="J39" s="411"/>
      <c r="K39" s="541">
        <f>MIN(K38,(K38)*(1/0.75/(K38+1))^2)</f>
        <v>0.25</v>
      </c>
      <c r="L39" s="541"/>
      <c r="M39" s="541"/>
      <c r="N39" s="541"/>
      <c r="O39" s="541"/>
      <c r="P39" s="515"/>
      <c r="Q39" s="369"/>
      <c r="R39" s="369"/>
      <c r="S39" s="369"/>
      <c r="T39" s="369"/>
      <c r="U39" s="369"/>
      <c r="V39" s="369"/>
      <c r="X39" s="444"/>
    </row>
    <row r="40" spans="2:24">
      <c r="B40" s="12"/>
      <c r="C40" s="12"/>
      <c r="D40" s="12"/>
      <c r="E40" s="12" t="s">
        <v>1062</v>
      </c>
      <c r="F40" s="369" t="s">
        <v>1072</v>
      </c>
      <c r="G40" s="12" t="s">
        <v>1071</v>
      </c>
      <c r="H40" s="12"/>
      <c r="I40" s="296"/>
      <c r="J40" s="411"/>
      <c r="K40" s="540">
        <f>$K38/K$17</f>
        <v>0.25</v>
      </c>
      <c r="L40" s="540">
        <f>$K38/L$17</f>
        <v>0.2590673575129534</v>
      </c>
      <c r="M40" s="540">
        <f>$K38/M$17</f>
        <v>0.27472527472527469</v>
      </c>
      <c r="N40" s="540">
        <f>$K38/N$17</f>
        <v>0.3048780487804878</v>
      </c>
      <c r="O40" s="540">
        <f>$K38/O$17</f>
        <v>0.33783783783783783</v>
      </c>
      <c r="P40" s="515"/>
      <c r="Q40" s="369"/>
      <c r="R40" s="369"/>
      <c r="S40" s="369"/>
      <c r="T40" s="369">
        <v>40</v>
      </c>
      <c r="U40" s="369">
        <v>40</v>
      </c>
      <c r="V40" s="369"/>
      <c r="X40" s="444"/>
    </row>
    <row r="41" spans="2:24">
      <c r="B41" s="12"/>
      <c r="C41" s="12"/>
      <c r="D41" s="12"/>
      <c r="E41" s="12" t="s">
        <v>1128</v>
      </c>
      <c r="F41" s="12"/>
      <c r="G41" s="12" t="s">
        <v>1094</v>
      </c>
      <c r="H41" s="12"/>
      <c r="I41" s="296"/>
      <c r="J41" s="358"/>
      <c r="K41" s="368">
        <f>1/(K$17*$X38)</f>
        <v>1.25</v>
      </c>
      <c r="L41" s="368">
        <f>1/(L$17*$X38)</f>
        <v>1.2953367875647668</v>
      </c>
      <c r="M41" s="368">
        <f>1/(M$17*$X38)</f>
        <v>1.3736263736263734</v>
      </c>
      <c r="N41" s="368">
        <f>1/(N$17*$X38)</f>
        <v>1.524390243902439</v>
      </c>
      <c r="O41" s="368">
        <f>1/(O$17*$X38)</f>
        <v>1.6891891891891893</v>
      </c>
      <c r="P41" s="515"/>
      <c r="Q41" s="369"/>
      <c r="R41" s="369"/>
      <c r="S41" s="369"/>
      <c r="T41" s="369"/>
      <c r="U41" s="369"/>
      <c r="V41" s="369"/>
      <c r="X41" s="444"/>
    </row>
    <row r="42" spans="2:24">
      <c r="B42" s="293" t="s">
        <v>1135</v>
      </c>
      <c r="C42" s="293" t="str">
        <f>"Residential.1.INS.New."&amp;TEXT(X42,"0%")</f>
        <v>Residential.1.INS.New.90%</v>
      </c>
      <c r="D42" s="293" t="s">
        <v>1115</v>
      </c>
      <c r="E42" s="293"/>
      <c r="F42" s="295"/>
      <c r="G42" s="293" t="s">
        <v>861</v>
      </c>
      <c r="H42" s="293"/>
      <c r="I42" s="314"/>
      <c r="J42" s="411"/>
      <c r="K42" s="531">
        <f>1/$X42-1</f>
        <v>0.11111111111111116</v>
      </c>
      <c r="L42" s="526"/>
      <c r="M42" s="526"/>
      <c r="N42" s="526"/>
      <c r="O42" s="526"/>
      <c r="P42" s="555">
        <f>P38+80</f>
        <v>364.54937014143752</v>
      </c>
      <c r="Q42" s="295">
        <v>1</v>
      </c>
      <c r="R42" s="295">
        <v>100</v>
      </c>
      <c r="S42" s="295">
        <f ca="1">AuxYear+1</f>
        <v>2018</v>
      </c>
      <c r="T42" s="295"/>
      <c r="U42" s="295"/>
      <c r="V42" s="295"/>
      <c r="X42" s="444">
        <v>0.9</v>
      </c>
    </row>
    <row r="43" spans="2:24">
      <c r="B43" s="12"/>
      <c r="C43" s="12"/>
      <c r="D43" s="12" t="s">
        <v>1066</v>
      </c>
      <c r="E43" s="12"/>
      <c r="F43" s="12"/>
      <c r="G43" s="12" t="s">
        <v>861</v>
      </c>
      <c r="H43" s="12"/>
      <c r="I43" s="536"/>
      <c r="J43" s="411"/>
      <c r="K43" s="541">
        <f>MIN(K42,(K42)*(1/0.75/(K42+1))^2)</f>
        <v>0.11111111111111116</v>
      </c>
      <c r="L43" s="541"/>
      <c r="M43" s="541"/>
      <c r="N43" s="541"/>
      <c r="O43" s="541"/>
      <c r="P43" s="515"/>
      <c r="Q43" s="369"/>
      <c r="R43" s="369"/>
      <c r="S43" s="369"/>
      <c r="T43" s="369"/>
      <c r="U43" s="369"/>
      <c r="V43" s="369"/>
      <c r="X43" s="444"/>
    </row>
    <row r="44" spans="2:24">
      <c r="B44" s="12"/>
      <c r="C44" s="12"/>
      <c r="D44" s="12"/>
      <c r="E44" s="12" t="s">
        <v>1062</v>
      </c>
      <c r="F44" s="369" t="s">
        <v>1072</v>
      </c>
      <c r="G44" s="12" t="s">
        <v>1071</v>
      </c>
      <c r="H44" s="12"/>
      <c r="I44" s="296"/>
      <c r="J44" s="411"/>
      <c r="K44" s="540">
        <f>$K42/K$17</f>
        <v>0.11111111111111116</v>
      </c>
      <c r="L44" s="540">
        <f>$K42/L$17</f>
        <v>0.11514104778353489</v>
      </c>
      <c r="M44" s="540">
        <f>$K42/M$17</f>
        <v>0.12210012210012215</v>
      </c>
      <c r="N44" s="540">
        <f>$K42/N$17</f>
        <v>0.13550135501355021</v>
      </c>
      <c r="O44" s="540">
        <f>$K42/O$17</f>
        <v>0.15015015015015021</v>
      </c>
      <c r="P44" s="515"/>
      <c r="Q44" s="369"/>
      <c r="R44" s="369"/>
      <c r="S44" s="369"/>
      <c r="T44" s="369">
        <v>40</v>
      </c>
      <c r="U44" s="369">
        <v>40</v>
      </c>
      <c r="V44" s="369"/>
      <c r="X44" s="444"/>
    </row>
    <row r="45" spans="2:24">
      <c r="B45" s="12"/>
      <c r="C45" s="12"/>
      <c r="D45" s="12"/>
      <c r="E45" s="12" t="s">
        <v>1128</v>
      </c>
      <c r="F45" s="12"/>
      <c r="G45" s="12" t="s">
        <v>1094</v>
      </c>
      <c r="H45" s="12"/>
      <c r="I45" s="296"/>
      <c r="J45" s="358"/>
      <c r="K45" s="368">
        <f>1/(K$17*$X42)</f>
        <v>1.1111111111111112</v>
      </c>
      <c r="L45" s="368">
        <f>1/(L$17*$X42)</f>
        <v>1.1514104778353484</v>
      </c>
      <c r="M45" s="368">
        <f>1/(M$17*$X42)</f>
        <v>1.2210012210012209</v>
      </c>
      <c r="N45" s="368">
        <f>1/(N$17*$X42)</f>
        <v>1.3550135501355014</v>
      </c>
      <c r="O45" s="368">
        <f>1/(O$17*$X42)</f>
        <v>1.5015015015015014</v>
      </c>
      <c r="P45" s="515"/>
      <c r="Q45" s="369"/>
      <c r="R45" s="369"/>
      <c r="S45" s="369"/>
      <c r="T45" s="369"/>
      <c r="U45" s="369"/>
      <c r="V45" s="369"/>
      <c r="X45" s="444"/>
    </row>
    <row r="46" spans="2:24">
      <c r="B46" s="293" t="s">
        <v>1077</v>
      </c>
      <c r="C46" s="293" t="str">
        <f>"Residential.2.INS.New."&amp;TEXT(X46,"0%")</f>
        <v>Residential.2.INS.New.40%</v>
      </c>
      <c r="D46" s="293" t="s">
        <v>1116</v>
      </c>
      <c r="E46" s="293"/>
      <c r="F46" s="295"/>
      <c r="G46" s="293" t="s">
        <v>861</v>
      </c>
      <c r="H46" s="293"/>
      <c r="I46" s="314"/>
      <c r="J46" s="411"/>
      <c r="K46" s="531">
        <f>1/$X46-1</f>
        <v>1.5</v>
      </c>
      <c r="L46" s="526"/>
      <c r="M46" s="526"/>
      <c r="N46" s="526"/>
      <c r="O46" s="526"/>
      <c r="P46" s="555">
        <v>24.5493701414375</v>
      </c>
      <c r="Q46" s="295">
        <v>1</v>
      </c>
      <c r="R46" s="295">
        <v>100</v>
      </c>
      <c r="S46" s="295">
        <f ca="1">AuxYear+1</f>
        <v>2018</v>
      </c>
      <c r="T46" s="295"/>
      <c r="U46" s="295"/>
      <c r="V46" s="295"/>
      <c r="X46" s="444">
        <v>0.4</v>
      </c>
    </row>
    <row r="47" spans="2:24">
      <c r="B47" s="12"/>
      <c r="C47" s="12"/>
      <c r="D47" s="12" t="s">
        <v>1075</v>
      </c>
      <c r="E47" s="12"/>
      <c r="F47" s="12"/>
      <c r="G47" s="12" t="s">
        <v>861</v>
      </c>
      <c r="H47" s="12"/>
      <c r="I47" s="536"/>
      <c r="J47" s="411"/>
      <c r="K47" s="541">
        <f>MIN(K46,(K46)*(1/0.75/(K46+1))^2)</f>
        <v>0.42666666666666664</v>
      </c>
      <c r="L47" s="541"/>
      <c r="M47" s="541"/>
      <c r="N47" s="541"/>
      <c r="O47" s="541"/>
      <c r="P47" s="515"/>
      <c r="Q47" s="369"/>
      <c r="R47" s="369"/>
      <c r="S47" s="369"/>
      <c r="T47" s="369"/>
      <c r="U47" s="369"/>
      <c r="V47" s="369"/>
      <c r="X47" s="444"/>
    </row>
    <row r="48" spans="2:24">
      <c r="B48" s="12"/>
      <c r="C48" s="12"/>
      <c r="D48" s="12"/>
      <c r="E48" s="12" t="s">
        <v>1076</v>
      </c>
      <c r="F48" s="369" t="s">
        <v>1072</v>
      </c>
      <c r="G48" s="12" t="s">
        <v>1071</v>
      </c>
      <c r="H48" s="12"/>
      <c r="I48" s="296"/>
      <c r="J48" s="411"/>
      <c r="K48" s="540">
        <f>$K46/K$21</f>
        <v>1.5</v>
      </c>
      <c r="L48" s="540">
        <f>$K46/L$21</f>
        <v>1.5706806282722514</v>
      </c>
      <c r="M48" s="540">
        <f>$K46/M$21</f>
        <v>1.6666666666666665</v>
      </c>
      <c r="N48" s="540">
        <f>$K46/N$21</f>
        <v>1.875</v>
      </c>
      <c r="O48" s="540">
        <f>$K46/O$21</f>
        <v>2.0833333333333335</v>
      </c>
      <c r="P48" s="515"/>
      <c r="Q48" s="369"/>
      <c r="R48" s="369"/>
      <c r="S48" s="369"/>
      <c r="T48" s="369">
        <v>40</v>
      </c>
      <c r="U48" s="369">
        <v>40</v>
      </c>
      <c r="V48" s="369"/>
      <c r="X48" s="444"/>
    </row>
    <row r="49" spans="2:24">
      <c r="B49" s="12"/>
      <c r="C49" s="12"/>
      <c r="D49" s="12"/>
      <c r="E49" s="12" t="s">
        <v>1129</v>
      </c>
      <c r="F49" s="12"/>
      <c r="G49" s="12" t="s">
        <v>1094</v>
      </c>
      <c r="H49" s="12"/>
      <c r="I49" s="296"/>
      <c r="J49" s="358"/>
      <c r="K49" s="368">
        <f>1/(K$21*$X46)</f>
        <v>2.5</v>
      </c>
      <c r="L49" s="368">
        <f>1/(L$21*$X46)</f>
        <v>2.6178010471204187</v>
      </c>
      <c r="M49" s="368">
        <f>1/(M$21*$X46)</f>
        <v>2.7777777777777772</v>
      </c>
      <c r="N49" s="368">
        <f>1/(N$21*$X46)</f>
        <v>3.1249999999999996</v>
      </c>
      <c r="O49" s="368">
        <f>1/(O$21*$X46)</f>
        <v>3.4722222222222223</v>
      </c>
      <c r="P49" s="515"/>
      <c r="Q49" s="369"/>
      <c r="R49" s="369"/>
      <c r="S49" s="369"/>
      <c r="T49" s="369"/>
      <c r="U49" s="369"/>
      <c r="V49" s="369"/>
      <c r="X49" s="444"/>
    </row>
    <row r="50" spans="2:24">
      <c r="B50" s="293" t="s">
        <v>1084</v>
      </c>
      <c r="C50" s="293" t="str">
        <f>"Residential.2.INS.New."&amp;TEXT(X50,"0%")</f>
        <v>Residential.2.INS.New.55%</v>
      </c>
      <c r="D50" s="293" t="s">
        <v>1116</v>
      </c>
      <c r="E50" s="293"/>
      <c r="F50" s="295"/>
      <c r="G50" s="293" t="s">
        <v>861</v>
      </c>
      <c r="H50" s="293"/>
      <c r="I50" s="314"/>
      <c r="J50" s="411"/>
      <c r="K50" s="531">
        <f>1/$X50-1</f>
        <v>0.81818181818181812</v>
      </c>
      <c r="L50" s="526"/>
      <c r="M50" s="526"/>
      <c r="N50" s="526"/>
      <c r="O50" s="526"/>
      <c r="P50" s="555">
        <f>P46+100</f>
        <v>124.54937014143749</v>
      </c>
      <c r="Q50" s="295">
        <v>1</v>
      </c>
      <c r="R50" s="295">
        <v>100</v>
      </c>
      <c r="S50" s="295">
        <f ca="1">AuxYear+1</f>
        <v>2018</v>
      </c>
      <c r="T50" s="295"/>
      <c r="U50" s="295"/>
      <c r="V50" s="295"/>
      <c r="X50" s="444">
        <v>0.55000000000000004</v>
      </c>
    </row>
    <row r="51" spans="2:24">
      <c r="B51" s="12"/>
      <c r="C51" s="12"/>
      <c r="D51" s="12" t="s">
        <v>1075</v>
      </c>
      <c r="E51" s="12"/>
      <c r="F51" s="12"/>
      <c r="G51" s="12" t="s">
        <v>861</v>
      </c>
      <c r="H51" s="12"/>
      <c r="I51" s="536"/>
      <c r="J51" s="411"/>
      <c r="K51" s="541">
        <f>MIN(K50,(K50)*(1/0.75/(K50+1))^2)</f>
        <v>0.43999999999999989</v>
      </c>
      <c r="L51" s="541"/>
      <c r="M51" s="541"/>
      <c r="N51" s="541"/>
      <c r="O51" s="541"/>
      <c r="P51" s="515"/>
      <c r="Q51" s="369"/>
      <c r="R51" s="369"/>
      <c r="S51" s="369"/>
      <c r="T51" s="369"/>
      <c r="U51" s="369"/>
      <c r="V51" s="369"/>
      <c r="X51" s="444"/>
    </row>
    <row r="52" spans="2:24">
      <c r="B52" s="12"/>
      <c r="C52" s="12"/>
      <c r="D52" s="12"/>
      <c r="E52" s="12" t="s">
        <v>1076</v>
      </c>
      <c r="F52" s="369" t="s">
        <v>1072</v>
      </c>
      <c r="G52" s="12" t="s">
        <v>1071</v>
      </c>
      <c r="H52" s="12"/>
      <c r="I52" s="296"/>
      <c r="J52" s="411"/>
      <c r="K52" s="540">
        <f>$K50/K$21</f>
        <v>0.81818181818181812</v>
      </c>
      <c r="L52" s="540">
        <f>$K50/L$21</f>
        <v>0.85673488814850074</v>
      </c>
      <c r="M52" s="540">
        <f>$K50/M$21</f>
        <v>0.90909090909090895</v>
      </c>
      <c r="N52" s="540">
        <f>$K50/N$21</f>
        <v>1.0227272727272725</v>
      </c>
      <c r="O52" s="540">
        <f>$K50/O$21</f>
        <v>1.1363636363636362</v>
      </c>
      <c r="P52" s="515"/>
      <c r="Q52" s="369"/>
      <c r="R52" s="369"/>
      <c r="S52" s="369"/>
      <c r="T52" s="369">
        <v>40</v>
      </c>
      <c r="U52" s="369">
        <v>40</v>
      </c>
      <c r="V52" s="369"/>
      <c r="X52" s="444"/>
    </row>
    <row r="53" spans="2:24">
      <c r="B53" s="12"/>
      <c r="C53" s="12"/>
      <c r="D53" s="12"/>
      <c r="E53" s="12" t="s">
        <v>1129</v>
      </c>
      <c r="F53" s="12"/>
      <c r="G53" s="12" t="s">
        <v>1094</v>
      </c>
      <c r="H53" s="12"/>
      <c r="I53" s="296"/>
      <c r="J53" s="358"/>
      <c r="K53" s="368">
        <f>1/(K$21*$X50)</f>
        <v>1.8181818181818181</v>
      </c>
      <c r="L53" s="368">
        <f>1/(L$21*$X50)</f>
        <v>1.9038553069966682</v>
      </c>
      <c r="M53" s="368">
        <f>1/(M$21*$X50)</f>
        <v>2.0202020202020199</v>
      </c>
      <c r="N53" s="368">
        <f>1/(N$21*$X50)</f>
        <v>2.2727272727272725</v>
      </c>
      <c r="O53" s="368">
        <f>1/(O$21*$X50)</f>
        <v>2.5252525252525251</v>
      </c>
      <c r="P53" s="515"/>
      <c r="Q53" s="369"/>
      <c r="R53" s="369"/>
      <c r="S53" s="369"/>
      <c r="T53" s="369"/>
      <c r="U53" s="369"/>
      <c r="V53" s="369"/>
      <c r="X53" s="444"/>
    </row>
    <row r="54" spans="2:24">
      <c r="B54" s="293" t="s">
        <v>1085</v>
      </c>
      <c r="C54" s="293" t="str">
        <f>"Residential.2.INS.New."&amp;TEXT(X54,"0%")</f>
        <v>Residential.2.INS.New.70%</v>
      </c>
      <c r="D54" s="293" t="s">
        <v>1116</v>
      </c>
      <c r="E54" s="293"/>
      <c r="F54" s="295"/>
      <c r="G54" s="293" t="s">
        <v>861</v>
      </c>
      <c r="H54" s="293"/>
      <c r="I54" s="314"/>
      <c r="J54" s="411"/>
      <c r="K54" s="531">
        <f>1/$X54-1</f>
        <v>0.4285714285714286</v>
      </c>
      <c r="L54" s="526"/>
      <c r="M54" s="526"/>
      <c r="N54" s="526"/>
      <c r="O54" s="526"/>
      <c r="P54" s="555">
        <f>P50+80</f>
        <v>204.54937014143749</v>
      </c>
      <c r="Q54" s="295">
        <v>1</v>
      </c>
      <c r="R54" s="295">
        <v>100</v>
      </c>
      <c r="S54" s="295">
        <f ca="1">AuxYear+1</f>
        <v>2018</v>
      </c>
      <c r="T54" s="295"/>
      <c r="U54" s="295"/>
      <c r="V54" s="295"/>
      <c r="X54" s="444">
        <v>0.7</v>
      </c>
    </row>
    <row r="55" spans="2:24">
      <c r="B55" s="12"/>
      <c r="C55" s="12"/>
      <c r="D55" s="12" t="s">
        <v>1075</v>
      </c>
      <c r="E55" s="12"/>
      <c r="F55" s="12"/>
      <c r="G55" s="12" t="s">
        <v>861</v>
      </c>
      <c r="H55" s="12"/>
      <c r="I55" s="536"/>
      <c r="J55" s="411"/>
      <c r="K55" s="541">
        <f>MIN(K54,(K54)*(1/0.75/(K54+1))^2)</f>
        <v>0.37333333333333329</v>
      </c>
      <c r="L55" s="541"/>
      <c r="M55" s="541"/>
      <c r="N55" s="541"/>
      <c r="O55" s="541"/>
      <c r="P55" s="515"/>
      <c r="Q55" s="369"/>
      <c r="R55" s="369"/>
      <c r="S55" s="369"/>
      <c r="T55" s="369"/>
      <c r="U55" s="369"/>
      <c r="V55" s="369"/>
      <c r="X55" s="444"/>
    </row>
    <row r="56" spans="2:24">
      <c r="B56" s="12"/>
      <c r="C56" s="12"/>
      <c r="D56" s="12"/>
      <c r="E56" s="12" t="s">
        <v>1076</v>
      </c>
      <c r="F56" s="369" t="s">
        <v>1072</v>
      </c>
      <c r="G56" s="12" t="s">
        <v>1071</v>
      </c>
      <c r="H56" s="12"/>
      <c r="I56" s="296"/>
      <c r="J56" s="411"/>
      <c r="K56" s="540">
        <f>$K54/K$21</f>
        <v>0.4285714285714286</v>
      </c>
      <c r="L56" s="540">
        <f>$K54/L$21</f>
        <v>0.44876589379207188</v>
      </c>
      <c r="M56" s="540">
        <f>$K54/M$21</f>
        <v>0.47619047619047622</v>
      </c>
      <c r="N56" s="540">
        <f>$K54/N$21</f>
        <v>0.5357142857142857</v>
      </c>
      <c r="O56" s="540">
        <f>$K54/O$21</f>
        <v>0.59523809523809534</v>
      </c>
      <c r="P56" s="515"/>
      <c r="Q56" s="369"/>
      <c r="R56" s="369"/>
      <c r="S56" s="369"/>
      <c r="T56" s="369">
        <v>40</v>
      </c>
      <c r="U56" s="369">
        <v>40</v>
      </c>
      <c r="V56" s="369"/>
      <c r="X56" s="444"/>
    </row>
    <row r="57" spans="2:24">
      <c r="B57" s="12"/>
      <c r="C57" s="12"/>
      <c r="D57" s="12"/>
      <c r="E57" s="12" t="s">
        <v>1129</v>
      </c>
      <c r="F57" s="12"/>
      <c r="G57" s="12" t="s">
        <v>1094</v>
      </c>
      <c r="H57" s="12"/>
      <c r="I57" s="296"/>
      <c r="J57" s="358"/>
      <c r="K57" s="368">
        <f>1/(K$21*$X54)</f>
        <v>1.4285714285714286</v>
      </c>
      <c r="L57" s="368">
        <f>1/(L$21*$X54)</f>
        <v>1.4958863126402393</v>
      </c>
      <c r="M57" s="368">
        <f>1/(M$21*$X54)</f>
        <v>1.5873015873015872</v>
      </c>
      <c r="N57" s="368">
        <f>1/(N$21*$X54)</f>
        <v>1.7857142857142858</v>
      </c>
      <c r="O57" s="368">
        <f>1/(O$21*$X54)</f>
        <v>1.9841269841269842</v>
      </c>
      <c r="P57" s="515"/>
      <c r="Q57" s="369"/>
      <c r="R57" s="369"/>
      <c r="S57" s="369"/>
      <c r="T57" s="369"/>
      <c r="U57" s="369"/>
      <c r="V57" s="369"/>
      <c r="X57" s="444"/>
    </row>
    <row r="58" spans="2:24">
      <c r="B58" s="293" t="s">
        <v>1086</v>
      </c>
      <c r="C58" s="293" t="str">
        <f>"Residential.2.INS.New."&amp;TEXT(X58,"0%")</f>
        <v>Residential.2.INS.New.80%</v>
      </c>
      <c r="D58" s="293" t="s">
        <v>1116</v>
      </c>
      <c r="E58" s="293"/>
      <c r="F58" s="295"/>
      <c r="G58" s="293" t="s">
        <v>861</v>
      </c>
      <c r="H58" s="293"/>
      <c r="I58" s="314"/>
      <c r="J58" s="411"/>
      <c r="K58" s="531">
        <f>1/$X58-1</f>
        <v>0.25</v>
      </c>
      <c r="L58" s="526"/>
      <c r="M58" s="526"/>
      <c r="N58" s="526"/>
      <c r="O58" s="526"/>
      <c r="P58" s="555">
        <f>P54+80</f>
        <v>284.54937014143752</v>
      </c>
      <c r="Q58" s="295">
        <v>1</v>
      </c>
      <c r="R58" s="295">
        <v>100</v>
      </c>
      <c r="S58" s="295">
        <f ca="1">AuxYear+1</f>
        <v>2018</v>
      </c>
      <c r="T58" s="295"/>
      <c r="U58" s="295"/>
      <c r="V58" s="295"/>
      <c r="X58" s="444">
        <v>0.8</v>
      </c>
    </row>
    <row r="59" spans="2:24">
      <c r="B59" s="12"/>
      <c r="C59" s="12"/>
      <c r="D59" s="12" t="s">
        <v>1075</v>
      </c>
      <c r="E59" s="12"/>
      <c r="F59" s="12"/>
      <c r="G59" s="12" t="s">
        <v>861</v>
      </c>
      <c r="H59" s="12"/>
      <c r="I59" s="536"/>
      <c r="J59" s="411"/>
      <c r="K59" s="541">
        <f>MIN(K58,(K58)*(1/0.75/(K58+1))^2)</f>
        <v>0.25</v>
      </c>
      <c r="L59" s="541"/>
      <c r="M59" s="541"/>
      <c r="N59" s="541"/>
      <c r="O59" s="541"/>
      <c r="P59" s="515"/>
      <c r="Q59" s="369"/>
      <c r="R59" s="369"/>
      <c r="S59" s="369"/>
      <c r="T59" s="369"/>
      <c r="U59" s="369"/>
      <c r="V59" s="369"/>
      <c r="X59" s="444"/>
    </row>
    <row r="60" spans="2:24">
      <c r="B60" s="12"/>
      <c r="C60" s="12"/>
      <c r="D60" s="12"/>
      <c r="E60" s="12" t="s">
        <v>1076</v>
      </c>
      <c r="F60" s="369" t="s">
        <v>1072</v>
      </c>
      <c r="G60" s="12" t="s">
        <v>1071</v>
      </c>
      <c r="H60" s="12"/>
      <c r="I60" s="296"/>
      <c r="J60" s="411"/>
      <c r="K60" s="540">
        <f>$K58/K$21</f>
        <v>0.25</v>
      </c>
      <c r="L60" s="540">
        <f>$K58/L$21</f>
        <v>0.26178010471204188</v>
      </c>
      <c r="M60" s="540">
        <f>$K58/M$21</f>
        <v>0.27777777777777779</v>
      </c>
      <c r="N60" s="540">
        <f>$K58/N$21</f>
        <v>0.3125</v>
      </c>
      <c r="O60" s="540">
        <f>$K58/O$21</f>
        <v>0.34722222222222221</v>
      </c>
      <c r="P60" s="515"/>
      <c r="Q60" s="369"/>
      <c r="R60" s="369"/>
      <c r="S60" s="369"/>
      <c r="T60" s="369">
        <v>40</v>
      </c>
      <c r="U60" s="369">
        <v>40</v>
      </c>
      <c r="V60" s="369"/>
      <c r="X60" s="444"/>
    </row>
    <row r="61" spans="2:24">
      <c r="B61" s="12"/>
      <c r="C61" s="12"/>
      <c r="D61" s="12"/>
      <c r="E61" s="12" t="s">
        <v>1129</v>
      </c>
      <c r="F61" s="12"/>
      <c r="G61" s="12" t="s">
        <v>1094</v>
      </c>
      <c r="H61" s="12"/>
      <c r="I61" s="296"/>
      <c r="J61" s="358"/>
      <c r="K61" s="368">
        <f>1/(K$21*$X58)</f>
        <v>1.25</v>
      </c>
      <c r="L61" s="368">
        <f>1/(L$21*$X58)</f>
        <v>1.3089005235602094</v>
      </c>
      <c r="M61" s="368">
        <f>1/(M$21*$X58)</f>
        <v>1.3888888888888886</v>
      </c>
      <c r="N61" s="368">
        <f>1/(N$21*$X58)</f>
        <v>1.5624999999999998</v>
      </c>
      <c r="O61" s="368">
        <f>1/(O$21*$X58)</f>
        <v>1.7361111111111112</v>
      </c>
      <c r="P61" s="515"/>
      <c r="Q61" s="369"/>
      <c r="R61" s="369"/>
      <c r="S61" s="369"/>
      <c r="T61" s="369"/>
      <c r="U61" s="369"/>
      <c r="V61" s="369"/>
      <c r="X61" s="444"/>
    </row>
    <row r="62" spans="2:24">
      <c r="B62" s="293" t="s">
        <v>1134</v>
      </c>
      <c r="C62" s="293" t="str">
        <f>"Residential.2.INS.New."&amp;TEXT(X62,"0%")</f>
        <v>Residential.2.INS.New.90%</v>
      </c>
      <c r="D62" s="293" t="s">
        <v>1116</v>
      </c>
      <c r="E62" s="293"/>
      <c r="F62" s="295"/>
      <c r="G62" s="293" t="s">
        <v>861</v>
      </c>
      <c r="H62" s="293"/>
      <c r="I62" s="314"/>
      <c r="J62" s="411"/>
      <c r="K62" s="531">
        <f>1/$X62-1</f>
        <v>0.11111111111111116</v>
      </c>
      <c r="L62" s="526"/>
      <c r="M62" s="526"/>
      <c r="N62" s="526"/>
      <c r="O62" s="526"/>
      <c r="P62" s="555">
        <f>P58+80</f>
        <v>364.54937014143752</v>
      </c>
      <c r="Q62" s="295">
        <v>1</v>
      </c>
      <c r="R62" s="295">
        <v>100</v>
      </c>
      <c r="S62" s="295">
        <f ca="1">AuxYear+1</f>
        <v>2018</v>
      </c>
      <c r="T62" s="295"/>
      <c r="U62" s="295"/>
      <c r="V62" s="295"/>
      <c r="X62" s="444">
        <v>0.9</v>
      </c>
    </row>
    <row r="63" spans="2:24">
      <c r="B63" s="12"/>
      <c r="C63" s="12"/>
      <c r="D63" s="12" t="s">
        <v>1075</v>
      </c>
      <c r="E63" s="12"/>
      <c r="F63" s="12"/>
      <c r="G63" s="12" t="s">
        <v>861</v>
      </c>
      <c r="H63" s="12"/>
      <c r="I63" s="536"/>
      <c r="J63" s="411"/>
      <c r="K63" s="541">
        <f>MIN(K62,(K62)*(1/0.75/(K62+1))^2)</f>
        <v>0.11111111111111116</v>
      </c>
      <c r="L63" s="541"/>
      <c r="M63" s="541"/>
      <c r="N63" s="541"/>
      <c r="O63" s="541"/>
      <c r="P63" s="515"/>
      <c r="Q63" s="369"/>
      <c r="R63" s="369"/>
      <c r="S63" s="369"/>
      <c r="T63" s="369"/>
      <c r="U63" s="369"/>
      <c r="V63" s="369"/>
      <c r="X63" s="444"/>
    </row>
    <row r="64" spans="2:24">
      <c r="B64" s="12"/>
      <c r="C64" s="12"/>
      <c r="D64" s="12"/>
      <c r="E64" s="12" t="s">
        <v>1076</v>
      </c>
      <c r="F64" s="369" t="s">
        <v>1072</v>
      </c>
      <c r="G64" s="12" t="s">
        <v>1071</v>
      </c>
      <c r="H64" s="12"/>
      <c r="I64" s="296"/>
      <c r="J64" s="411"/>
      <c r="K64" s="540">
        <f>$K62/K$21</f>
        <v>0.11111111111111116</v>
      </c>
      <c r="L64" s="540">
        <f>$K62/L$21</f>
        <v>0.116346713205352</v>
      </c>
      <c r="M64" s="540">
        <f>$K62/M$21</f>
        <v>0.12345679012345684</v>
      </c>
      <c r="N64" s="540">
        <f>$K62/N$21</f>
        <v>0.13888888888888895</v>
      </c>
      <c r="O64" s="540">
        <f>$K62/O$21</f>
        <v>0.15432098765432106</v>
      </c>
      <c r="P64" s="515"/>
      <c r="Q64" s="369"/>
      <c r="R64" s="369"/>
      <c r="S64" s="369"/>
      <c r="T64" s="369">
        <v>40</v>
      </c>
      <c r="U64" s="369">
        <v>40</v>
      </c>
      <c r="V64" s="369"/>
      <c r="X64" s="444"/>
    </row>
    <row r="65" spans="2:24">
      <c r="B65" s="12"/>
      <c r="C65" s="12"/>
      <c r="D65" s="12"/>
      <c r="E65" s="12" t="s">
        <v>1129</v>
      </c>
      <c r="F65" s="12"/>
      <c r="G65" s="12" t="s">
        <v>1094</v>
      </c>
      <c r="H65" s="12"/>
      <c r="I65" s="296"/>
      <c r="J65" s="358"/>
      <c r="K65" s="368">
        <f>1/(K$21*$X62)</f>
        <v>1.1111111111111112</v>
      </c>
      <c r="L65" s="368">
        <f>1/(L$21*$X62)</f>
        <v>1.1634671320535195</v>
      </c>
      <c r="M65" s="368">
        <f>1/(M$21*$X62)</f>
        <v>1.2345679012345678</v>
      </c>
      <c r="N65" s="368">
        <f>1/(N$21*$X62)</f>
        <v>1.3888888888888886</v>
      </c>
      <c r="O65" s="368">
        <f>1/(O$21*$X62)</f>
        <v>1.5432098765432098</v>
      </c>
      <c r="P65" s="515"/>
      <c r="Q65" s="369"/>
      <c r="R65" s="369"/>
      <c r="S65" s="369"/>
      <c r="T65" s="369"/>
      <c r="U65" s="369"/>
      <c r="V65" s="369"/>
      <c r="X65" s="444"/>
    </row>
    <row r="66" spans="2:24">
      <c r="B66" s="293" t="s">
        <v>1080</v>
      </c>
      <c r="C66" s="293" t="str">
        <f>"Commercial.1.INS.New."&amp;TEXT(X66,"0%")</f>
        <v>Commercial.1.INS.New.40%</v>
      </c>
      <c r="D66" s="293" t="s">
        <v>1117</v>
      </c>
      <c r="E66" s="293"/>
      <c r="F66" s="295"/>
      <c r="G66" s="293" t="s">
        <v>861</v>
      </c>
      <c r="H66" s="293"/>
      <c r="I66" s="314"/>
      <c r="J66" s="411"/>
      <c r="K66" s="531">
        <f>1/$X66-1</f>
        <v>1.5</v>
      </c>
      <c r="L66" s="526"/>
      <c r="M66" s="526"/>
      <c r="N66" s="526"/>
      <c r="O66" s="526"/>
      <c r="P66" s="555">
        <v>24.5493701414375</v>
      </c>
      <c r="Q66" s="295">
        <v>1</v>
      </c>
      <c r="R66" s="295">
        <v>60</v>
      </c>
      <c r="S66" s="295">
        <f ca="1">AuxYear+1</f>
        <v>2018</v>
      </c>
      <c r="T66" s="295"/>
      <c r="U66" s="295"/>
      <c r="V66" s="295"/>
      <c r="X66" s="444">
        <v>0.4</v>
      </c>
    </row>
    <row r="67" spans="2:24">
      <c r="B67" s="12"/>
      <c r="C67" s="12"/>
      <c r="D67" s="12" t="s">
        <v>1160</v>
      </c>
      <c r="E67" s="12"/>
      <c r="F67" s="12"/>
      <c r="G67" s="12" t="s">
        <v>861</v>
      </c>
      <c r="H67" s="12"/>
      <c r="I67" s="536"/>
      <c r="J67" s="411"/>
      <c r="K67" s="541">
        <f>MIN(K66,(K66)*(1/0.75/(K66+1))^2)</f>
        <v>0.42666666666666664</v>
      </c>
      <c r="L67" s="541"/>
      <c r="M67" s="541"/>
      <c r="N67" s="541"/>
      <c r="O67" s="541"/>
      <c r="P67" s="515"/>
      <c r="Q67" s="369"/>
      <c r="R67" s="369"/>
      <c r="S67" s="369"/>
      <c r="T67" s="369"/>
      <c r="U67" s="369"/>
      <c r="V67" s="369"/>
      <c r="X67" s="444"/>
    </row>
    <row r="68" spans="2:24">
      <c r="B68" s="12"/>
      <c r="C68" s="12"/>
      <c r="D68" s="12"/>
      <c r="E68" s="12" t="s">
        <v>1159</v>
      </c>
      <c r="F68" s="369" t="s">
        <v>1072</v>
      </c>
      <c r="G68" s="12" t="s">
        <v>1071</v>
      </c>
      <c r="H68" s="12"/>
      <c r="I68" s="296"/>
      <c r="J68" s="411"/>
      <c r="K68" s="540">
        <f>$K66/K$25</f>
        <v>1.5</v>
      </c>
      <c r="L68" s="540">
        <f>$K66/L$25</f>
        <v>1.5706806282722514</v>
      </c>
      <c r="M68" s="540">
        <f>$K66/M$25</f>
        <v>1.6853932584269662</v>
      </c>
      <c r="N68" s="540">
        <f>$K66/N$25</f>
        <v>1.875</v>
      </c>
      <c r="O68" s="540">
        <f>$K66/O$25</f>
        <v>2.0833333333333335</v>
      </c>
      <c r="P68" s="515"/>
      <c r="Q68" s="369"/>
      <c r="R68" s="369"/>
      <c r="S68" s="369"/>
      <c r="T68" s="369">
        <v>40</v>
      </c>
      <c r="U68" s="369">
        <v>40</v>
      </c>
      <c r="V68" s="369"/>
      <c r="X68" s="444"/>
    </row>
    <row r="69" spans="2:24">
      <c r="B69" s="12"/>
      <c r="C69" s="12"/>
      <c r="D69" s="12"/>
      <c r="E69" s="12" t="s">
        <v>1130</v>
      </c>
      <c r="F69" s="12"/>
      <c r="G69" s="12" t="s">
        <v>1094</v>
      </c>
      <c r="H69" s="12"/>
      <c r="I69" s="296"/>
      <c r="J69" s="358"/>
      <c r="K69" s="368">
        <f>1/(K$25*$X66)</f>
        <v>2.5</v>
      </c>
      <c r="L69" s="368">
        <f>1/(L$25*$X66)</f>
        <v>2.6178010471204187</v>
      </c>
      <c r="M69" s="368">
        <f>1/(M$25*$X66)</f>
        <v>2.8089887640449436</v>
      </c>
      <c r="N69" s="368">
        <f>1/(N$25*$X66)</f>
        <v>3.1249999999999996</v>
      </c>
      <c r="O69" s="368">
        <f>1/(O$25*$X66)</f>
        <v>3.4722222222222223</v>
      </c>
      <c r="P69" s="515"/>
      <c r="Q69" s="369"/>
      <c r="R69" s="369"/>
      <c r="S69" s="369"/>
      <c r="T69" s="369"/>
      <c r="U69" s="369"/>
      <c r="V69" s="369"/>
      <c r="X69" s="444"/>
    </row>
    <row r="70" spans="2:24">
      <c r="B70" s="293" t="s">
        <v>1087</v>
      </c>
      <c r="C70" s="293" t="str">
        <f>"Commercial.1.INS.New."&amp;TEXT(X70,"0%")</f>
        <v>Commercial.1.INS.New.55%</v>
      </c>
      <c r="D70" s="293" t="s">
        <v>1117</v>
      </c>
      <c r="E70" s="293"/>
      <c r="F70" s="295"/>
      <c r="G70" s="293" t="s">
        <v>861</v>
      </c>
      <c r="H70" s="293"/>
      <c r="I70" s="314"/>
      <c r="J70" s="411"/>
      <c r="K70" s="531">
        <f>1/$X70-1</f>
        <v>0.81818181818181812</v>
      </c>
      <c r="L70" s="526"/>
      <c r="M70" s="526"/>
      <c r="N70" s="526"/>
      <c r="O70" s="526"/>
      <c r="P70" s="555">
        <f>P66+100</f>
        <v>124.54937014143749</v>
      </c>
      <c r="Q70" s="295">
        <v>1</v>
      </c>
      <c r="R70" s="295">
        <v>60</v>
      </c>
      <c r="S70" s="295">
        <f ca="1">AuxYear+1</f>
        <v>2018</v>
      </c>
      <c r="T70" s="295"/>
      <c r="U70" s="295"/>
      <c r="V70" s="295"/>
      <c r="X70" s="444">
        <v>0.55000000000000004</v>
      </c>
    </row>
    <row r="71" spans="2:24">
      <c r="B71" s="12"/>
      <c r="C71" s="12"/>
      <c r="D71" s="12" t="s">
        <v>1160</v>
      </c>
      <c r="E71" s="12"/>
      <c r="F71" s="12"/>
      <c r="G71" s="12" t="s">
        <v>861</v>
      </c>
      <c r="H71" s="12"/>
      <c r="I71" s="536"/>
      <c r="J71" s="411"/>
      <c r="K71" s="541">
        <f>MIN(K70,(K70)*(1/0.75/(K70+1))^2)</f>
        <v>0.43999999999999989</v>
      </c>
      <c r="L71" s="541"/>
      <c r="M71" s="541"/>
      <c r="N71" s="541"/>
      <c r="O71" s="541"/>
      <c r="P71" s="515"/>
      <c r="Q71" s="369"/>
      <c r="R71" s="369"/>
      <c r="S71" s="369"/>
      <c r="T71" s="369"/>
      <c r="U71" s="369"/>
      <c r="V71" s="369"/>
      <c r="X71" s="444"/>
    </row>
    <row r="72" spans="2:24">
      <c r="B72" s="12"/>
      <c r="C72" s="12"/>
      <c r="D72" s="12"/>
      <c r="E72" s="12" t="s">
        <v>1159</v>
      </c>
      <c r="F72" s="369" t="s">
        <v>1072</v>
      </c>
      <c r="G72" s="12" t="s">
        <v>1071</v>
      </c>
      <c r="H72" s="12"/>
      <c r="I72" s="296"/>
      <c r="J72" s="411"/>
      <c r="K72" s="540">
        <f>$K70/K$25</f>
        <v>0.81818181818181812</v>
      </c>
      <c r="L72" s="540">
        <f>$K70/L$25</f>
        <v>0.85673488814850074</v>
      </c>
      <c r="M72" s="540">
        <f>$K70/M$25</f>
        <v>0.91930541368743612</v>
      </c>
      <c r="N72" s="540">
        <f>$K70/N$25</f>
        <v>1.0227272727272725</v>
      </c>
      <c r="O72" s="540">
        <f>$K70/O$25</f>
        <v>1.1363636363636362</v>
      </c>
      <c r="P72" s="515"/>
      <c r="Q72" s="369"/>
      <c r="R72" s="369"/>
      <c r="S72" s="369"/>
      <c r="T72" s="369">
        <v>40</v>
      </c>
      <c r="U72" s="369">
        <v>40</v>
      </c>
      <c r="V72" s="369"/>
      <c r="X72" s="444"/>
    </row>
    <row r="73" spans="2:24">
      <c r="B73" s="12"/>
      <c r="C73" s="12"/>
      <c r="D73" s="12"/>
      <c r="E73" s="12" t="s">
        <v>1130</v>
      </c>
      <c r="F73" s="12"/>
      <c r="G73" s="12" t="s">
        <v>1094</v>
      </c>
      <c r="H73" s="12"/>
      <c r="I73" s="296"/>
      <c r="J73" s="358"/>
      <c r="K73" s="368">
        <f>1/(K$25*$X70)</f>
        <v>1.8181818181818181</v>
      </c>
      <c r="L73" s="368">
        <f>1/(L$25*$X70)</f>
        <v>1.9038553069966682</v>
      </c>
      <c r="M73" s="368">
        <f>1/(M$25*$X70)</f>
        <v>2.0429009193054135</v>
      </c>
      <c r="N73" s="368">
        <f>1/(N$25*$X70)</f>
        <v>2.2727272727272725</v>
      </c>
      <c r="O73" s="368">
        <f>1/(O$25*$X70)</f>
        <v>2.5252525252525251</v>
      </c>
      <c r="P73" s="515"/>
      <c r="Q73" s="369"/>
      <c r="R73" s="369"/>
      <c r="S73" s="369"/>
      <c r="T73" s="369"/>
      <c r="U73" s="369"/>
      <c r="V73" s="369"/>
      <c r="X73" s="444"/>
    </row>
    <row r="74" spans="2:24">
      <c r="B74" s="293" t="s">
        <v>1089</v>
      </c>
      <c r="C74" s="293" t="str">
        <f>"Commercial.1.INS.New."&amp;TEXT(X74,"0%")</f>
        <v>Commercial.1.INS.New.70%</v>
      </c>
      <c r="D74" s="293" t="s">
        <v>1117</v>
      </c>
      <c r="E74" s="293"/>
      <c r="F74" s="295"/>
      <c r="G74" s="293" t="s">
        <v>861</v>
      </c>
      <c r="H74" s="293"/>
      <c r="I74" s="314"/>
      <c r="J74" s="411"/>
      <c r="K74" s="531">
        <f>1/$X74-1</f>
        <v>0.4285714285714286</v>
      </c>
      <c r="L74" s="526"/>
      <c r="M74" s="526"/>
      <c r="N74" s="526"/>
      <c r="O74" s="526"/>
      <c r="P74" s="555">
        <f>P70+80</f>
        <v>204.54937014143749</v>
      </c>
      <c r="Q74" s="295">
        <v>1</v>
      </c>
      <c r="R74" s="295">
        <v>60</v>
      </c>
      <c r="S74" s="295">
        <f ca="1">AuxYear+1</f>
        <v>2018</v>
      </c>
      <c r="T74" s="295"/>
      <c r="U74" s="295"/>
      <c r="V74" s="295"/>
      <c r="X74" s="444">
        <v>0.7</v>
      </c>
    </row>
    <row r="75" spans="2:24">
      <c r="B75" s="12"/>
      <c r="C75" s="12"/>
      <c r="D75" s="12" t="s">
        <v>1160</v>
      </c>
      <c r="E75" s="12"/>
      <c r="F75" s="12"/>
      <c r="G75" s="12" t="s">
        <v>861</v>
      </c>
      <c r="H75" s="12"/>
      <c r="I75" s="536"/>
      <c r="J75" s="411"/>
      <c r="K75" s="541">
        <f>MIN(K74,(K74)*(1/0.75/(K74+1))^2)</f>
        <v>0.37333333333333329</v>
      </c>
      <c r="L75" s="541"/>
      <c r="M75" s="541"/>
      <c r="N75" s="541"/>
      <c r="O75" s="541"/>
      <c r="P75" s="515"/>
      <c r="Q75" s="369"/>
      <c r="R75" s="369"/>
      <c r="S75" s="369"/>
      <c r="T75" s="369"/>
      <c r="U75" s="369"/>
      <c r="V75" s="369"/>
      <c r="X75" s="444"/>
    </row>
    <row r="76" spans="2:24">
      <c r="B76" s="12"/>
      <c r="C76" s="12"/>
      <c r="D76" s="12"/>
      <c r="E76" s="12" t="s">
        <v>1159</v>
      </c>
      <c r="F76" s="369" t="s">
        <v>1072</v>
      </c>
      <c r="G76" s="12" t="s">
        <v>1071</v>
      </c>
      <c r="H76" s="12"/>
      <c r="I76" s="296"/>
      <c r="J76" s="411"/>
      <c r="K76" s="540">
        <f>$K74/K$25</f>
        <v>0.4285714285714286</v>
      </c>
      <c r="L76" s="540">
        <f>$K74/L$25</f>
        <v>0.44876589379207188</v>
      </c>
      <c r="M76" s="540">
        <f>$K74/M$25</f>
        <v>0.48154093097913325</v>
      </c>
      <c r="N76" s="540">
        <f>$K74/N$25</f>
        <v>0.5357142857142857</v>
      </c>
      <c r="O76" s="540">
        <f>$K74/O$25</f>
        <v>0.59523809523809534</v>
      </c>
      <c r="P76" s="515"/>
      <c r="Q76" s="369"/>
      <c r="R76" s="369"/>
      <c r="S76" s="369"/>
      <c r="T76" s="369">
        <v>40</v>
      </c>
      <c r="U76" s="369">
        <v>40</v>
      </c>
      <c r="V76" s="369"/>
      <c r="X76" s="444"/>
    </row>
    <row r="77" spans="2:24">
      <c r="B77" s="12"/>
      <c r="C77" s="12"/>
      <c r="D77" s="12"/>
      <c r="E77" s="12" t="s">
        <v>1130</v>
      </c>
      <c r="F77" s="12"/>
      <c r="G77" s="12" t="s">
        <v>1094</v>
      </c>
      <c r="H77" s="12"/>
      <c r="I77" s="296"/>
      <c r="J77" s="358"/>
      <c r="K77" s="368">
        <f>1/(K$25*$X74)</f>
        <v>1.4285714285714286</v>
      </c>
      <c r="L77" s="368">
        <f>1/(L$25*$X74)</f>
        <v>1.4958863126402393</v>
      </c>
      <c r="M77" s="368">
        <f>1/(M$25*$X74)</f>
        <v>1.6051364365971108</v>
      </c>
      <c r="N77" s="368">
        <f>1/(N$25*$X74)</f>
        <v>1.7857142857142858</v>
      </c>
      <c r="O77" s="368">
        <f>1/(O$25*$X74)</f>
        <v>1.9841269841269842</v>
      </c>
      <c r="P77" s="515"/>
      <c r="Q77" s="369"/>
      <c r="R77" s="369"/>
      <c r="S77" s="369"/>
      <c r="T77" s="369"/>
      <c r="U77" s="369"/>
      <c r="V77" s="369"/>
      <c r="X77" s="444"/>
    </row>
    <row r="78" spans="2:24">
      <c r="B78" s="293" t="s">
        <v>1088</v>
      </c>
      <c r="C78" s="293" t="str">
        <f>"Commercial.1.INS.New."&amp;TEXT(X78,"0%")</f>
        <v>Commercial.1.INS.New.80%</v>
      </c>
      <c r="D78" s="293" t="s">
        <v>1117</v>
      </c>
      <c r="E78" s="293"/>
      <c r="F78" s="295"/>
      <c r="G78" s="293" t="s">
        <v>861</v>
      </c>
      <c r="H78" s="293"/>
      <c r="I78" s="314"/>
      <c r="J78" s="411"/>
      <c r="K78" s="531">
        <f>1/$X78-1</f>
        <v>0.25</v>
      </c>
      <c r="L78" s="526"/>
      <c r="M78" s="526"/>
      <c r="N78" s="526"/>
      <c r="O78" s="526"/>
      <c r="P78" s="555">
        <f>P74+80</f>
        <v>284.54937014143752</v>
      </c>
      <c r="Q78" s="295">
        <v>1</v>
      </c>
      <c r="R78" s="295">
        <v>60</v>
      </c>
      <c r="S78" s="295">
        <f ca="1">AuxYear+1</f>
        <v>2018</v>
      </c>
      <c r="T78" s="295"/>
      <c r="U78" s="295"/>
      <c r="V78" s="295"/>
      <c r="X78" s="444">
        <v>0.8</v>
      </c>
    </row>
    <row r="79" spans="2:24">
      <c r="B79" s="12"/>
      <c r="C79" s="12"/>
      <c r="D79" s="12" t="s">
        <v>1160</v>
      </c>
      <c r="E79" s="12"/>
      <c r="F79" s="12"/>
      <c r="G79" s="12" t="s">
        <v>861</v>
      </c>
      <c r="H79" s="12"/>
      <c r="I79" s="536"/>
      <c r="J79" s="411"/>
      <c r="K79" s="541">
        <f>MIN(K78,(K78)*(1/0.75/(K78+1))^2)</f>
        <v>0.25</v>
      </c>
      <c r="L79" s="541"/>
      <c r="M79" s="541"/>
      <c r="N79" s="541"/>
      <c r="O79" s="541"/>
      <c r="P79" s="515"/>
      <c r="Q79" s="369"/>
      <c r="R79" s="369"/>
      <c r="S79" s="369"/>
      <c r="T79" s="369"/>
      <c r="U79" s="369"/>
      <c r="V79" s="369"/>
      <c r="X79" s="444"/>
    </row>
    <row r="80" spans="2:24">
      <c r="B80" s="12"/>
      <c r="C80" s="12"/>
      <c r="D80" s="12"/>
      <c r="E80" s="12" t="s">
        <v>1159</v>
      </c>
      <c r="F80" s="369" t="s">
        <v>1072</v>
      </c>
      <c r="G80" s="12" t="s">
        <v>1071</v>
      </c>
      <c r="H80" s="12"/>
      <c r="I80" s="296"/>
      <c r="J80" s="411"/>
      <c r="K80" s="540">
        <f>$K78/K$25</f>
        <v>0.25</v>
      </c>
      <c r="L80" s="540">
        <f>$K78/L$25</f>
        <v>0.26178010471204188</v>
      </c>
      <c r="M80" s="540">
        <f>$K78/M$25</f>
        <v>0.2808988764044944</v>
      </c>
      <c r="N80" s="540">
        <f>$K78/N$25</f>
        <v>0.3125</v>
      </c>
      <c r="O80" s="540">
        <f>$K78/O$25</f>
        <v>0.34722222222222221</v>
      </c>
      <c r="P80" s="515"/>
      <c r="Q80" s="369"/>
      <c r="R80" s="369"/>
      <c r="S80" s="369"/>
      <c r="T80" s="369">
        <v>40</v>
      </c>
      <c r="U80" s="369">
        <v>40</v>
      </c>
      <c r="V80" s="369"/>
      <c r="X80" s="444"/>
    </row>
    <row r="81" spans="2:24">
      <c r="B81" s="12"/>
      <c r="C81" s="12"/>
      <c r="D81" s="12"/>
      <c r="E81" s="12" t="s">
        <v>1130</v>
      </c>
      <c r="F81" s="12"/>
      <c r="G81" s="12" t="s">
        <v>1094</v>
      </c>
      <c r="H81" s="12"/>
      <c r="I81" s="296"/>
      <c r="J81" s="358"/>
      <c r="K81" s="368">
        <f>1/(K$25*$X78)</f>
        <v>1.25</v>
      </c>
      <c r="L81" s="368">
        <f>1/(L$25*$X78)</f>
        <v>1.3089005235602094</v>
      </c>
      <c r="M81" s="368">
        <f>1/(M$25*$X78)</f>
        <v>1.4044943820224718</v>
      </c>
      <c r="N81" s="368">
        <f>1/(N$25*$X78)</f>
        <v>1.5624999999999998</v>
      </c>
      <c r="O81" s="368">
        <f>1/(O$25*$X78)</f>
        <v>1.7361111111111112</v>
      </c>
      <c r="P81" s="515"/>
      <c r="Q81" s="369"/>
      <c r="R81" s="369"/>
      <c r="S81" s="369"/>
      <c r="T81" s="369"/>
      <c r="U81" s="369"/>
      <c r="V81" s="369"/>
      <c r="X81" s="444"/>
    </row>
    <row r="82" spans="2:24">
      <c r="B82" s="293" t="s">
        <v>1133</v>
      </c>
      <c r="C82" s="293" t="str">
        <f>"Commercial.1.INS.New."&amp;TEXT(X82,"0%")</f>
        <v>Commercial.1.INS.New.90%</v>
      </c>
      <c r="D82" s="293" t="s">
        <v>1117</v>
      </c>
      <c r="E82" s="293"/>
      <c r="F82" s="295"/>
      <c r="G82" s="293" t="s">
        <v>861</v>
      </c>
      <c r="H82" s="293"/>
      <c r="I82" s="314"/>
      <c r="J82" s="411"/>
      <c r="K82" s="531">
        <f>1/$X82-1</f>
        <v>0.11111111111111116</v>
      </c>
      <c r="L82" s="526"/>
      <c r="M82" s="526"/>
      <c r="N82" s="526"/>
      <c r="O82" s="526"/>
      <c r="P82" s="555">
        <f>P78+80</f>
        <v>364.54937014143752</v>
      </c>
      <c r="Q82" s="295">
        <v>1</v>
      </c>
      <c r="R82" s="295">
        <v>60</v>
      </c>
      <c r="S82" s="295">
        <f ca="1">AuxYear+1</f>
        <v>2018</v>
      </c>
      <c r="T82" s="295"/>
      <c r="U82" s="295"/>
      <c r="V82" s="295"/>
      <c r="X82" s="444">
        <v>0.9</v>
      </c>
    </row>
    <row r="83" spans="2:24">
      <c r="B83" s="12"/>
      <c r="C83" s="12"/>
      <c r="D83" s="12" t="s">
        <v>1160</v>
      </c>
      <c r="E83" s="12"/>
      <c r="F83" s="12"/>
      <c r="G83" s="12" t="s">
        <v>861</v>
      </c>
      <c r="H83" s="12"/>
      <c r="I83" s="536"/>
      <c r="J83" s="411"/>
      <c r="K83" s="541">
        <f>MIN(K82,(K82)*(1/0.75/(K82+1))^2)</f>
        <v>0.11111111111111116</v>
      </c>
      <c r="L83" s="541"/>
      <c r="M83" s="541"/>
      <c r="N83" s="541"/>
      <c r="O83" s="541"/>
      <c r="P83" s="515"/>
      <c r="Q83" s="369"/>
      <c r="R83" s="369"/>
      <c r="S83" s="369"/>
      <c r="T83" s="369"/>
      <c r="U83" s="369"/>
      <c r="V83" s="369"/>
      <c r="X83" s="444"/>
    </row>
    <row r="84" spans="2:24">
      <c r="B84" s="12"/>
      <c r="C84" s="12"/>
      <c r="D84" s="12"/>
      <c r="E84" s="12" t="s">
        <v>1159</v>
      </c>
      <c r="F84" s="369" t="s">
        <v>1072</v>
      </c>
      <c r="G84" s="12" t="s">
        <v>1071</v>
      </c>
      <c r="H84" s="12"/>
      <c r="I84" s="296"/>
      <c r="J84" s="411"/>
      <c r="K84" s="540">
        <f>$K82/K$25</f>
        <v>0.11111111111111116</v>
      </c>
      <c r="L84" s="540">
        <f>$K82/L$25</f>
        <v>0.116346713205352</v>
      </c>
      <c r="M84" s="540">
        <f>$K82/M$25</f>
        <v>0.12484394506866422</v>
      </c>
      <c r="N84" s="540">
        <f>$K82/N$25</f>
        <v>0.13888888888888895</v>
      </c>
      <c r="O84" s="540">
        <f>$K82/O$25</f>
        <v>0.15432098765432106</v>
      </c>
      <c r="P84" s="515"/>
      <c r="Q84" s="369"/>
      <c r="R84" s="369"/>
      <c r="S84" s="369"/>
      <c r="T84" s="369">
        <v>40</v>
      </c>
      <c r="U84" s="369">
        <v>40</v>
      </c>
      <c r="V84" s="369"/>
      <c r="X84" s="444"/>
    </row>
    <row r="85" spans="2:24">
      <c r="B85" s="12"/>
      <c r="C85" s="12"/>
      <c r="D85" s="12"/>
      <c r="E85" s="12" t="s">
        <v>1130</v>
      </c>
      <c r="F85" s="12"/>
      <c r="G85" s="12" t="s">
        <v>1094</v>
      </c>
      <c r="H85" s="12"/>
      <c r="I85" s="296"/>
      <c r="J85" s="358"/>
      <c r="K85" s="368">
        <f>1/(K$25*$X82)</f>
        <v>1.1111111111111112</v>
      </c>
      <c r="L85" s="368">
        <f>1/(L$25*$X82)</f>
        <v>1.1634671320535195</v>
      </c>
      <c r="M85" s="368">
        <f>1/(M$25*$X82)</f>
        <v>1.2484394506866416</v>
      </c>
      <c r="N85" s="368">
        <f>1/(N$25*$X82)</f>
        <v>1.3888888888888886</v>
      </c>
      <c r="O85" s="368">
        <f>1/(O$25*$X82)</f>
        <v>1.5432098765432098</v>
      </c>
      <c r="P85" s="515"/>
      <c r="Q85" s="369"/>
      <c r="R85" s="369"/>
      <c r="S85" s="369"/>
      <c r="T85" s="369"/>
      <c r="U85" s="369"/>
      <c r="V85" s="369"/>
      <c r="X85" s="444"/>
    </row>
    <row r="86" spans="2:24">
      <c r="B86" s="293" t="s">
        <v>1142</v>
      </c>
      <c r="C86" s="293" t="str">
        <f>"Residential.1.REN.New."&amp;TEXT(X86,"0%")</f>
        <v>Residential.1.REN.New.20%</v>
      </c>
      <c r="D86" s="293" t="str">
        <f>LEFT(B86,3)&amp;"-OLD"</f>
        <v>RH1-OLD</v>
      </c>
      <c r="E86" s="293"/>
      <c r="F86" s="295"/>
      <c r="G86" s="293" t="s">
        <v>1094</v>
      </c>
      <c r="H86" s="293"/>
      <c r="I86" s="314"/>
      <c r="J86" s="411"/>
      <c r="K86" s="531">
        <f>M86*2</f>
        <v>10</v>
      </c>
      <c r="L86" s="531"/>
      <c r="M86" s="531">
        <f>1/$X86</f>
        <v>5</v>
      </c>
      <c r="N86" s="526"/>
      <c r="O86" s="526"/>
      <c r="P86" s="555">
        <v>320</v>
      </c>
      <c r="Q86" s="295">
        <v>1</v>
      </c>
      <c r="R86" s="295">
        <v>40</v>
      </c>
      <c r="S86" s="295">
        <f ca="1">AuxYear+1</f>
        <v>2018</v>
      </c>
      <c r="T86" s="295"/>
      <c r="U86" s="295"/>
      <c r="V86" s="295"/>
      <c r="X86" s="444">
        <v>0.2</v>
      </c>
    </row>
    <row r="87" spans="2:24">
      <c r="B87" s="12"/>
      <c r="C87" s="12"/>
      <c r="D87" s="12" t="str">
        <f>LEFT(B86,3)&amp;"+INS"</f>
        <v>RH1+INS</v>
      </c>
      <c r="E87" s="12"/>
      <c r="F87" s="12"/>
      <c r="G87" s="12" t="s">
        <v>861</v>
      </c>
      <c r="H87" s="12"/>
      <c r="I87" s="536"/>
      <c r="J87" s="411"/>
      <c r="K87" s="541">
        <f>M87/2</f>
        <v>0.14222222222222222</v>
      </c>
      <c r="L87" s="541"/>
      <c r="M87" s="541">
        <f>(M86-1)*(1/0.75/M86)^2</f>
        <v>0.28444444444444444</v>
      </c>
      <c r="N87" s="541"/>
      <c r="O87" s="541"/>
      <c r="P87" s="515"/>
      <c r="Q87" s="369"/>
      <c r="R87" s="369"/>
      <c r="S87" s="369"/>
      <c r="T87" s="369"/>
      <c r="U87" s="369"/>
      <c r="V87" s="369"/>
      <c r="X87" s="444"/>
    </row>
    <row r="88" spans="2:24">
      <c r="B88" s="12"/>
      <c r="C88" s="12"/>
      <c r="D88" s="12" t="str">
        <f>LEFT(B86,3)&amp;"-NET"</f>
        <v>RH1-NET</v>
      </c>
      <c r="E88" s="12"/>
      <c r="F88" s="12" t="s">
        <v>1143</v>
      </c>
      <c r="G88" s="12" t="s">
        <v>1144</v>
      </c>
      <c r="H88" s="12"/>
      <c r="I88" s="296"/>
      <c r="J88" s="358"/>
      <c r="K88" s="540">
        <f>M88/2</f>
        <v>-0.5</v>
      </c>
      <c r="L88" s="540"/>
      <c r="M88" s="540">
        <v>-1</v>
      </c>
      <c r="N88" s="368"/>
      <c r="O88" s="368"/>
      <c r="P88" s="515"/>
      <c r="Q88" s="369"/>
      <c r="R88" s="369"/>
      <c r="S88" s="369"/>
      <c r="T88" s="369"/>
      <c r="U88" s="369">
        <v>40</v>
      </c>
      <c r="V88" s="369"/>
      <c r="X88" s="444"/>
    </row>
    <row r="89" spans="2:24">
      <c r="B89" s="293" t="s">
        <v>1145</v>
      </c>
      <c r="C89" s="293" t="str">
        <f>"Residential.1.REN.New."&amp;TEXT(X89,"0%")</f>
        <v>Residential.1.REN.New.40%</v>
      </c>
      <c r="D89" s="293" t="str">
        <f>LEFT(B89,3)&amp;"-OLD"</f>
        <v>RH1-OLD</v>
      </c>
      <c r="E89" s="293"/>
      <c r="F89" s="295"/>
      <c r="G89" s="293" t="s">
        <v>1094</v>
      </c>
      <c r="H89" s="293"/>
      <c r="I89" s="314"/>
      <c r="J89" s="411"/>
      <c r="K89" s="531">
        <f>M89*2</f>
        <v>5</v>
      </c>
      <c r="L89" s="531"/>
      <c r="M89" s="531">
        <f>1/$X89</f>
        <v>2.5</v>
      </c>
      <c r="N89" s="526"/>
      <c r="O89" s="526"/>
      <c r="P89" s="555">
        <v>450</v>
      </c>
      <c r="Q89" s="295">
        <v>1</v>
      </c>
      <c r="R89" s="295">
        <v>40</v>
      </c>
      <c r="S89" s="295">
        <f ca="1">AuxYear+1</f>
        <v>2018</v>
      </c>
      <c r="T89" s="295"/>
      <c r="U89" s="295"/>
      <c r="V89" s="295"/>
      <c r="X89" s="444">
        <v>0.4</v>
      </c>
    </row>
    <row r="90" spans="2:24">
      <c r="B90" s="12"/>
      <c r="C90" s="12"/>
      <c r="D90" s="12" t="str">
        <f>LEFT(B89,3)&amp;"+INS"</f>
        <v>RH1+INS</v>
      </c>
      <c r="E90" s="12"/>
      <c r="F90" s="12"/>
      <c r="G90" s="12" t="s">
        <v>861</v>
      </c>
      <c r="H90" s="12"/>
      <c r="I90" s="536"/>
      <c r="J90" s="411"/>
      <c r="K90" s="541">
        <f>M90/2</f>
        <v>0.21333333333333332</v>
      </c>
      <c r="L90" s="541"/>
      <c r="M90" s="541">
        <f>(M89-1)*(1/0.75/M89)^2</f>
        <v>0.42666666666666664</v>
      </c>
      <c r="N90" s="541"/>
      <c r="O90" s="541"/>
      <c r="P90" s="515"/>
      <c r="Q90" s="369"/>
      <c r="R90" s="369"/>
      <c r="S90" s="369"/>
      <c r="T90" s="369"/>
      <c r="U90" s="369"/>
      <c r="V90" s="369"/>
      <c r="X90" s="444"/>
    </row>
    <row r="91" spans="2:24">
      <c r="B91" s="12"/>
      <c r="C91" s="12"/>
      <c r="D91" s="12" t="str">
        <f>LEFT(B89,3)&amp;"-NET"</f>
        <v>RH1-NET</v>
      </c>
      <c r="E91" s="12"/>
      <c r="F91" s="12" t="s">
        <v>1143</v>
      </c>
      <c r="G91" s="12" t="s">
        <v>1144</v>
      </c>
      <c r="H91" s="12"/>
      <c r="I91" s="296"/>
      <c r="J91" s="358"/>
      <c r="K91" s="540">
        <f>M91/2</f>
        <v>-0.5</v>
      </c>
      <c r="L91" s="540"/>
      <c r="M91" s="540">
        <v>-1</v>
      </c>
      <c r="N91" s="368"/>
      <c r="O91" s="368"/>
      <c r="P91" s="515"/>
      <c r="Q91" s="369"/>
      <c r="R91" s="369"/>
      <c r="S91" s="369"/>
      <c r="T91" s="369"/>
      <c r="U91" s="369">
        <v>40</v>
      </c>
      <c r="V91" s="369"/>
      <c r="X91" s="444"/>
    </row>
    <row r="92" spans="2:24">
      <c r="B92" s="293" t="s">
        <v>1146</v>
      </c>
      <c r="C92" s="293" t="str">
        <f>"Residential.1.REN.New."&amp;TEXT(X92,"0%")</f>
        <v>Residential.1.REN.New.60%</v>
      </c>
      <c r="D92" s="293" t="str">
        <f>LEFT(B92,3)&amp;"-OLD"</f>
        <v>RH1-OLD</v>
      </c>
      <c r="E92" s="293"/>
      <c r="F92" s="295"/>
      <c r="G92" s="293" t="s">
        <v>1094</v>
      </c>
      <c r="H92" s="293"/>
      <c r="I92" s="314"/>
      <c r="J92" s="411"/>
      <c r="K92" s="531">
        <f>M92*2</f>
        <v>3.3333333333333335</v>
      </c>
      <c r="L92" s="531"/>
      <c r="M92" s="531">
        <f>1/$X92</f>
        <v>1.6666666666666667</v>
      </c>
      <c r="N92" s="526"/>
      <c r="O92" s="526"/>
      <c r="P92" s="555">
        <v>560</v>
      </c>
      <c r="Q92" s="295">
        <v>1</v>
      </c>
      <c r="R92" s="295">
        <v>40</v>
      </c>
      <c r="S92" s="295">
        <f ca="1">AuxYear+1</f>
        <v>2018</v>
      </c>
      <c r="T92" s="295"/>
      <c r="U92" s="295"/>
      <c r="V92" s="295"/>
      <c r="X92" s="444">
        <v>0.6</v>
      </c>
    </row>
    <row r="93" spans="2:24">
      <c r="B93" s="12"/>
      <c r="C93" s="12"/>
      <c r="D93" s="12" t="str">
        <f>LEFT(B92,3)&amp;"+INS"</f>
        <v>RH1+INS</v>
      </c>
      <c r="E93" s="12"/>
      <c r="F93" s="12"/>
      <c r="G93" s="12" t="s">
        <v>861</v>
      </c>
      <c r="H93" s="12"/>
      <c r="I93" s="536"/>
      <c r="J93" s="411"/>
      <c r="K93" s="541">
        <f>M93/2</f>
        <v>0.21333333333333332</v>
      </c>
      <c r="L93" s="541"/>
      <c r="M93" s="541">
        <f>(M92-1)*(1/0.75/M92)^2</f>
        <v>0.42666666666666664</v>
      </c>
      <c r="N93" s="541"/>
      <c r="O93" s="541"/>
      <c r="P93" s="515"/>
      <c r="Q93" s="369"/>
      <c r="R93" s="369"/>
      <c r="S93" s="369"/>
      <c r="T93" s="369"/>
      <c r="U93" s="369"/>
      <c r="V93" s="369"/>
      <c r="X93" s="444"/>
    </row>
    <row r="94" spans="2:24">
      <c r="B94" s="12"/>
      <c r="C94" s="12"/>
      <c r="D94" s="12" t="str">
        <f>LEFT(B92,3)&amp;"-NET"</f>
        <v>RH1-NET</v>
      </c>
      <c r="E94" s="12"/>
      <c r="F94" s="12" t="s">
        <v>1143</v>
      </c>
      <c r="G94" s="12" t="s">
        <v>1144</v>
      </c>
      <c r="H94" s="12"/>
      <c r="I94" s="296"/>
      <c r="J94" s="358"/>
      <c r="K94" s="540">
        <f>M94/2</f>
        <v>-0.5</v>
      </c>
      <c r="L94" s="540"/>
      <c r="M94" s="540">
        <v>-1</v>
      </c>
      <c r="N94" s="368"/>
      <c r="O94" s="368"/>
      <c r="P94" s="515"/>
      <c r="Q94" s="369"/>
      <c r="R94" s="369"/>
      <c r="S94" s="369"/>
      <c r="T94" s="369"/>
      <c r="U94" s="369">
        <v>40</v>
      </c>
      <c r="V94" s="369"/>
      <c r="X94" s="444"/>
    </row>
    <row r="95" spans="2:24">
      <c r="B95" s="293" t="s">
        <v>1147</v>
      </c>
      <c r="C95" s="293" t="str">
        <f>"Residential.1.REN.New."&amp;TEXT(X95,"0%")</f>
        <v>Residential.1.REN.New.20%</v>
      </c>
      <c r="D95" s="293" t="str">
        <f>LEFT(B95,3)&amp;"-OLD"</f>
        <v>RH2-OLD</v>
      </c>
      <c r="E95" s="293"/>
      <c r="F95" s="295"/>
      <c r="G95" s="293" t="s">
        <v>1094</v>
      </c>
      <c r="H95" s="293"/>
      <c r="I95" s="314"/>
      <c r="J95" s="411"/>
      <c r="K95" s="531">
        <f>M95*2</f>
        <v>10</v>
      </c>
      <c r="L95" s="531"/>
      <c r="M95" s="531">
        <f>1/$X95</f>
        <v>5</v>
      </c>
      <c r="N95" s="526"/>
      <c r="O95" s="526"/>
      <c r="P95" s="555">
        <v>250</v>
      </c>
      <c r="Q95" s="295">
        <v>1</v>
      </c>
      <c r="R95" s="295">
        <v>40</v>
      </c>
      <c r="S95" s="295">
        <f ca="1">AuxYear+1</f>
        <v>2018</v>
      </c>
      <c r="T95" s="295"/>
      <c r="U95" s="295"/>
      <c r="V95" s="295"/>
      <c r="X95" s="444">
        <v>0.2</v>
      </c>
    </row>
    <row r="96" spans="2:24">
      <c r="B96" s="12"/>
      <c r="C96" s="12"/>
      <c r="D96" s="12" t="str">
        <f>LEFT(B95,3)&amp;"+INS"</f>
        <v>RH2+INS</v>
      </c>
      <c r="E96" s="12"/>
      <c r="F96" s="12"/>
      <c r="G96" s="12" t="s">
        <v>861</v>
      </c>
      <c r="H96" s="12"/>
      <c r="I96" s="536"/>
      <c r="J96" s="411"/>
      <c r="K96" s="541">
        <f>M96/2</f>
        <v>0.14222222222222222</v>
      </c>
      <c r="L96" s="541"/>
      <c r="M96" s="541">
        <f>(M95-1)*(1/0.75/M95)^2</f>
        <v>0.28444444444444444</v>
      </c>
      <c r="N96" s="541"/>
      <c r="O96" s="541"/>
      <c r="P96" s="515"/>
      <c r="Q96" s="369"/>
      <c r="R96" s="369"/>
      <c r="S96" s="369"/>
      <c r="T96" s="369"/>
      <c r="U96" s="369"/>
      <c r="V96" s="369"/>
      <c r="X96" s="444"/>
    </row>
    <row r="97" spans="2:24">
      <c r="B97" s="12"/>
      <c r="C97" s="12"/>
      <c r="D97" s="12" t="str">
        <f>LEFT(B95,3)&amp;"-NET"</f>
        <v>RH2-NET</v>
      </c>
      <c r="E97" s="12"/>
      <c r="F97" s="12" t="s">
        <v>1143</v>
      </c>
      <c r="G97" s="12" t="s">
        <v>1144</v>
      </c>
      <c r="H97" s="12"/>
      <c r="I97" s="296"/>
      <c r="J97" s="358"/>
      <c r="K97" s="540">
        <f>M97/2</f>
        <v>-0.5</v>
      </c>
      <c r="L97" s="540"/>
      <c r="M97" s="540">
        <v>-1</v>
      </c>
      <c r="N97" s="368"/>
      <c r="O97" s="368"/>
      <c r="P97" s="515"/>
      <c r="Q97" s="369"/>
      <c r="R97" s="369"/>
      <c r="S97" s="369"/>
      <c r="T97" s="369"/>
      <c r="U97" s="369">
        <v>40</v>
      </c>
      <c r="V97" s="369"/>
      <c r="X97" s="444"/>
    </row>
    <row r="98" spans="2:24">
      <c r="B98" s="293" t="s">
        <v>1148</v>
      </c>
      <c r="C98" s="293" t="str">
        <f>"Residential.1.REN.New."&amp;TEXT(X98,"0%")</f>
        <v>Residential.1.REN.New.40%</v>
      </c>
      <c r="D98" s="293" t="str">
        <f>LEFT(B98,3)&amp;"-OLD"</f>
        <v>RH2-OLD</v>
      </c>
      <c r="E98" s="293"/>
      <c r="F98" s="295"/>
      <c r="G98" s="293" t="s">
        <v>1094</v>
      </c>
      <c r="H98" s="293"/>
      <c r="I98" s="314"/>
      <c r="J98" s="411"/>
      <c r="K98" s="531">
        <f>M98*2</f>
        <v>5</v>
      </c>
      <c r="L98" s="531"/>
      <c r="M98" s="531">
        <f>1/$X98</f>
        <v>2.5</v>
      </c>
      <c r="N98" s="526"/>
      <c r="O98" s="526"/>
      <c r="P98" s="555">
        <v>310</v>
      </c>
      <c r="Q98" s="295">
        <v>1</v>
      </c>
      <c r="R98" s="295">
        <v>40</v>
      </c>
      <c r="S98" s="295">
        <f ca="1">AuxYear+1</f>
        <v>2018</v>
      </c>
      <c r="T98" s="295"/>
      <c r="U98" s="295"/>
      <c r="V98" s="295"/>
      <c r="X98" s="444">
        <v>0.4</v>
      </c>
    </row>
    <row r="99" spans="2:24">
      <c r="B99" s="12"/>
      <c r="C99" s="12"/>
      <c r="D99" s="12" t="str">
        <f>LEFT(B98,3)&amp;"+INS"</f>
        <v>RH2+INS</v>
      </c>
      <c r="E99" s="12"/>
      <c r="F99" s="12"/>
      <c r="G99" s="12" t="s">
        <v>861</v>
      </c>
      <c r="H99" s="12"/>
      <c r="I99" s="536"/>
      <c r="J99" s="411"/>
      <c r="K99" s="541">
        <f>M99/2</f>
        <v>0.21333333333333332</v>
      </c>
      <c r="L99" s="541"/>
      <c r="M99" s="541">
        <f>(M98-1)*(1/0.75/M98)^2</f>
        <v>0.42666666666666664</v>
      </c>
      <c r="N99" s="541"/>
      <c r="O99" s="541"/>
      <c r="P99" s="515"/>
      <c r="Q99" s="369"/>
      <c r="R99" s="369"/>
      <c r="S99" s="369"/>
      <c r="T99" s="369"/>
      <c r="U99" s="369"/>
      <c r="V99" s="369"/>
      <c r="X99" s="444"/>
    </row>
    <row r="100" spans="2:24">
      <c r="B100" s="12"/>
      <c r="C100" s="12"/>
      <c r="D100" s="12" t="str">
        <f>LEFT(B98,3)&amp;"-NET"</f>
        <v>RH2-NET</v>
      </c>
      <c r="E100" s="12"/>
      <c r="F100" s="12" t="s">
        <v>1143</v>
      </c>
      <c r="G100" s="12" t="s">
        <v>1144</v>
      </c>
      <c r="H100" s="12"/>
      <c r="I100" s="296"/>
      <c r="J100" s="358"/>
      <c r="K100" s="540">
        <f>M100/2</f>
        <v>-0.5</v>
      </c>
      <c r="L100" s="540"/>
      <c r="M100" s="540">
        <v>-1</v>
      </c>
      <c r="N100" s="368"/>
      <c r="O100" s="368"/>
      <c r="P100" s="515"/>
      <c r="Q100" s="369"/>
      <c r="R100" s="369"/>
      <c r="S100" s="369"/>
      <c r="T100" s="369"/>
      <c r="U100" s="369">
        <v>40</v>
      </c>
      <c r="V100" s="369"/>
      <c r="X100" s="444"/>
    </row>
    <row r="101" spans="2:24">
      <c r="B101" s="293" t="s">
        <v>1149</v>
      </c>
      <c r="C101" s="293" t="str">
        <f>"Residential.1.REN.New."&amp;TEXT(X101,"0%")</f>
        <v>Residential.1.REN.New.60%</v>
      </c>
      <c r="D101" s="293" t="str">
        <f>LEFT(B101,3)&amp;"-OLD"</f>
        <v>RH2-OLD</v>
      </c>
      <c r="E101" s="293"/>
      <c r="F101" s="295"/>
      <c r="G101" s="293" t="s">
        <v>1094</v>
      </c>
      <c r="H101" s="293"/>
      <c r="I101" s="314"/>
      <c r="J101" s="411"/>
      <c r="K101" s="531">
        <f>M101*2</f>
        <v>3.3333333333333335</v>
      </c>
      <c r="L101" s="531"/>
      <c r="M101" s="531">
        <f>1/$X101</f>
        <v>1.6666666666666667</v>
      </c>
      <c r="N101" s="526"/>
      <c r="O101" s="526"/>
      <c r="P101" s="555">
        <f>P98+90</f>
        <v>400</v>
      </c>
      <c r="Q101" s="295">
        <v>1</v>
      </c>
      <c r="R101" s="295">
        <v>40</v>
      </c>
      <c r="S101" s="295">
        <f ca="1">AuxYear+1</f>
        <v>2018</v>
      </c>
      <c r="T101" s="295"/>
      <c r="U101" s="295"/>
      <c r="V101" s="295"/>
      <c r="X101" s="444">
        <v>0.6</v>
      </c>
    </row>
    <row r="102" spans="2:24">
      <c r="B102" s="12"/>
      <c r="C102" s="12"/>
      <c r="D102" s="12" t="str">
        <f>LEFT(B101,3)&amp;"+INS"</f>
        <v>RH2+INS</v>
      </c>
      <c r="E102" s="12"/>
      <c r="F102" s="12"/>
      <c r="G102" s="12" t="s">
        <v>861</v>
      </c>
      <c r="H102" s="12"/>
      <c r="I102" s="536"/>
      <c r="J102" s="411"/>
      <c r="K102" s="541">
        <f>M102/2</f>
        <v>0.21333333333333332</v>
      </c>
      <c r="L102" s="541"/>
      <c r="M102" s="541">
        <f>(M101-1)*(1/0.75/M101)^2</f>
        <v>0.42666666666666664</v>
      </c>
      <c r="N102" s="541"/>
      <c r="O102" s="541"/>
      <c r="P102" s="515"/>
      <c r="Q102" s="369"/>
      <c r="R102" s="369"/>
      <c r="S102" s="369"/>
      <c r="T102" s="369"/>
      <c r="U102" s="369"/>
      <c r="V102" s="369"/>
      <c r="X102" s="444"/>
    </row>
    <row r="103" spans="2:24">
      <c r="B103" s="12"/>
      <c r="C103" s="12"/>
      <c r="D103" s="12" t="str">
        <f>LEFT(B101,3)&amp;"-NET"</f>
        <v>RH2-NET</v>
      </c>
      <c r="E103" s="12"/>
      <c r="F103" s="12" t="s">
        <v>1143</v>
      </c>
      <c r="G103" s="12" t="s">
        <v>1144</v>
      </c>
      <c r="H103" s="12"/>
      <c r="I103" s="296"/>
      <c r="J103" s="358"/>
      <c r="K103" s="540">
        <f>M103/2</f>
        <v>-0.5</v>
      </c>
      <c r="L103" s="540"/>
      <c r="M103" s="540">
        <v>-1</v>
      </c>
      <c r="N103" s="368"/>
      <c r="O103" s="368"/>
      <c r="P103" s="515"/>
      <c r="Q103" s="369"/>
      <c r="R103" s="369"/>
      <c r="S103" s="369"/>
      <c r="T103" s="369"/>
      <c r="U103" s="369">
        <v>40</v>
      </c>
      <c r="V103" s="369"/>
      <c r="X103" s="444"/>
    </row>
    <row r="104" spans="2:24">
      <c r="B104" s="293" t="s">
        <v>1150</v>
      </c>
      <c r="C104" s="293" t="str">
        <f>"Residential.1.REN.New."&amp;TEXT(X104,"0%")</f>
        <v>Residential.1.REN.New.20%</v>
      </c>
      <c r="D104" s="293" t="str">
        <f>LEFT(B104,3)&amp;"-OLD"</f>
        <v>CH1-OLD</v>
      </c>
      <c r="E104" s="293"/>
      <c r="F104" s="295"/>
      <c r="G104" s="293" t="s">
        <v>1094</v>
      </c>
      <c r="H104" s="293"/>
      <c r="I104" s="314"/>
      <c r="J104" s="411"/>
      <c r="K104" s="531">
        <f>M104*2</f>
        <v>10</v>
      </c>
      <c r="L104" s="531"/>
      <c r="M104" s="531">
        <f>1/$X104</f>
        <v>5</v>
      </c>
      <c r="N104" s="526"/>
      <c r="O104" s="526"/>
      <c r="P104" s="555">
        <v>270</v>
      </c>
      <c r="Q104" s="295">
        <v>1</v>
      </c>
      <c r="R104" s="295">
        <v>40</v>
      </c>
      <c r="S104" s="295">
        <f ca="1">AuxYear+1</f>
        <v>2018</v>
      </c>
      <c r="T104" s="295"/>
      <c r="U104" s="295"/>
      <c r="V104" s="295"/>
      <c r="X104" s="444">
        <v>0.2</v>
      </c>
    </row>
    <row r="105" spans="2:24">
      <c r="B105" s="12"/>
      <c r="C105" s="12"/>
      <c r="D105" s="12" t="str">
        <f>LEFT(B104,3)&amp;"+INS"</f>
        <v>CH1+INS</v>
      </c>
      <c r="E105" s="12"/>
      <c r="F105" s="12"/>
      <c r="G105" s="12" t="s">
        <v>861</v>
      </c>
      <c r="H105" s="12"/>
      <c r="I105" s="536"/>
      <c r="J105" s="411"/>
      <c r="K105" s="541">
        <f>M105/2</f>
        <v>0.14222222222222222</v>
      </c>
      <c r="L105" s="541"/>
      <c r="M105" s="541">
        <f>(M104-1)*(1/0.75/M104)^2</f>
        <v>0.28444444444444444</v>
      </c>
      <c r="N105" s="541"/>
      <c r="O105" s="541"/>
      <c r="P105" s="515"/>
      <c r="Q105" s="369"/>
      <c r="R105" s="369"/>
      <c r="S105" s="369"/>
      <c r="T105" s="369"/>
      <c r="U105" s="369"/>
      <c r="V105" s="369"/>
      <c r="X105" s="444"/>
    </row>
    <row r="106" spans="2:24">
      <c r="B106" s="12"/>
      <c r="C106" s="12"/>
      <c r="D106" s="12" t="str">
        <f>LEFT(B104,3)&amp;"-NET"</f>
        <v>CH1-NET</v>
      </c>
      <c r="E106" s="12"/>
      <c r="F106" s="12" t="s">
        <v>1143</v>
      </c>
      <c r="G106" s="12" t="s">
        <v>1144</v>
      </c>
      <c r="H106" s="12"/>
      <c r="I106" s="296"/>
      <c r="J106" s="358"/>
      <c r="K106" s="540">
        <f>M106/2</f>
        <v>-0.5</v>
      </c>
      <c r="L106" s="540"/>
      <c r="M106" s="540">
        <v>-1</v>
      </c>
      <c r="N106" s="368"/>
      <c r="O106" s="368"/>
      <c r="P106" s="515"/>
      <c r="Q106" s="369"/>
      <c r="R106" s="369"/>
      <c r="S106" s="369"/>
      <c r="T106" s="369"/>
      <c r="U106" s="369">
        <v>40</v>
      </c>
      <c r="V106" s="369"/>
      <c r="X106" s="444"/>
    </row>
    <row r="107" spans="2:24">
      <c r="B107" s="293" t="s">
        <v>1151</v>
      </c>
      <c r="C107" s="293" t="str">
        <f>"Residential.1.REN.New."&amp;TEXT(X107,"0%")</f>
        <v>Residential.1.REN.New.40%</v>
      </c>
      <c r="D107" s="293" t="str">
        <f>LEFT(B107,3)&amp;"-OLD"</f>
        <v>CH1-OLD</v>
      </c>
      <c r="E107" s="293"/>
      <c r="F107" s="295"/>
      <c r="G107" s="293" t="s">
        <v>1094</v>
      </c>
      <c r="H107" s="293"/>
      <c r="I107" s="314"/>
      <c r="J107" s="411"/>
      <c r="K107" s="531">
        <f>M107*2</f>
        <v>5</v>
      </c>
      <c r="L107" s="531"/>
      <c r="M107" s="531">
        <f>1/$X107</f>
        <v>2.5</v>
      </c>
      <c r="N107" s="526"/>
      <c r="O107" s="526"/>
      <c r="P107" s="555">
        <v>330</v>
      </c>
      <c r="Q107" s="295">
        <v>1</v>
      </c>
      <c r="R107" s="295">
        <v>40</v>
      </c>
      <c r="S107" s="295">
        <f ca="1">AuxYear+1</f>
        <v>2018</v>
      </c>
      <c r="T107" s="295"/>
      <c r="U107" s="295"/>
      <c r="V107" s="295"/>
      <c r="X107" s="444">
        <v>0.4</v>
      </c>
    </row>
    <row r="108" spans="2:24">
      <c r="B108" s="12"/>
      <c r="C108" s="12"/>
      <c r="D108" s="12" t="str">
        <f>LEFT(B107,3)&amp;"+INS"</f>
        <v>CH1+INS</v>
      </c>
      <c r="E108" s="12"/>
      <c r="F108" s="12"/>
      <c r="G108" s="12" t="s">
        <v>861</v>
      </c>
      <c r="H108" s="12"/>
      <c r="I108" s="536"/>
      <c r="J108" s="411"/>
      <c r="K108" s="541">
        <f>M108/2</f>
        <v>0.21333333333333332</v>
      </c>
      <c r="L108" s="541"/>
      <c r="M108" s="541">
        <f>(M107-1)*(1/0.75/M107)^2</f>
        <v>0.42666666666666664</v>
      </c>
      <c r="N108" s="541"/>
      <c r="O108" s="541"/>
      <c r="P108" s="515"/>
      <c r="Q108" s="369"/>
      <c r="R108" s="369"/>
      <c r="S108" s="369"/>
      <c r="T108" s="369"/>
      <c r="U108" s="369"/>
      <c r="V108" s="369"/>
      <c r="X108" s="444"/>
    </row>
    <row r="109" spans="2:24">
      <c r="B109" s="12"/>
      <c r="C109" s="12"/>
      <c r="D109" s="12" t="str">
        <f>LEFT(B107,3)&amp;"-NET"</f>
        <v>CH1-NET</v>
      </c>
      <c r="E109" s="12"/>
      <c r="F109" s="12" t="s">
        <v>1143</v>
      </c>
      <c r="G109" s="12" t="s">
        <v>1144</v>
      </c>
      <c r="H109" s="12"/>
      <c r="I109" s="296"/>
      <c r="J109" s="358"/>
      <c r="K109" s="540">
        <f>M109/2</f>
        <v>-0.5</v>
      </c>
      <c r="L109" s="540"/>
      <c r="M109" s="540">
        <v>-1</v>
      </c>
      <c r="N109" s="368"/>
      <c r="O109" s="368"/>
      <c r="P109" s="515"/>
      <c r="Q109" s="369"/>
      <c r="R109" s="369"/>
      <c r="S109" s="369"/>
      <c r="T109" s="369"/>
      <c r="U109" s="369">
        <v>40</v>
      </c>
      <c r="V109" s="369"/>
      <c r="X109" s="444"/>
    </row>
    <row r="110" spans="2:24">
      <c r="B110" s="293" t="s">
        <v>1152</v>
      </c>
      <c r="C110" s="293" t="str">
        <f>"Residential.1.REN.New."&amp;TEXT(X110,"0%")</f>
        <v>Residential.1.REN.New.60%</v>
      </c>
      <c r="D110" s="293" t="str">
        <f>LEFT(B110,3)&amp;"-OLD"</f>
        <v>CH1-OLD</v>
      </c>
      <c r="E110" s="293"/>
      <c r="F110" s="295"/>
      <c r="G110" s="293" t="s">
        <v>1094</v>
      </c>
      <c r="H110" s="293"/>
      <c r="I110" s="314"/>
      <c r="J110" s="411"/>
      <c r="K110" s="531">
        <f>M110*2</f>
        <v>3.3333333333333335</v>
      </c>
      <c r="L110" s="531"/>
      <c r="M110" s="531">
        <f>1/$X110</f>
        <v>1.6666666666666667</v>
      </c>
      <c r="N110" s="526"/>
      <c r="O110" s="526"/>
      <c r="P110" s="555">
        <f>P107+90</f>
        <v>420</v>
      </c>
      <c r="Q110" s="295">
        <v>1</v>
      </c>
      <c r="R110" s="295">
        <v>40</v>
      </c>
      <c r="S110" s="295">
        <f ca="1">AuxYear+1</f>
        <v>2018</v>
      </c>
      <c r="T110" s="295"/>
      <c r="U110" s="295"/>
      <c r="V110" s="295"/>
      <c r="X110" s="444">
        <v>0.6</v>
      </c>
    </row>
    <row r="111" spans="2:24">
      <c r="B111" s="12"/>
      <c r="C111" s="12"/>
      <c r="D111" s="12" t="str">
        <f>LEFT(B110,3)&amp;"+INS"</f>
        <v>CH1+INS</v>
      </c>
      <c r="E111" s="12"/>
      <c r="F111" s="12"/>
      <c r="G111" s="12" t="s">
        <v>861</v>
      </c>
      <c r="H111" s="12"/>
      <c r="I111" s="536"/>
      <c r="J111" s="411"/>
      <c r="K111" s="541">
        <f>M111/2</f>
        <v>0.21333333333333332</v>
      </c>
      <c r="L111" s="541"/>
      <c r="M111" s="541">
        <f>(M110-1)*(1/0.75/M110)^2</f>
        <v>0.42666666666666664</v>
      </c>
      <c r="N111" s="541"/>
      <c r="O111" s="541"/>
      <c r="P111" s="515"/>
      <c r="Q111" s="369"/>
      <c r="R111" s="369"/>
      <c r="S111" s="369"/>
      <c r="T111" s="369"/>
      <c r="U111" s="369"/>
      <c r="V111" s="369"/>
      <c r="X111" s="444"/>
    </row>
    <row r="112" spans="2:24">
      <c r="B112" s="12"/>
      <c r="C112" s="12"/>
      <c r="D112" s="12" t="str">
        <f>LEFT(B110,3)&amp;"-NET"</f>
        <v>CH1-NET</v>
      </c>
      <c r="E112" s="12"/>
      <c r="F112" s="12" t="s">
        <v>1143</v>
      </c>
      <c r="G112" s="12" t="s">
        <v>1144</v>
      </c>
      <c r="H112" s="12"/>
      <c r="I112" s="296"/>
      <c r="J112" s="358"/>
      <c r="K112" s="540">
        <f>M112/2</f>
        <v>-0.5</v>
      </c>
      <c r="L112" s="540"/>
      <c r="M112" s="540">
        <v>-1</v>
      </c>
      <c r="N112" s="368"/>
      <c r="O112" s="368"/>
      <c r="P112" s="515"/>
      <c r="Q112" s="369"/>
      <c r="R112" s="369"/>
      <c r="S112" s="369"/>
      <c r="T112" s="369"/>
      <c r="U112" s="369">
        <v>40</v>
      </c>
      <c r="V112" s="369"/>
      <c r="X112" s="444"/>
    </row>
    <row r="113" spans="16:16">
      <c r="P113" s="15"/>
    </row>
  </sheetData>
  <phoneticPr fontId="35" type="noConversion"/>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sheetPr codeName="Sheet43"/>
  <dimension ref="A1:Y129"/>
  <sheetViews>
    <sheetView topLeftCell="A67" zoomScale="75" workbookViewId="0">
      <selection activeCell="G118" sqref="G118"/>
    </sheetView>
  </sheetViews>
  <sheetFormatPr defaultColWidth="11.42578125" defaultRowHeight="12.75"/>
  <cols>
    <col min="1" max="1" width="15.85546875" customWidth="1"/>
    <col min="2" max="2" width="15.140625" customWidth="1"/>
    <col min="3" max="3" width="30.42578125" customWidth="1"/>
    <col min="4" max="4" width="12" customWidth="1"/>
    <col min="5" max="5" width="10.85546875" customWidth="1"/>
    <col min="6" max="8" width="9.140625" customWidth="1"/>
    <col min="9" max="9" width="9.28515625" bestFit="1" customWidth="1"/>
    <col min="10" max="10" width="9.5703125" customWidth="1"/>
    <col min="11" max="13" width="9.28515625" bestFit="1" customWidth="1"/>
    <col min="14" max="15" width="9.42578125" bestFit="1" customWidth="1"/>
    <col min="16" max="16" width="9.7109375" bestFit="1" customWidth="1"/>
    <col min="17" max="19" width="9.28515625" bestFit="1" customWidth="1"/>
    <col min="20" max="20" width="9.85546875" customWidth="1"/>
    <col min="21" max="23" width="9.28515625" bestFit="1" customWidth="1"/>
    <col min="24" max="24" width="9.5703125" bestFit="1" customWidth="1"/>
  </cols>
  <sheetData>
    <row r="1" spans="1:21" ht="18">
      <c r="A1" s="590" t="s">
        <v>572</v>
      </c>
      <c r="B1" s="7"/>
      <c r="C1" s="7"/>
      <c r="D1" s="7"/>
    </row>
    <row r="2" spans="1:21" ht="18">
      <c r="A2" s="10"/>
      <c r="F2" s="245"/>
    </row>
    <row r="3" spans="1:21">
      <c r="A3" s="9"/>
      <c r="F3" s="245"/>
    </row>
    <row r="4" spans="1:21">
      <c r="A4" s="9"/>
      <c r="F4" s="245"/>
      <c r="G4" s="23"/>
      <c r="H4" s="19"/>
      <c r="J4" s="19"/>
      <c r="K4" s="137"/>
      <c r="Q4" s="18">
        <v>1.05</v>
      </c>
    </row>
    <row r="5" spans="1:21" ht="18">
      <c r="A5" s="9"/>
      <c r="B5" s="253" t="s">
        <v>678</v>
      </c>
      <c r="C5" s="131"/>
      <c r="D5" s="131"/>
      <c r="E5" s="131"/>
      <c r="F5" s="252" t="str">
        <f>"~FI_T: "&amp;Region</f>
        <v>~FI_T: FIM</v>
      </c>
    </row>
    <row r="6" spans="1:21" ht="39" thickBot="1">
      <c r="A6" s="9"/>
      <c r="B6" s="52" t="s">
        <v>57</v>
      </c>
      <c r="C6" s="52" t="s">
        <v>58</v>
      </c>
      <c r="D6" s="52" t="s">
        <v>56</v>
      </c>
      <c r="E6" s="52" t="s">
        <v>59</v>
      </c>
      <c r="F6" s="52" t="s">
        <v>385</v>
      </c>
      <c r="G6" s="52" t="s">
        <v>661</v>
      </c>
      <c r="H6" s="52" t="s">
        <v>734</v>
      </c>
      <c r="I6" s="52" t="s">
        <v>976</v>
      </c>
      <c r="J6" s="52" t="s">
        <v>534</v>
      </c>
      <c r="K6" s="52" t="s">
        <v>535</v>
      </c>
      <c r="L6" s="52" t="s">
        <v>536</v>
      </c>
      <c r="M6" s="278" t="str">
        <f ca="1">"Share~UP~"&amp;AuxYear</f>
        <v>Share~UP~2017</v>
      </c>
      <c r="N6" s="278" t="str">
        <f ca="1">"Share~UP~"&amp;CEILING(AuxYear+2,5)</f>
        <v>Share~UP~2020</v>
      </c>
      <c r="O6" s="52" t="s">
        <v>802</v>
      </c>
      <c r="P6" s="52" t="str">
        <f ca="1">"ACT_BND~UP~"&amp;AuxYear</f>
        <v>ACT_BND~UP~2017</v>
      </c>
      <c r="Q6" s="52" t="s">
        <v>803</v>
      </c>
      <c r="R6" s="52" t="s">
        <v>804</v>
      </c>
      <c r="S6" s="335" t="str">
        <f ca="1">"ACT_BND~LO~"&amp;CEILING(AuxYear+2,5)</f>
        <v>ACT_BND~LO~2020</v>
      </c>
      <c r="T6" s="52" t="s">
        <v>826</v>
      </c>
      <c r="U6" s="52" t="s">
        <v>827</v>
      </c>
    </row>
    <row r="7" spans="1:21">
      <c r="A7" s="9"/>
      <c r="B7" s="12" t="str">
        <f>CONCATENATE("FT-",E10,"0")</f>
        <v>FT-COMNGA0</v>
      </c>
      <c r="C7" s="404" t="s">
        <v>530</v>
      </c>
      <c r="D7" s="139" t="str">
        <f ca="1">IEAData2!D99</f>
        <v>GASNGA</v>
      </c>
      <c r="E7" s="12"/>
      <c r="F7" s="12"/>
      <c r="G7" s="139">
        <v>1</v>
      </c>
      <c r="H7" s="97">
        <f ca="1">IF(IEAData2!$G$99&lt;=0,1,IEAData2!B99/IEAData2!$G$99)+0.004</f>
        <v>1.004</v>
      </c>
      <c r="I7" s="97">
        <f ca="1">IF(AuxData2!$G$99&lt;=0,1,AuxData2!C99/AuxData2!$G$99)+0.004</f>
        <v>1.004</v>
      </c>
      <c r="J7" s="140">
        <v>1</v>
      </c>
      <c r="K7" s="140">
        <v>1</v>
      </c>
      <c r="L7" s="18"/>
      <c r="M7" s="40">
        <v>1</v>
      </c>
      <c r="N7" s="40">
        <v>1</v>
      </c>
      <c r="O7" s="139">
        <f ca="1">IEAData2!$G$99*COM_Fuels2!$Q$4</f>
        <v>0.3402</v>
      </c>
      <c r="P7" s="139">
        <f ca="1">AuxData2!$G$99*COM_Fuels2!$Q$4</f>
        <v>0.3402</v>
      </c>
      <c r="Q7" s="139">
        <f>P7*$Q$4</f>
        <v>0.35721000000000003</v>
      </c>
      <c r="R7" s="139">
        <f>Q7*$Q$4</f>
        <v>0.37507050000000003</v>
      </c>
      <c r="S7" s="336"/>
      <c r="T7" s="139"/>
      <c r="U7" s="139"/>
    </row>
    <row r="8" spans="1:21">
      <c r="A8" s="9"/>
      <c r="B8" s="12"/>
      <c r="C8" s="378"/>
      <c r="D8" s="139" t="str">
        <f ca="1">IEAData2!D100</f>
        <v>GASGWG</v>
      </c>
      <c r="E8" s="12"/>
      <c r="F8" s="12"/>
      <c r="G8" s="139"/>
      <c r="H8" s="97">
        <f ca="1">IF(IEAData2!$G$99&lt;=0,0,IEAData2!B100/IEAData2!$G$99)</f>
        <v>0</v>
      </c>
      <c r="I8" s="97">
        <f ca="1">IF(AuxData2!$G$99&lt;=0,0,AuxData2!C100/AuxData2!$G$99)</f>
        <v>0</v>
      </c>
      <c r="J8" s="140"/>
      <c r="K8" s="140"/>
      <c r="L8" s="18"/>
      <c r="M8" s="40">
        <f>I8</f>
        <v>0</v>
      </c>
      <c r="N8" s="40">
        <f>I8</f>
        <v>0</v>
      </c>
      <c r="O8" s="36"/>
      <c r="P8" s="36"/>
      <c r="Q8" s="12"/>
      <c r="R8" s="12"/>
      <c r="S8" s="337"/>
      <c r="T8" s="12"/>
      <c r="U8" s="12"/>
    </row>
    <row r="9" spans="1:21">
      <c r="A9" s="9"/>
      <c r="B9" s="12"/>
      <c r="C9" s="378"/>
      <c r="D9" s="139" t="s">
        <v>1009</v>
      </c>
      <c r="E9" s="12"/>
      <c r="F9" s="12"/>
      <c r="G9" s="139"/>
      <c r="H9" s="97">
        <f ca="1">IF(IEAData2!$G$99&lt;=0,0,IEAData2!B114/IEAData2!$G$99)</f>
        <v>0</v>
      </c>
      <c r="I9" s="97">
        <f ca="1">IF(AuxData2!$G$99&lt;=0,0,AuxData2!C114/AuxData2!$G$99)</f>
        <v>0</v>
      </c>
      <c r="J9" s="140"/>
      <c r="K9" s="140"/>
      <c r="L9" s="18"/>
      <c r="M9" s="40">
        <f>I9</f>
        <v>0</v>
      </c>
      <c r="N9" s="40">
        <f>I9^0.68</f>
        <v>0</v>
      </c>
      <c r="O9" s="36"/>
      <c r="P9" s="36"/>
      <c r="Q9" s="12"/>
      <c r="R9" s="12"/>
      <c r="S9" s="337"/>
      <c r="T9" s="12"/>
      <c r="U9" s="12"/>
    </row>
    <row r="10" spans="1:21">
      <c r="A10" s="9"/>
      <c r="B10" s="247"/>
      <c r="C10" s="460"/>
      <c r="D10" s="142"/>
      <c r="E10" s="142" t="str">
        <f ca="1">IEAData2!H99</f>
        <v>COMNGA</v>
      </c>
      <c r="F10" s="142" t="s">
        <v>158</v>
      </c>
      <c r="G10" s="143"/>
      <c r="H10" s="144"/>
      <c r="I10" s="144"/>
      <c r="J10" s="145"/>
      <c r="K10" s="145"/>
      <c r="L10" s="146"/>
      <c r="M10" s="146"/>
      <c r="N10" s="146"/>
      <c r="O10" s="142"/>
      <c r="P10" s="142"/>
      <c r="Q10" s="142"/>
      <c r="R10" s="142"/>
      <c r="S10" s="338"/>
      <c r="T10" s="142"/>
      <c r="U10" s="142"/>
    </row>
    <row r="11" spans="1:21">
      <c r="A11" s="149"/>
      <c r="B11" s="12" t="str">
        <f>CONCATENATE("FT-",E15,"0")</f>
        <v>FT-COMDST0</v>
      </c>
      <c r="C11" s="378" t="s">
        <v>159</v>
      </c>
      <c r="D11" s="139" t="str">
        <f ca="1">IEAData2!D102</f>
        <v>OILDST</v>
      </c>
      <c r="E11" s="12"/>
      <c r="F11" s="12"/>
      <c r="G11" s="139">
        <v>1</v>
      </c>
      <c r="H11" s="97">
        <f ca="1">IF(IEAData2!$G$100&lt;=0,1,IEAData2!B102/IEAData2!$G$100)+0.004</f>
        <v>1.004</v>
      </c>
      <c r="I11" s="97">
        <f ca="1">IF(AuxData2!$G$100&lt;=0,1,AuxData2!C102/AuxData2!$G$100)+0.004</f>
        <v>1.004</v>
      </c>
      <c r="J11" s="140">
        <v>1</v>
      </c>
      <c r="K11" s="140">
        <v>1</v>
      </c>
      <c r="L11" s="18"/>
      <c r="M11" s="40">
        <v>1</v>
      </c>
      <c r="N11" s="40">
        <v>1</v>
      </c>
      <c r="O11" s="139">
        <f ca="1">IEAData2!$G$100*COM_Fuels2!$Q$4</f>
        <v>0.52173067948659824</v>
      </c>
      <c r="P11" s="139">
        <f ca="1">MAX(O11,AuxData2!$G$100*COM_Fuels2!$Q$4)</f>
        <v>0.63525715597625276</v>
      </c>
      <c r="Q11" s="139">
        <f ca="1">P11*$Q$4</f>
        <v>0.66702001377506548</v>
      </c>
      <c r="R11" s="139">
        <f ca="1">Q11*$Q$4</f>
        <v>0.70037101446381878</v>
      </c>
      <c r="S11" s="336">
        <f ca="1">AuxData2!$G$100*0.93^(2020-AuxYear)</f>
        <v>0.48664146686627696</v>
      </c>
      <c r="T11" s="139">
        <f>S11*0.94^30</f>
        <v>7.6040457391024996E-2</v>
      </c>
      <c r="U11" s="139">
        <v>1</v>
      </c>
    </row>
    <row r="12" spans="1:21">
      <c r="A12" s="149"/>
      <c r="B12" s="12"/>
      <c r="C12" s="378"/>
      <c r="D12" s="139" t="str">
        <f ca="1">IEAData2!D105</f>
        <v>OILGSL</v>
      </c>
      <c r="E12" s="12"/>
      <c r="F12" s="12"/>
      <c r="G12" s="148"/>
      <c r="H12" s="97">
        <f ca="1">IF(IEAData2!$G$100&lt;=0,0,IEAData2!B105/IEAData2!$G$100)</f>
        <v>0</v>
      </c>
      <c r="I12" s="97">
        <f ca="1">IF(AuxData2!$G$100&lt;=0,0,AuxData2!C105/AuxData2!$G$100)</f>
        <v>0</v>
      </c>
      <c r="J12" s="140"/>
      <c r="K12" s="140"/>
      <c r="L12" s="18"/>
      <c r="M12" s="40">
        <f>I12</f>
        <v>0</v>
      </c>
      <c r="N12" s="40">
        <f>I12</f>
        <v>0</v>
      </c>
      <c r="O12" s="12"/>
      <c r="P12" s="12"/>
      <c r="Q12" s="12"/>
      <c r="R12" s="12"/>
      <c r="S12" s="337"/>
      <c r="T12" s="12"/>
      <c r="U12" s="12"/>
    </row>
    <row r="13" spans="1:21">
      <c r="A13" s="149"/>
      <c r="B13" s="12"/>
      <c r="C13" s="378"/>
      <c r="D13" s="139" t="str">
        <f ca="1">IEAData2!D106</f>
        <v>OILNSP</v>
      </c>
      <c r="E13" s="12"/>
      <c r="F13" s="12"/>
      <c r="G13" s="148"/>
      <c r="H13" s="97"/>
      <c r="I13" s="97"/>
      <c r="J13" s="140"/>
      <c r="K13" s="140"/>
      <c r="L13" s="18"/>
      <c r="M13" s="40">
        <f>I13</f>
        <v>0</v>
      </c>
      <c r="N13" s="40">
        <f>I13</f>
        <v>0</v>
      </c>
      <c r="O13" s="12"/>
      <c r="P13" s="12"/>
      <c r="Q13" s="12"/>
      <c r="R13" s="12"/>
      <c r="S13" s="337"/>
      <c r="T13" s="12"/>
      <c r="U13" s="12"/>
    </row>
    <row r="14" spans="1:21">
      <c r="A14" s="149"/>
      <c r="B14" s="12"/>
      <c r="C14" s="378"/>
      <c r="D14" s="139" t="s">
        <v>742</v>
      </c>
      <c r="E14" s="12"/>
      <c r="F14" s="12"/>
      <c r="G14" s="148"/>
      <c r="H14" s="97"/>
      <c r="I14" s="97"/>
      <c r="J14" s="140"/>
      <c r="K14" s="140"/>
      <c r="L14" s="18"/>
      <c r="M14" s="40"/>
      <c r="N14" s="40"/>
      <c r="O14" s="12"/>
      <c r="P14" s="12"/>
      <c r="Q14" s="12"/>
      <c r="R14" s="12"/>
      <c r="S14" s="337"/>
      <c r="T14" s="12"/>
      <c r="U14" s="12"/>
    </row>
    <row r="15" spans="1:21">
      <c r="A15" s="149"/>
      <c r="B15" s="247"/>
      <c r="C15" s="460"/>
      <c r="D15" s="142"/>
      <c r="E15" s="142" t="str">
        <f ca="1">IEAData2!H100</f>
        <v>COMDST</v>
      </c>
      <c r="F15" s="142" t="s">
        <v>160</v>
      </c>
      <c r="G15" s="143"/>
      <c r="H15" s="144"/>
      <c r="I15" s="144"/>
      <c r="J15" s="145"/>
      <c r="K15" s="145"/>
      <c r="L15" s="146"/>
      <c r="M15" s="146"/>
      <c r="N15" s="146"/>
      <c r="O15" s="142"/>
      <c r="P15" s="142"/>
      <c r="Q15" s="142"/>
      <c r="R15" s="142"/>
      <c r="S15" s="338"/>
      <c r="T15" s="142"/>
      <c r="U15" s="142"/>
    </row>
    <row r="16" spans="1:21">
      <c r="A16" s="149"/>
      <c r="B16" s="12" t="str">
        <f>CONCATENATE("FT-",E17,"0")</f>
        <v>FT-COMHFO0</v>
      </c>
      <c r="C16" s="378" t="s">
        <v>161</v>
      </c>
      <c r="D16" s="139" t="str">
        <f ca="1">IEAData2!D103</f>
        <v>OILHFO</v>
      </c>
      <c r="E16" s="12"/>
      <c r="F16" s="12"/>
      <c r="G16" s="139">
        <v>1</v>
      </c>
      <c r="H16" s="97"/>
      <c r="I16" s="97"/>
      <c r="J16" s="140">
        <v>1</v>
      </c>
      <c r="K16" s="140">
        <v>1</v>
      </c>
      <c r="L16" s="18"/>
      <c r="M16" s="40"/>
      <c r="N16" s="40"/>
      <c r="O16" s="139">
        <f ca="1">IEAData2!$G$101*COM_Fuels2!$Q$4</f>
        <v>0</v>
      </c>
      <c r="P16" s="139">
        <f ca="1">AuxData2!$G$101*COM_Fuels2!$Q$4</f>
        <v>0</v>
      </c>
      <c r="Q16" s="139">
        <f>P16*$Q$4</f>
        <v>0</v>
      </c>
      <c r="R16" s="139">
        <f>Q16*$Q$4</f>
        <v>0</v>
      </c>
      <c r="S16" s="336"/>
      <c r="T16" s="139"/>
      <c r="U16" s="139"/>
    </row>
    <row r="17" spans="1:21">
      <c r="A17" s="149"/>
      <c r="B17" s="142"/>
      <c r="C17" s="460"/>
      <c r="D17" s="142"/>
      <c r="E17" s="142" t="str">
        <f ca="1">IEAData2!H101</f>
        <v>COMHFO</v>
      </c>
      <c r="F17" s="142" t="s">
        <v>162</v>
      </c>
      <c r="G17" s="143"/>
      <c r="H17" s="144"/>
      <c r="I17" s="144"/>
      <c r="J17" s="145"/>
      <c r="K17" s="145"/>
      <c r="L17" s="146"/>
      <c r="M17" s="146"/>
      <c r="N17" s="146"/>
      <c r="O17" s="142"/>
      <c r="P17" s="142"/>
      <c r="Q17" s="142"/>
      <c r="R17" s="142"/>
      <c r="S17" s="338"/>
      <c r="T17" s="142"/>
      <c r="U17" s="142"/>
    </row>
    <row r="18" spans="1:21">
      <c r="A18" s="149"/>
      <c r="B18" s="12" t="str">
        <f>CONCATENATE("FT-",E19,"0")</f>
        <v>FT-COMKER0</v>
      </c>
      <c r="C18" s="378" t="s">
        <v>163</v>
      </c>
      <c r="D18" s="139" t="str">
        <f ca="1">IEAData2!D104</f>
        <v>OILKER</v>
      </c>
      <c r="E18" s="12"/>
      <c r="F18" s="12"/>
      <c r="G18" s="139">
        <v>1</v>
      </c>
      <c r="H18" s="97"/>
      <c r="I18" s="97"/>
      <c r="J18" s="140">
        <v>1</v>
      </c>
      <c r="K18" s="140">
        <v>1</v>
      </c>
      <c r="L18" s="18"/>
      <c r="M18" s="18"/>
      <c r="N18" s="18"/>
      <c r="O18" s="139">
        <f ca="1">IEAData2!$G$102*COM_Fuels2!$Q$4</f>
        <v>0</v>
      </c>
      <c r="P18" s="139">
        <f ca="1">MAX(O18,AuxData2!$G$102*COM_Fuels2!$Q$4)</f>
        <v>0</v>
      </c>
      <c r="Q18" s="139">
        <f>P18*$Q$4</f>
        <v>0</v>
      </c>
      <c r="R18" s="139">
        <f>Q18*$Q$4</f>
        <v>0</v>
      </c>
      <c r="S18" s="336">
        <f ca="1">O18*0.967^(2020-BaseYear)</f>
        <v>0</v>
      </c>
      <c r="T18" s="139">
        <f>S18*0.965^30</f>
        <v>0</v>
      </c>
      <c r="U18" s="139">
        <v>1</v>
      </c>
    </row>
    <row r="19" spans="1:21">
      <c r="A19" s="149"/>
      <c r="B19" s="142"/>
      <c r="C19" s="460"/>
      <c r="D19" s="142"/>
      <c r="E19" s="142" t="str">
        <f ca="1">IEAData2!H102</f>
        <v>COMKER</v>
      </c>
      <c r="F19" s="142" t="s">
        <v>164</v>
      </c>
      <c r="G19" s="143"/>
      <c r="H19" s="144"/>
      <c r="I19" s="144"/>
      <c r="J19" s="145"/>
      <c r="K19" s="145"/>
      <c r="L19" s="146"/>
      <c r="M19" s="146"/>
      <c r="N19" s="146"/>
      <c r="O19" s="142"/>
      <c r="P19" s="142"/>
      <c r="Q19" s="142"/>
      <c r="R19" s="142"/>
      <c r="S19" s="338"/>
      <c r="T19" s="142"/>
      <c r="U19" s="142"/>
    </row>
    <row r="20" spans="1:21">
      <c r="A20" s="9"/>
      <c r="B20" s="12" t="str">
        <f>CONCATENATE("FT-",E23,"0")</f>
        <v>FT-COMCOP0</v>
      </c>
      <c r="C20" s="378" t="s">
        <v>1036</v>
      </c>
      <c r="D20" s="139" t="str">
        <f ca="1">IEAData2!D107</f>
        <v>COAHCO</v>
      </c>
      <c r="E20" s="12"/>
      <c r="F20" s="12"/>
      <c r="G20" s="139">
        <v>1</v>
      </c>
      <c r="H20" s="97">
        <f ca="1">IF(IEAData2!$G$103&lt;=0,1,IEAData2!B107/IEAData2!$G$103)</f>
        <v>1</v>
      </c>
      <c r="I20" s="97">
        <f ca="1">IF(AuxData2!$G$103&lt;=0,1,AuxData2!C107/AuxData2!$G$103)</f>
        <v>1</v>
      </c>
      <c r="J20" s="140">
        <v>1</v>
      </c>
      <c r="K20" s="140">
        <v>1</v>
      </c>
      <c r="L20" s="18"/>
      <c r="M20" s="40">
        <f>I20</f>
        <v>1</v>
      </c>
      <c r="N20" s="40">
        <f>MIN(1,MAX(I20*2,0.1))</f>
        <v>1</v>
      </c>
      <c r="O20" s="139">
        <f ca="1">IEAData2!$G$103*COM_Fuels2!$Q$4</f>
        <v>0</v>
      </c>
      <c r="P20" s="139">
        <f ca="1">AuxData2!$G$103*COM_Fuels2!$Q$4</f>
        <v>0</v>
      </c>
      <c r="Q20" s="139">
        <f>P20*$Q$4</f>
        <v>0</v>
      </c>
      <c r="R20" s="139">
        <f>Q20*$Q$4</f>
        <v>0</v>
      </c>
      <c r="S20" s="336"/>
      <c r="T20" s="139"/>
      <c r="U20" s="139"/>
    </row>
    <row r="21" spans="1:21">
      <c r="A21" s="9"/>
      <c r="B21" s="12"/>
      <c r="C21" s="378"/>
      <c r="D21" s="139" t="str">
        <f ca="1">IEAData2!D108</f>
        <v>COABCO</v>
      </c>
      <c r="E21" s="12"/>
      <c r="F21" s="12"/>
      <c r="G21" s="148"/>
      <c r="H21" s="97">
        <f ca="1">IF(IEAData2!$G$103&lt;=0,0,IEAData2!B108/IEAData2!$G$103)</f>
        <v>0</v>
      </c>
      <c r="I21" s="97">
        <f ca="1">IF(AuxData2!$G$103&lt;=0,0,AuxData2!C108/AuxData2!$G$103)+0.004</f>
        <v>4.0000000000000001E-3</v>
      </c>
      <c r="J21" s="140"/>
      <c r="K21" s="140"/>
      <c r="L21" s="18"/>
      <c r="M21" s="40">
        <f>I21</f>
        <v>4.0000000000000001E-3</v>
      </c>
      <c r="N21" s="40">
        <f>I21</f>
        <v>4.0000000000000001E-3</v>
      </c>
      <c r="O21" s="12"/>
      <c r="P21" s="12"/>
      <c r="Q21" s="12"/>
      <c r="R21" s="12"/>
      <c r="S21" s="337"/>
      <c r="T21" s="12"/>
      <c r="U21" s="12"/>
    </row>
    <row r="22" spans="1:21">
      <c r="A22" s="9"/>
      <c r="B22" s="12"/>
      <c r="C22" s="378"/>
      <c r="D22" s="139" t="str">
        <f ca="1">IEAData2!D109</f>
        <v>COAOVC</v>
      </c>
      <c r="E22" s="12"/>
      <c r="F22" s="12"/>
      <c r="G22" s="148"/>
      <c r="H22" s="97">
        <f ca="1">IF(IEAData2!$G$103&lt;=0,0,IEAData2!B109/IEAData2!$G$103)</f>
        <v>0</v>
      </c>
      <c r="I22" s="97">
        <f ca="1">IF(AuxData2!$G$103&lt;=0,0,AuxData2!C109/AuxData2!$G$103)</f>
        <v>0</v>
      </c>
      <c r="J22" s="140"/>
      <c r="K22" s="140"/>
      <c r="L22" s="18"/>
      <c r="M22" s="40">
        <f>I22</f>
        <v>0</v>
      </c>
      <c r="N22" s="40">
        <f>I22</f>
        <v>0</v>
      </c>
      <c r="O22" s="12"/>
      <c r="P22" s="12"/>
      <c r="Q22" s="12"/>
      <c r="R22" s="12"/>
      <c r="S22" s="337"/>
      <c r="T22" s="12"/>
      <c r="U22" s="12"/>
    </row>
    <row r="23" spans="1:21">
      <c r="A23" s="9"/>
      <c r="B23" s="247"/>
      <c r="C23" s="460"/>
      <c r="D23" s="142"/>
      <c r="E23" s="142" t="str">
        <f ca="1">IEAData2!H103</f>
        <v>COMCOP</v>
      </c>
      <c r="F23" s="142" t="s">
        <v>1029</v>
      </c>
      <c r="G23" s="143"/>
      <c r="H23" s="144"/>
      <c r="I23" s="144"/>
      <c r="J23" s="145"/>
      <c r="K23" s="145"/>
      <c r="L23" s="146"/>
      <c r="M23" s="146"/>
      <c r="N23" s="146"/>
      <c r="O23" s="142"/>
      <c r="P23" s="142"/>
      <c r="Q23" s="142"/>
      <c r="R23" s="142"/>
      <c r="S23" s="338"/>
      <c r="T23" s="142"/>
      <c r="U23" s="142"/>
    </row>
    <row r="24" spans="1:21">
      <c r="A24" s="9"/>
      <c r="B24" s="12" t="str">
        <f>CONCATENATE("FT-",E25,"0")</f>
        <v>FT-COMLPG0</v>
      </c>
      <c r="C24" s="378" t="s">
        <v>166</v>
      </c>
      <c r="D24" s="139" t="str">
        <f ca="1">IEAData2!D110</f>
        <v>OILLPG</v>
      </c>
      <c r="E24" s="12"/>
      <c r="F24" s="12"/>
      <c r="G24" s="139">
        <v>1</v>
      </c>
      <c r="H24" s="97"/>
      <c r="I24" s="97"/>
      <c r="J24" s="140">
        <v>1</v>
      </c>
      <c r="K24" s="140">
        <v>1</v>
      </c>
      <c r="L24" s="18"/>
      <c r="M24" s="18"/>
      <c r="N24" s="18"/>
      <c r="O24" s="139">
        <f ca="1">IEAData2!$G$104*COM_Fuels2!$Q$4</f>
        <v>0</v>
      </c>
      <c r="P24" s="139">
        <f ca="1">MAX(O24,AuxData2!$G$104*COM_Fuels2!$Q$4)</f>
        <v>0</v>
      </c>
      <c r="Q24" s="139">
        <f>P24*$Q$4</f>
        <v>0</v>
      </c>
      <c r="R24" s="139">
        <f>Q24*$Q$4</f>
        <v>0</v>
      </c>
      <c r="S24" s="336">
        <f ca="1">O24*0.967^(2020-BaseYear)</f>
        <v>0</v>
      </c>
      <c r="T24" s="139">
        <f>S24*0.965^30</f>
        <v>0</v>
      </c>
      <c r="U24" s="139">
        <v>1</v>
      </c>
    </row>
    <row r="25" spans="1:21">
      <c r="A25" s="9"/>
      <c r="B25" s="247"/>
      <c r="C25" s="460"/>
      <c r="D25" s="142"/>
      <c r="E25" s="142" t="str">
        <f ca="1">IEAData2!H104</f>
        <v>COMLPG</v>
      </c>
      <c r="F25" s="142" t="s">
        <v>167</v>
      </c>
      <c r="G25" s="143"/>
      <c r="H25" s="144"/>
      <c r="I25" s="144"/>
      <c r="J25" s="145"/>
      <c r="K25" s="145"/>
      <c r="L25" s="146"/>
      <c r="M25" s="146"/>
      <c r="N25" s="146"/>
      <c r="O25" s="142"/>
      <c r="P25" s="142"/>
      <c r="Q25" s="142"/>
      <c r="R25" s="142"/>
      <c r="S25" s="338"/>
      <c r="T25" s="142"/>
      <c r="U25" s="142"/>
    </row>
    <row r="26" spans="1:21">
      <c r="A26" s="9"/>
      <c r="B26" s="12" t="str">
        <f>CONCATENATE("FT-",E28,"0")</f>
        <v>FT-COMBIO0</v>
      </c>
      <c r="C26" s="378" t="s">
        <v>168</v>
      </c>
      <c r="D26" s="139" t="s">
        <v>943</v>
      </c>
      <c r="E26" s="12"/>
      <c r="F26" s="12"/>
      <c r="G26" s="139">
        <v>1</v>
      </c>
      <c r="H26" s="97"/>
      <c r="I26" s="97"/>
      <c r="J26" s="140">
        <v>1</v>
      </c>
      <c r="K26" s="140">
        <v>1</v>
      </c>
      <c r="L26" s="18"/>
      <c r="M26" s="40">
        <v>1</v>
      </c>
      <c r="N26" s="40">
        <v>1</v>
      </c>
      <c r="O26" s="139">
        <f ca="1">IEAData2!$G$105*COM_Fuels2!$Q$4</f>
        <v>0</v>
      </c>
      <c r="P26" s="139">
        <f ca="1">AuxData2!$G$105*COM_Fuels2!$Q$4</f>
        <v>5.67E-2</v>
      </c>
      <c r="Q26" s="139">
        <f>P26*$Q$4</f>
        <v>5.9535000000000005E-2</v>
      </c>
      <c r="R26" s="139">
        <f>Q26*$Q$4</f>
        <v>6.2511750000000005E-2</v>
      </c>
      <c r="S26" s="336"/>
      <c r="T26" s="139"/>
      <c r="U26" s="139"/>
    </row>
    <row r="27" spans="1:21">
      <c r="A27" s="9"/>
      <c r="B27" s="12"/>
      <c r="C27" s="378"/>
      <c r="D27" s="139" t="s">
        <v>929</v>
      </c>
      <c r="E27" s="12"/>
      <c r="F27" s="12"/>
      <c r="G27" s="139"/>
      <c r="H27" s="97"/>
      <c r="I27" s="97"/>
      <c r="J27" s="140"/>
      <c r="K27" s="140"/>
      <c r="L27" s="18"/>
      <c r="M27" s="40"/>
      <c r="N27" s="40"/>
      <c r="O27" s="12"/>
      <c r="P27" s="12"/>
      <c r="Q27" s="12"/>
      <c r="R27" s="12"/>
      <c r="S27" s="337"/>
      <c r="T27" s="12"/>
      <c r="U27" s="12"/>
    </row>
    <row r="28" spans="1:21">
      <c r="A28" s="9"/>
      <c r="B28" s="247"/>
      <c r="C28" s="460"/>
      <c r="D28" s="142"/>
      <c r="E28" s="142" t="str">
        <f ca="1">IEAData2!H105</f>
        <v>COMBIO</v>
      </c>
      <c r="F28" s="142" t="s">
        <v>169</v>
      </c>
      <c r="G28" s="143"/>
      <c r="H28" s="144"/>
      <c r="I28" s="144"/>
      <c r="J28" s="145"/>
      <c r="K28" s="145"/>
      <c r="L28" s="146"/>
      <c r="M28" s="146"/>
      <c r="N28" s="146"/>
      <c r="O28" s="142"/>
      <c r="P28" s="142"/>
      <c r="Q28" s="142"/>
      <c r="R28" s="142"/>
      <c r="S28" s="338"/>
      <c r="T28" s="142"/>
      <c r="U28" s="142"/>
    </row>
    <row r="29" spans="1:21">
      <c r="A29" s="9"/>
      <c r="B29" s="12" t="str">
        <f>CONCATENATE("FT-",E30,"0")</f>
        <v>FT-COMGEO0</v>
      </c>
      <c r="C29" s="378" t="s">
        <v>170</v>
      </c>
      <c r="D29" s="139" t="str">
        <f ca="1">IEAData2!D119</f>
        <v>GEO</v>
      </c>
      <c r="E29" s="12"/>
      <c r="F29" s="12"/>
      <c r="G29" s="139">
        <v>1</v>
      </c>
      <c r="H29" s="97"/>
      <c r="I29" s="97"/>
      <c r="J29" s="140">
        <v>1</v>
      </c>
      <c r="K29" s="140">
        <v>1</v>
      </c>
      <c r="L29" s="18"/>
      <c r="M29" s="18"/>
      <c r="N29" s="18"/>
      <c r="O29" s="139">
        <f ca="1">IEAData2!$G$108*COM_Fuels2!$Q$4</f>
        <v>0</v>
      </c>
      <c r="P29" s="139">
        <f ca="1">AuxData2!$G$108*COM_Fuels2!$Q$4</f>
        <v>0</v>
      </c>
      <c r="Q29" s="139">
        <f>P29*$Q$4</f>
        <v>0</v>
      </c>
      <c r="R29" s="139">
        <f>Q29*$Q$4</f>
        <v>0</v>
      </c>
      <c r="S29" s="336"/>
      <c r="T29" s="139"/>
      <c r="U29" s="139"/>
    </row>
    <row r="30" spans="1:21">
      <c r="A30" s="9"/>
      <c r="B30" s="247"/>
      <c r="C30" s="460"/>
      <c r="D30" s="142"/>
      <c r="E30" s="142" t="str">
        <f ca="1">IEAData2!H108</f>
        <v>COMGEO</v>
      </c>
      <c r="F30" s="142" t="s">
        <v>171</v>
      </c>
      <c r="G30" s="143"/>
      <c r="H30" s="144"/>
      <c r="I30" s="144"/>
      <c r="J30" s="145"/>
      <c r="K30" s="145"/>
      <c r="L30" s="146"/>
      <c r="M30" s="146"/>
      <c r="N30" s="146"/>
      <c r="O30" s="142"/>
      <c r="P30" s="142"/>
      <c r="Q30" s="142"/>
      <c r="R30" s="142"/>
      <c r="S30" s="338"/>
      <c r="T30" s="142"/>
      <c r="U30" s="142"/>
    </row>
    <row r="31" spans="1:21">
      <c r="A31" s="9"/>
      <c r="B31" s="12" t="str">
        <f>CONCATENATE("FT-",E32,"0")</f>
        <v>FT-COMSOL0</v>
      </c>
      <c r="C31" s="378" t="s">
        <v>172</v>
      </c>
      <c r="D31" s="139" t="str">
        <f ca="1">IEAData2!D120</f>
        <v>SOL</v>
      </c>
      <c r="E31" s="12"/>
      <c r="F31" s="12"/>
      <c r="G31" s="139">
        <v>1</v>
      </c>
      <c r="H31" s="97"/>
      <c r="I31" s="97"/>
      <c r="J31" s="140">
        <v>1</v>
      </c>
      <c r="K31" s="140">
        <v>1</v>
      </c>
      <c r="L31" s="18"/>
      <c r="M31" s="18"/>
      <c r="N31" s="18"/>
      <c r="O31" s="139">
        <f ca="1">IEAData2!$G$109*COM_Fuels2!$Q$4</f>
        <v>0</v>
      </c>
      <c r="P31" s="139">
        <f ca="1">AuxData2!$G$109*COM_Fuels2!$Q$4</f>
        <v>0</v>
      </c>
      <c r="Q31" s="139">
        <f>P31*$Q$4</f>
        <v>0</v>
      </c>
      <c r="R31" s="139">
        <f>Q31*$Q$4</f>
        <v>0</v>
      </c>
      <c r="S31" s="336"/>
      <c r="T31" s="139"/>
      <c r="U31" s="139"/>
    </row>
    <row r="32" spans="1:21">
      <c r="A32" s="9"/>
      <c r="B32" s="142"/>
      <c r="C32" s="460"/>
      <c r="D32" s="142"/>
      <c r="E32" s="142" t="str">
        <f ca="1">IEAData2!H109</f>
        <v>COMSOL</v>
      </c>
      <c r="F32" s="142" t="s">
        <v>173</v>
      </c>
      <c r="G32" s="143"/>
      <c r="H32" s="144"/>
      <c r="I32" s="144"/>
      <c r="J32" s="145"/>
      <c r="K32" s="145"/>
      <c r="L32" s="146"/>
      <c r="M32" s="146"/>
      <c r="N32" s="146"/>
      <c r="O32" s="142"/>
      <c r="P32" s="142"/>
      <c r="Q32" s="142"/>
      <c r="R32" s="142"/>
      <c r="S32" s="338"/>
      <c r="T32" s="142"/>
      <c r="U32" s="142"/>
    </row>
    <row r="33" spans="1:19">
      <c r="A33" s="9"/>
      <c r="B33" s="22"/>
      <c r="C33" s="2"/>
      <c r="D33" s="22"/>
      <c r="E33" s="22"/>
      <c r="F33" s="22"/>
      <c r="G33" s="23"/>
      <c r="H33" s="19"/>
      <c r="J33" s="19"/>
      <c r="K33" s="137"/>
    </row>
    <row r="34" spans="1:19">
      <c r="A34" s="9"/>
      <c r="B34" s="22"/>
      <c r="C34" s="2"/>
      <c r="D34" s="22"/>
      <c r="E34" s="22"/>
      <c r="F34" s="22"/>
      <c r="G34" s="23"/>
      <c r="H34" s="19"/>
      <c r="I34" s="19"/>
      <c r="J34" s="137"/>
    </row>
    <row r="35" spans="1:19">
      <c r="C35" s="35"/>
      <c r="F35" s="245"/>
    </row>
    <row r="36" spans="1:19" ht="18">
      <c r="A36" s="9"/>
      <c r="B36" s="253" t="s">
        <v>590</v>
      </c>
      <c r="C36" s="1"/>
      <c r="D36" s="136"/>
      <c r="E36" s="136"/>
      <c r="F36" s="136"/>
      <c r="G36" s="252" t="str">
        <f>"~FI_T: "&amp;Region</f>
        <v>~FI_T: FIM</v>
      </c>
    </row>
    <row r="37" spans="1:19" ht="26.25" thickBot="1">
      <c r="A37" s="9"/>
      <c r="B37" s="52" t="s">
        <v>57</v>
      </c>
      <c r="C37" s="496" t="s">
        <v>58</v>
      </c>
      <c r="D37" s="52" t="s">
        <v>56</v>
      </c>
      <c r="E37" s="52" t="s">
        <v>59</v>
      </c>
      <c r="F37" s="52" t="s">
        <v>385</v>
      </c>
      <c r="G37" s="52" t="s">
        <v>741</v>
      </c>
      <c r="H37" s="52" t="s">
        <v>661</v>
      </c>
      <c r="I37" s="52" t="s">
        <v>861</v>
      </c>
      <c r="J37" s="52" t="s">
        <v>534</v>
      </c>
      <c r="K37" s="52" t="s">
        <v>956</v>
      </c>
      <c r="L37" s="52" t="s">
        <v>536</v>
      </c>
      <c r="M37" s="52" t="s">
        <v>537</v>
      </c>
      <c r="N37" s="52" t="s">
        <v>88</v>
      </c>
      <c r="O37" s="52" t="s">
        <v>538</v>
      </c>
      <c r="P37" s="52" t="s">
        <v>880</v>
      </c>
    </row>
    <row r="38" spans="1:19">
      <c r="A38" s="13"/>
      <c r="B38" s="12" t="str">
        <f>CONCATENATE("FT-",E39,"0")</f>
        <v>FT-COMELC0</v>
      </c>
      <c r="C38" s="378" t="s">
        <v>174</v>
      </c>
      <c r="D38" s="139" t="s">
        <v>392</v>
      </c>
      <c r="E38" s="12"/>
      <c r="F38" s="12"/>
      <c r="G38" s="148"/>
      <c r="H38" s="148">
        <v>31.536000000000001</v>
      </c>
      <c r="I38" s="40">
        <v>1</v>
      </c>
      <c r="J38" s="97"/>
      <c r="K38" s="346">
        <v>0</v>
      </c>
      <c r="L38" s="18"/>
      <c r="M38" s="18"/>
      <c r="N38" s="18"/>
      <c r="O38" s="18"/>
      <c r="P38" s="18"/>
    </row>
    <row r="39" spans="1:19">
      <c r="A39" s="9"/>
      <c r="B39" s="247"/>
      <c r="C39" s="460"/>
      <c r="D39" s="142"/>
      <c r="E39" s="142" t="str">
        <f ca="1">IEAData2!H106</f>
        <v>COMELC</v>
      </c>
      <c r="F39" s="158" t="s">
        <v>175</v>
      </c>
      <c r="G39" s="143"/>
      <c r="H39" s="143"/>
      <c r="I39" s="144"/>
      <c r="J39" s="144"/>
      <c r="K39" s="145"/>
      <c r="L39" s="145"/>
      <c r="M39" s="145"/>
      <c r="N39" s="145"/>
      <c r="O39" s="145"/>
      <c r="P39" s="145"/>
    </row>
    <row r="40" spans="1:19">
      <c r="A40" s="9"/>
      <c r="B40" s="12" t="s">
        <v>860</v>
      </c>
      <c r="C40" s="378" t="s">
        <v>938</v>
      </c>
      <c r="D40" s="139" t="str">
        <f>E39</f>
        <v>COMELC</v>
      </c>
      <c r="E40" s="12"/>
      <c r="F40" s="12"/>
      <c r="G40" s="139"/>
      <c r="H40" s="139"/>
      <c r="I40" s="40"/>
      <c r="J40" s="97">
        <v>1</v>
      </c>
      <c r="K40" s="140"/>
      <c r="L40" s="140"/>
      <c r="M40" s="140"/>
      <c r="N40" s="140"/>
      <c r="O40" s="140"/>
      <c r="P40" s="140"/>
    </row>
    <row r="41" spans="1:19">
      <c r="A41" s="9"/>
      <c r="B41" s="12"/>
      <c r="C41" s="378"/>
      <c r="D41" s="139" t="s">
        <v>237</v>
      </c>
      <c r="E41" s="12" t="s">
        <v>831</v>
      </c>
      <c r="F41" s="12"/>
      <c r="G41" s="139"/>
      <c r="H41" s="139"/>
      <c r="I41" s="40"/>
      <c r="J41" s="97"/>
      <c r="K41" s="140"/>
      <c r="L41" s="140"/>
      <c r="M41" s="140"/>
      <c r="N41" s="140"/>
      <c r="O41" s="140"/>
      <c r="P41" s="140"/>
      <c r="R41" s="447" t="s">
        <v>247</v>
      </c>
      <c r="S41" s="190"/>
    </row>
    <row r="42" spans="1:19">
      <c r="A42" s="9"/>
      <c r="B42" s="12"/>
      <c r="C42" s="25"/>
      <c r="D42" s="139"/>
      <c r="E42" s="12" t="s">
        <v>832</v>
      </c>
      <c r="F42" s="12"/>
      <c r="G42" s="12" t="s">
        <v>832</v>
      </c>
      <c r="H42" s="139"/>
      <c r="I42" s="40"/>
      <c r="J42" s="97"/>
      <c r="K42" s="140"/>
      <c r="L42" s="140"/>
      <c r="M42" s="140"/>
      <c r="N42" s="140"/>
      <c r="O42" s="140"/>
      <c r="P42" s="140">
        <f ca="1">-CalibData2!N136</f>
        <v>-0.52</v>
      </c>
      <c r="R42" s="443">
        <f ca="1">IEAData2!E$179</f>
        <v>5.1495694313568405</v>
      </c>
      <c r="S42" s="443">
        <f ca="1">AuxData2!E$179</f>
        <v>5.1543237036601761</v>
      </c>
    </row>
    <row r="43" spans="1:19">
      <c r="A43" s="9"/>
      <c r="B43" s="12"/>
      <c r="C43" s="25"/>
      <c r="D43" s="139"/>
      <c r="E43" s="12" t="s">
        <v>833</v>
      </c>
      <c r="F43" s="12"/>
      <c r="G43" s="12" t="s">
        <v>833</v>
      </c>
      <c r="H43" s="139"/>
      <c r="I43" s="40"/>
      <c r="J43" s="97"/>
      <c r="K43" s="140"/>
      <c r="L43" s="140"/>
      <c r="M43" s="140"/>
      <c r="N43" s="140"/>
      <c r="O43" s="140"/>
      <c r="P43" s="140">
        <f ca="1">-CalibData2!N137</f>
        <v>-0.4</v>
      </c>
      <c r="R43" s="443">
        <f ca="1">IEAData2!H$179</f>
        <v>1.2690340452150792</v>
      </c>
      <c r="S43" s="443">
        <f ca="1">AuxData2!H$179</f>
        <v>1.2704027822280028</v>
      </c>
    </row>
    <row r="44" spans="1:19">
      <c r="A44" s="9"/>
      <c r="B44" s="12"/>
      <c r="C44" s="25"/>
      <c r="D44" s="139"/>
      <c r="E44" s="12" t="s">
        <v>834</v>
      </c>
      <c r="F44" s="12"/>
      <c r="G44" s="12" t="s">
        <v>834</v>
      </c>
      <c r="H44" s="139"/>
      <c r="I44" s="40"/>
      <c r="J44" s="97"/>
      <c r="K44" s="140"/>
      <c r="L44" s="140"/>
      <c r="M44" s="140"/>
      <c r="N44" s="140"/>
      <c r="O44" s="140"/>
      <c r="P44" s="140">
        <f ca="1">-CalibData2!N138</f>
        <v>-0.21</v>
      </c>
      <c r="R44" s="443">
        <f ca="1">SUM(IEAData2!F179:I179)-R43</f>
        <v>8.9399873524498581</v>
      </c>
      <c r="S44" s="443">
        <f ca="1">SUM(AuxData2!F179:I179)-S43</f>
        <v>8.9480439602782962</v>
      </c>
    </row>
    <row r="45" spans="1:19">
      <c r="A45" s="9"/>
      <c r="B45" s="12"/>
      <c r="C45" s="25"/>
      <c r="D45" s="139"/>
      <c r="E45" s="12" t="s">
        <v>952</v>
      </c>
      <c r="F45" s="12" t="s">
        <v>953</v>
      </c>
      <c r="G45" s="139"/>
      <c r="H45" s="139"/>
      <c r="I45" s="40"/>
      <c r="J45" s="97"/>
      <c r="K45" s="140"/>
      <c r="L45" s="140"/>
      <c r="M45" s="140"/>
      <c r="N45" s="140"/>
      <c r="O45" s="140"/>
      <c r="P45" s="140"/>
      <c r="R45" s="449" t="s">
        <v>237</v>
      </c>
      <c r="S45" s="450"/>
    </row>
    <row r="46" spans="1:19">
      <c r="A46" s="9"/>
      <c r="B46" s="12"/>
      <c r="C46" s="25"/>
      <c r="D46" s="139"/>
      <c r="E46" s="12" t="s">
        <v>842</v>
      </c>
      <c r="F46" s="12" t="s">
        <v>856</v>
      </c>
      <c r="G46" s="139"/>
      <c r="H46" s="139"/>
      <c r="I46" s="40"/>
      <c r="J46" s="97"/>
      <c r="K46" s="140"/>
      <c r="L46" s="140"/>
      <c r="M46" s="140"/>
      <c r="N46" s="140"/>
      <c r="O46" s="140"/>
      <c r="P46" s="140"/>
      <c r="R46" s="445">
        <f ca="1">-SUMPRODUCT($P42:$P44,R42:R44)</f>
        <v>5.0627870664060595</v>
      </c>
      <c r="S46" s="445">
        <f ca="1">-SUMPRODUCT($P42:$P44,S42:S44)</f>
        <v>5.0674986704529346</v>
      </c>
    </row>
    <row r="47" spans="1:19">
      <c r="A47" s="9"/>
      <c r="B47" s="12"/>
      <c r="C47" s="25"/>
      <c r="D47" s="139"/>
      <c r="E47" s="12" t="s">
        <v>843</v>
      </c>
      <c r="F47" s="12" t="s">
        <v>857</v>
      </c>
      <c r="G47" s="139"/>
      <c r="H47" s="139"/>
      <c r="I47" s="40"/>
      <c r="J47" s="97"/>
      <c r="K47" s="140"/>
      <c r="L47" s="140"/>
      <c r="M47" s="140"/>
      <c r="N47" s="140"/>
      <c r="O47" s="140"/>
      <c r="P47" s="140"/>
      <c r="R47" s="307"/>
    </row>
    <row r="48" spans="1:19">
      <c r="A48" s="9"/>
      <c r="B48" s="12"/>
      <c r="C48" s="25"/>
      <c r="D48" s="139"/>
      <c r="E48" s="12" t="s">
        <v>844</v>
      </c>
      <c r="F48" s="12" t="s">
        <v>858</v>
      </c>
      <c r="G48" s="139"/>
      <c r="H48" s="139"/>
      <c r="I48" s="40"/>
      <c r="J48" s="97"/>
      <c r="K48" s="140"/>
      <c r="L48" s="140"/>
      <c r="M48" s="140"/>
      <c r="N48" s="140"/>
      <c r="O48" s="140"/>
      <c r="P48" s="140"/>
    </row>
    <row r="49" spans="1:25">
      <c r="A49" s="9"/>
      <c r="B49" s="22"/>
      <c r="C49" s="74"/>
      <c r="D49" s="22"/>
      <c r="E49" s="22"/>
      <c r="F49" s="22"/>
      <c r="G49" s="23"/>
      <c r="H49" s="19"/>
      <c r="I49" s="19"/>
      <c r="J49" s="137"/>
    </row>
    <row r="50" spans="1:25">
      <c r="A50" s="9"/>
      <c r="B50" s="22"/>
      <c r="C50" s="74"/>
      <c r="D50" s="22"/>
      <c r="E50" s="159"/>
      <c r="F50" s="159"/>
      <c r="G50" s="23"/>
      <c r="H50" s="19"/>
      <c r="I50" s="19"/>
      <c r="J50" s="137"/>
    </row>
    <row r="51" spans="1:25">
      <c r="A51" s="9"/>
      <c r="F51" s="245"/>
      <c r="G51" s="23"/>
      <c r="H51" s="19"/>
      <c r="I51" s="19"/>
      <c r="J51" s="137"/>
    </row>
    <row r="52" spans="1:25" ht="18">
      <c r="A52" s="9"/>
      <c r="B52" s="253" t="s">
        <v>6</v>
      </c>
      <c r="C52" s="136"/>
      <c r="D52" s="136"/>
      <c r="E52" s="136"/>
      <c r="F52" s="252"/>
      <c r="G52" s="252" t="str">
        <f>"~FI_T: "&amp;Region&amp;"~EUR10"</f>
        <v>~FI_T: FIM~EUR10</v>
      </c>
    </row>
    <row r="53" spans="1:25" ht="39" thickBot="1">
      <c r="A53" s="9"/>
      <c r="B53" s="52" t="s">
        <v>57</v>
      </c>
      <c r="C53" s="52" t="s">
        <v>58</v>
      </c>
      <c r="D53" s="52" t="s">
        <v>56</v>
      </c>
      <c r="E53" s="52" t="s">
        <v>59</v>
      </c>
      <c r="F53" s="52" t="s">
        <v>385</v>
      </c>
      <c r="G53" s="52" t="s">
        <v>741</v>
      </c>
      <c r="H53" s="52" t="s">
        <v>661</v>
      </c>
      <c r="I53" s="52" t="s">
        <v>539</v>
      </c>
      <c r="J53" s="52" t="s">
        <v>662</v>
      </c>
      <c r="K53" s="52" t="s">
        <v>536</v>
      </c>
      <c r="L53" s="52" t="s">
        <v>537</v>
      </c>
      <c r="M53" s="52" t="s">
        <v>538</v>
      </c>
      <c r="N53" s="52" t="s">
        <v>802</v>
      </c>
      <c r="O53" s="52" t="str">
        <f ca="1">"ACT_BND~UP~"&amp;AuxYear</f>
        <v>ACT_BND~UP~2017</v>
      </c>
      <c r="P53" s="52" t="s">
        <v>927</v>
      </c>
      <c r="Q53" s="52" t="s">
        <v>918</v>
      </c>
      <c r="R53" s="52" t="s">
        <v>88</v>
      </c>
      <c r="S53" s="52" t="s">
        <v>541</v>
      </c>
      <c r="T53" s="52" t="str">
        <f ca="1">"RESID~"&amp;AuxYear</f>
        <v>RESID~2017</v>
      </c>
      <c r="U53" s="52" t="str">
        <f ca="1">"RESID~"&amp;AuxYear+20</f>
        <v>RESID~2037</v>
      </c>
      <c r="V53" s="52" t="str">
        <f>"RESID~"&amp;2050</f>
        <v>RESID~2050</v>
      </c>
      <c r="W53" s="52" t="s">
        <v>949</v>
      </c>
      <c r="X53" s="52" t="s">
        <v>1094</v>
      </c>
      <c r="Y53" s="52" t="s">
        <v>1071</v>
      </c>
    </row>
    <row r="54" spans="1:25">
      <c r="A54" s="9"/>
      <c r="B54" s="12" t="str">
        <f>CONCATENATE("FT-",E55,"0")</f>
        <v>FT-COMHET0</v>
      </c>
      <c r="C54" s="25" t="s">
        <v>176</v>
      </c>
      <c r="D54" s="139" t="str">
        <f ca="1">IEAData2!D118</f>
        <v>HET</v>
      </c>
      <c r="E54" s="12"/>
      <c r="F54" s="12"/>
      <c r="G54" s="12"/>
      <c r="H54" s="148">
        <f>8.76*3.6</f>
        <v>31.536000000000001</v>
      </c>
      <c r="I54" s="368">
        <v>1</v>
      </c>
      <c r="J54" s="346"/>
      <c r="K54" s="18"/>
      <c r="L54" s="358">
        <v>8</v>
      </c>
      <c r="M54" s="374">
        <v>250</v>
      </c>
      <c r="N54" s="139">
        <f ca="1">IEAData2!$G$107*COM_Fuels2!$Q$4</f>
        <v>16.057818000000005</v>
      </c>
      <c r="O54" s="139">
        <f ca="1">AuxData2!$G$107*COM_Fuels2!$Q$4</f>
        <v>13.561506</v>
      </c>
      <c r="P54" s="139">
        <f>N54*1.5</f>
        <v>24.086727000000007</v>
      </c>
      <c r="Q54" s="374">
        <v>1</v>
      </c>
      <c r="R54" s="358">
        <v>40</v>
      </c>
      <c r="S54" s="368">
        <f>N54*1.01/H54</f>
        <v>0.51428196917808233</v>
      </c>
      <c r="T54" s="368">
        <f>O54*1.01/H54</f>
        <v>0.43433285958904105</v>
      </c>
      <c r="U54" s="368">
        <f>T54*0.8</f>
        <v>0.34746628767123289</v>
      </c>
      <c r="V54" s="368">
        <f>U54*0.8</f>
        <v>0.27797303013698632</v>
      </c>
      <c r="W54" s="368">
        <v>1</v>
      </c>
      <c r="X54" s="368"/>
      <c r="Y54" s="368"/>
    </row>
    <row r="55" spans="1:25">
      <c r="A55" s="9"/>
      <c r="B55" s="247"/>
      <c r="C55" s="141"/>
      <c r="D55" s="142"/>
      <c r="E55" s="142" t="str">
        <f ca="1">IEAData2!H107</f>
        <v>COMHET</v>
      </c>
      <c r="F55" s="142" t="s">
        <v>177</v>
      </c>
      <c r="G55" s="142"/>
      <c r="H55" s="143"/>
      <c r="I55" s="535"/>
      <c r="J55" s="347"/>
      <c r="K55" s="146"/>
      <c r="L55" s="146"/>
      <c r="M55" s="142"/>
      <c r="N55" s="142"/>
      <c r="O55" s="142"/>
      <c r="P55" s="142"/>
      <c r="Q55" s="142"/>
      <c r="R55" s="501"/>
      <c r="S55" s="142"/>
      <c r="T55" s="142"/>
      <c r="U55" s="142"/>
      <c r="V55" s="142"/>
      <c r="W55" s="142"/>
      <c r="X55" s="142"/>
      <c r="Y55" s="142"/>
    </row>
    <row r="56" spans="1:25">
      <c r="A56" s="9"/>
      <c r="B56" s="12" t="s">
        <v>1161</v>
      </c>
      <c r="C56" s="25" t="s">
        <v>356</v>
      </c>
      <c r="D56" s="139" t="s">
        <v>964</v>
      </c>
      <c r="E56" s="12"/>
      <c r="F56" s="12"/>
      <c r="G56" s="12"/>
      <c r="H56" s="148">
        <v>31.536000000000001</v>
      </c>
      <c r="I56" s="368">
        <v>1</v>
      </c>
      <c r="J56" s="346"/>
      <c r="K56" s="18"/>
      <c r="L56" s="18"/>
      <c r="M56" s="374">
        <v>450</v>
      </c>
      <c r="N56" s="18"/>
      <c r="O56" s="18"/>
      <c r="P56" s="18"/>
      <c r="Q56" s="18"/>
      <c r="R56" s="358">
        <v>50</v>
      </c>
      <c r="S56" s="368"/>
      <c r="T56" s="368"/>
      <c r="U56" s="368"/>
      <c r="V56" s="368"/>
      <c r="W56" s="368"/>
      <c r="X56" s="368"/>
      <c r="Y56" s="368"/>
    </row>
    <row r="57" spans="1:25">
      <c r="B57" s="247"/>
      <c r="C57" s="141"/>
      <c r="D57" s="142"/>
      <c r="E57" s="142" t="s">
        <v>867</v>
      </c>
      <c r="F57" s="142" t="s">
        <v>862</v>
      </c>
      <c r="G57" s="142"/>
      <c r="H57" s="143"/>
      <c r="I57" s="535"/>
      <c r="J57" s="347"/>
      <c r="K57" s="146"/>
      <c r="L57" s="146"/>
      <c r="M57" s="142"/>
      <c r="N57" s="146"/>
      <c r="O57" s="146"/>
      <c r="P57" s="146"/>
      <c r="Q57" s="146"/>
      <c r="R57" s="501"/>
      <c r="S57" s="142"/>
      <c r="T57" s="142"/>
      <c r="U57" s="142"/>
      <c r="V57" s="142"/>
      <c r="W57" s="142"/>
      <c r="X57" s="142"/>
      <c r="Y57" s="142"/>
    </row>
    <row r="58" spans="1:25" ht="13.5" customHeight="1">
      <c r="B58" s="546" t="s">
        <v>1125</v>
      </c>
      <c r="C58" s="547" t="s">
        <v>1126</v>
      </c>
      <c r="D58" s="546" t="s">
        <v>237</v>
      </c>
      <c r="E58" s="546" t="s">
        <v>1117</v>
      </c>
      <c r="F58" s="546"/>
      <c r="G58" s="546"/>
      <c r="H58" s="549"/>
      <c r="I58" s="550">
        <v>1</v>
      </c>
      <c r="J58" s="551"/>
      <c r="K58" s="552"/>
      <c r="L58" s="552"/>
      <c r="M58" s="546"/>
      <c r="N58" s="552"/>
      <c r="O58" s="552"/>
      <c r="P58" s="552"/>
      <c r="Q58" s="552"/>
      <c r="R58" s="304"/>
      <c r="S58" s="546"/>
      <c r="T58" s="546"/>
      <c r="U58" s="546"/>
      <c r="V58" s="546"/>
      <c r="W58" s="546"/>
      <c r="X58" s="546"/>
      <c r="Y58" s="546"/>
    </row>
    <row r="59" spans="1:25">
      <c r="B59" s="12" t="str">
        <f>CONCATENATE("COM",D59,"000")</f>
        <v>COMCHW000</v>
      </c>
      <c r="C59" s="25" t="s">
        <v>1113</v>
      </c>
      <c r="D59" s="12" t="s">
        <v>235</v>
      </c>
      <c r="E59" s="12" t="s">
        <v>1131</v>
      </c>
      <c r="F59" s="12" t="s">
        <v>1093</v>
      </c>
      <c r="G59" s="369"/>
      <c r="H59" s="139">
        <v>1</v>
      </c>
      <c r="I59" s="368">
        <v>1</v>
      </c>
      <c r="J59" s="346">
        <v>1</v>
      </c>
      <c r="K59" s="18"/>
      <c r="L59" s="18"/>
      <c r="M59" s="139"/>
      <c r="N59" s="391"/>
      <c r="O59" s="391"/>
      <c r="P59" s="374"/>
      <c r="Q59" s="374"/>
      <c r="R59" s="374">
        <v>1</v>
      </c>
      <c r="S59" s="139"/>
      <c r="T59" s="139"/>
      <c r="U59" s="139"/>
      <c r="V59" s="139"/>
      <c r="W59" s="139"/>
      <c r="X59" s="368">
        <f ca="1">1/'CHW2'!L17</f>
        <v>0.36430301730336939</v>
      </c>
      <c r="Y59" s="368"/>
    </row>
    <row r="60" spans="1:25">
      <c r="B60" s="12"/>
      <c r="C60" s="25"/>
      <c r="D60" s="12"/>
      <c r="E60" s="12"/>
      <c r="F60" s="12"/>
      <c r="G60" s="369" t="s">
        <v>1130</v>
      </c>
      <c r="H60" s="139"/>
      <c r="I60" s="368"/>
      <c r="J60" s="346"/>
      <c r="K60" s="18"/>
      <c r="L60" s="18"/>
      <c r="M60" s="139"/>
      <c r="N60" s="391"/>
      <c r="O60" s="391"/>
      <c r="P60" s="374"/>
      <c r="Q60" s="374"/>
      <c r="R60" s="374"/>
      <c r="S60" s="139"/>
      <c r="T60" s="139"/>
      <c r="U60" s="139"/>
      <c r="V60" s="139"/>
      <c r="W60" s="139"/>
      <c r="X60" s="368">
        <f ca="1">'CHT2'!G45*Y61</f>
        <v>1.0808130074930897</v>
      </c>
      <c r="Y60" s="368"/>
    </row>
    <row r="61" spans="1:25">
      <c r="B61" s="247"/>
      <c r="C61" s="141"/>
      <c r="D61" s="142"/>
      <c r="E61" s="142" t="s">
        <v>1130</v>
      </c>
      <c r="F61" s="142"/>
      <c r="G61" s="375" t="s">
        <v>1090</v>
      </c>
      <c r="H61" s="143"/>
      <c r="I61" s="535"/>
      <c r="J61" s="347"/>
      <c r="K61" s="146"/>
      <c r="L61" s="146"/>
      <c r="M61" s="142"/>
      <c r="N61" s="375"/>
      <c r="O61" s="375"/>
      <c r="P61" s="375"/>
      <c r="Q61" s="375"/>
      <c r="R61" s="375"/>
      <c r="S61" s="142"/>
      <c r="T61" s="142"/>
      <c r="U61" s="142"/>
      <c r="V61" s="142"/>
      <c r="W61" s="142"/>
      <c r="X61" s="142"/>
      <c r="Y61" s="144">
        <f ca="1">X59*0.25</f>
        <v>9.1075754325842348E-2</v>
      </c>
    </row>
    <row r="62" spans="1:25">
      <c r="F62" s="245"/>
    </row>
    <row r="63" spans="1:25">
      <c r="F63" s="245"/>
    </row>
    <row r="64" spans="1:25">
      <c r="F64" s="245"/>
      <c r="G64" s="23"/>
      <c r="H64" s="19"/>
      <c r="I64" s="19"/>
      <c r="J64" s="137"/>
    </row>
    <row r="65" spans="2:20" ht="18">
      <c r="B65" s="253" t="s">
        <v>679</v>
      </c>
      <c r="C65" s="131"/>
      <c r="D65" s="131"/>
      <c r="E65" s="131"/>
      <c r="F65" s="252" t="str">
        <f>"~FI_T: "&amp;Region&amp;"~EUR10"</f>
        <v>~FI_T: FIM~EUR10</v>
      </c>
    </row>
    <row r="66" spans="2:20" ht="33.75" customHeight="1" thickBot="1">
      <c r="B66" s="52" t="s">
        <v>57</v>
      </c>
      <c r="C66" s="52" t="s">
        <v>58</v>
      </c>
      <c r="D66" s="52" t="s">
        <v>56</v>
      </c>
      <c r="E66" s="52" t="s">
        <v>59</v>
      </c>
      <c r="F66" s="52" t="s">
        <v>385</v>
      </c>
      <c r="G66" s="52" t="s">
        <v>661</v>
      </c>
      <c r="H66" s="52" t="s">
        <v>976</v>
      </c>
      <c r="I66" s="52" t="s">
        <v>534</v>
      </c>
      <c r="J66" s="52" t="s">
        <v>535</v>
      </c>
      <c r="K66" s="52" t="s">
        <v>88</v>
      </c>
      <c r="L66" s="52" t="s">
        <v>538</v>
      </c>
      <c r="M66" s="52" t="s">
        <v>778</v>
      </c>
      <c r="N66" s="52" t="s">
        <v>378</v>
      </c>
      <c r="O66" s="278" t="s">
        <v>738</v>
      </c>
      <c r="P66" s="278" t="s">
        <v>735</v>
      </c>
      <c r="Q66" s="278" t="s">
        <v>736</v>
      </c>
      <c r="R66" s="285" t="s">
        <v>737</v>
      </c>
      <c r="S66" s="285" t="s">
        <v>533</v>
      </c>
      <c r="T66" s="285" t="str">
        <f ca="1">"ACT_BND~UP~"&amp;AuxYear</f>
        <v>ACT_BND~UP~2017</v>
      </c>
    </row>
    <row r="67" spans="2:20">
      <c r="B67" s="12" t="str">
        <f>CONCATENATE("FT-",E71,"5")</f>
        <v>FT-COMNGA5</v>
      </c>
      <c r="C67" s="404" t="s">
        <v>687</v>
      </c>
      <c r="D67" s="139" t="s">
        <v>436</v>
      </c>
      <c r="E67" s="12"/>
      <c r="F67" s="12"/>
      <c r="G67" s="139">
        <v>1</v>
      </c>
      <c r="H67" s="97">
        <f ca="1">IF(IEAData2!$G$99&lt;=0,1,IEAData2!B99/IEAData2!$G$99)</f>
        <v>1</v>
      </c>
      <c r="I67" s="140">
        <v>1</v>
      </c>
      <c r="J67" s="140">
        <v>1</v>
      </c>
      <c r="K67" s="18">
        <v>50</v>
      </c>
      <c r="L67" s="350">
        <f>20+5</f>
        <v>25</v>
      </c>
      <c r="M67" s="18"/>
      <c r="N67" s="40">
        <f>MAX($H$67:$H$69)</f>
        <v>1</v>
      </c>
      <c r="O67" s="140"/>
      <c r="P67" s="140"/>
      <c r="Q67" s="140"/>
      <c r="R67" s="140"/>
      <c r="S67" s="140">
        <f ca="1">BaseYear+1</f>
        <v>2011</v>
      </c>
      <c r="T67" s="140"/>
    </row>
    <row r="68" spans="2:20">
      <c r="B68" s="12"/>
      <c r="C68" s="378"/>
      <c r="D68" s="139" t="s">
        <v>440</v>
      </c>
      <c r="E68" s="12"/>
      <c r="F68" s="12"/>
      <c r="G68" s="139"/>
      <c r="H68" s="97">
        <f ca="1">IF(IEAData2!$G$99&lt;=0,0,IEAData2!B100/IEAData2!$G$99)</f>
        <v>0</v>
      </c>
      <c r="I68" s="140"/>
      <c r="J68" s="140"/>
      <c r="K68" s="18"/>
      <c r="L68" s="18"/>
      <c r="M68" s="18"/>
      <c r="N68" s="40">
        <f>MAX($H$67:$H$69)</f>
        <v>1</v>
      </c>
      <c r="O68" s="140"/>
      <c r="P68" s="140"/>
      <c r="Q68" s="140"/>
      <c r="R68" s="140"/>
      <c r="S68" s="140"/>
      <c r="T68" s="140"/>
    </row>
    <row r="69" spans="2:20">
      <c r="B69" s="12"/>
      <c r="C69" s="378"/>
      <c r="D69" s="139" t="s">
        <v>1009</v>
      </c>
      <c r="E69" s="12"/>
      <c r="F69" s="12"/>
      <c r="G69" s="139"/>
      <c r="H69" s="97">
        <f ca="1">IF(IEAData2!$G$99&lt;=0,0,IEAData2!B101/IEAData2!$G$99)</f>
        <v>0</v>
      </c>
      <c r="I69" s="140"/>
      <c r="J69" s="140"/>
      <c r="K69" s="18"/>
      <c r="L69" s="18"/>
      <c r="M69" s="18"/>
      <c r="N69" s="40">
        <f>MAX($H$67:$H$69)</f>
        <v>1</v>
      </c>
      <c r="O69" s="140"/>
      <c r="P69" s="140"/>
      <c r="Q69" s="140"/>
      <c r="R69" s="140"/>
      <c r="S69" s="140"/>
      <c r="T69" s="140"/>
    </row>
    <row r="70" spans="2:20">
      <c r="B70" s="12"/>
      <c r="C70" s="378"/>
      <c r="D70" s="139" t="s">
        <v>1218</v>
      </c>
      <c r="E70" s="12"/>
      <c r="F70" s="12"/>
      <c r="G70" s="139"/>
      <c r="H70" s="97"/>
      <c r="I70" s="140"/>
      <c r="J70" s="140"/>
      <c r="K70" s="18"/>
      <c r="L70" s="18"/>
      <c r="M70" s="18"/>
      <c r="N70" s="40">
        <v>0</v>
      </c>
      <c r="O70" s="346">
        <v>0.05</v>
      </c>
      <c r="P70" s="346">
        <v>0.12</v>
      </c>
      <c r="Q70" s="346">
        <v>0.15</v>
      </c>
      <c r="R70" s="140"/>
      <c r="S70" s="140"/>
      <c r="T70" s="140"/>
    </row>
    <row r="71" spans="2:20">
      <c r="B71" s="247"/>
      <c r="C71" s="460"/>
      <c r="D71" s="142"/>
      <c r="E71" s="142" t="s">
        <v>422</v>
      </c>
      <c r="F71" s="142" t="s">
        <v>158</v>
      </c>
      <c r="G71" s="143"/>
      <c r="H71" s="144"/>
      <c r="I71" s="145"/>
      <c r="J71" s="145"/>
      <c r="K71" s="146"/>
      <c r="L71" s="146"/>
      <c r="M71" s="146"/>
      <c r="N71" s="146"/>
      <c r="O71" s="145"/>
      <c r="P71" s="145"/>
      <c r="Q71" s="145"/>
      <c r="R71" s="145"/>
      <c r="S71" s="145"/>
      <c r="T71" s="145"/>
    </row>
    <row r="72" spans="2:20">
      <c r="B72" s="12" t="str">
        <f>CONCATENATE("FT-",E74,"5")</f>
        <v>FT-COMDST5</v>
      </c>
      <c r="C72" s="378" t="s">
        <v>0</v>
      </c>
      <c r="D72" s="139" t="s">
        <v>221</v>
      </c>
      <c r="E72" s="12"/>
      <c r="F72" s="12"/>
      <c r="G72" s="139">
        <v>1</v>
      </c>
      <c r="H72" s="97">
        <f ca="1">IF(IEAData2!$G$100&lt;=0,1,IEAData2!B102/IEAData2!$G$100)</f>
        <v>1</v>
      </c>
      <c r="I72" s="140">
        <v>1</v>
      </c>
      <c r="J72" s="140">
        <v>1</v>
      </c>
      <c r="K72" s="18">
        <v>100</v>
      </c>
      <c r="L72" s="18"/>
      <c r="M72" s="18"/>
      <c r="N72" s="40"/>
      <c r="O72" s="140"/>
      <c r="P72" s="140"/>
      <c r="Q72" s="140"/>
      <c r="R72" s="140"/>
      <c r="S72" s="140">
        <f ca="1">BaseYear+1</f>
        <v>2011</v>
      </c>
      <c r="T72" s="140"/>
    </row>
    <row r="73" spans="2:20">
      <c r="B73" s="12"/>
      <c r="C73" s="378"/>
      <c r="D73" s="139" t="s">
        <v>742</v>
      </c>
      <c r="E73" s="12"/>
      <c r="F73" s="12"/>
      <c r="G73" s="148"/>
      <c r="H73" s="97">
        <f ca="1">IF(IEAData2!$G$100&lt;=0,0,IEAData2!B105/IEAData2!$G$100)</f>
        <v>0</v>
      </c>
      <c r="I73" s="140"/>
      <c r="J73" s="140"/>
      <c r="K73" s="18"/>
      <c r="L73" s="18"/>
      <c r="M73" s="18"/>
      <c r="N73" s="40">
        <v>0.1</v>
      </c>
      <c r="O73" s="346">
        <v>0.85</v>
      </c>
      <c r="P73" s="346">
        <v>0.9</v>
      </c>
      <c r="Q73" s="346">
        <v>0.95</v>
      </c>
      <c r="R73" s="140">
        <v>1</v>
      </c>
      <c r="S73" s="140"/>
      <c r="T73" s="140"/>
    </row>
    <row r="74" spans="2:20">
      <c r="B74" s="247"/>
      <c r="C74" s="460"/>
      <c r="D74" s="142"/>
      <c r="E74" s="142" t="s">
        <v>423</v>
      </c>
      <c r="F74" s="142" t="s">
        <v>160</v>
      </c>
      <c r="G74" s="143"/>
      <c r="H74" s="144"/>
      <c r="I74" s="145"/>
      <c r="J74" s="145"/>
      <c r="K74" s="146"/>
      <c r="L74" s="146"/>
      <c r="M74" s="146"/>
      <c r="N74" s="146"/>
      <c r="O74" s="347"/>
      <c r="P74" s="347"/>
      <c r="Q74" s="347"/>
      <c r="R74" s="145"/>
      <c r="S74" s="145"/>
      <c r="T74" s="145"/>
    </row>
    <row r="75" spans="2:20">
      <c r="B75" s="12" t="str">
        <f>CONCATENATE("FT-",E76,"5")</f>
        <v>FT-COMBFO5</v>
      </c>
      <c r="C75" s="378" t="s">
        <v>1244</v>
      </c>
      <c r="D75" s="139" t="s">
        <v>1248</v>
      </c>
      <c r="E75" s="12"/>
      <c r="F75" s="12"/>
      <c r="G75" s="148"/>
      <c r="H75" s="97">
        <f ca="1">IF(IEAData2!$G$101&lt;=0,1,IEAData2!B103/IEAData2!$G$101)</f>
        <v>1</v>
      </c>
      <c r="I75" s="140">
        <v>1</v>
      </c>
      <c r="J75" s="140">
        <v>1</v>
      </c>
      <c r="K75" s="18">
        <v>100</v>
      </c>
      <c r="L75" s="18"/>
      <c r="M75" s="18"/>
      <c r="N75" s="40">
        <v>1</v>
      </c>
      <c r="O75" s="346"/>
      <c r="P75" s="346"/>
      <c r="Q75" s="346"/>
      <c r="R75" s="140"/>
      <c r="S75" s="140">
        <f ca="1">BaseYear+1</f>
        <v>2011</v>
      </c>
      <c r="T75" s="140"/>
    </row>
    <row r="76" spans="2:20">
      <c r="B76" s="142"/>
      <c r="C76" s="460"/>
      <c r="D76" s="142"/>
      <c r="E76" s="142" t="s">
        <v>1243</v>
      </c>
      <c r="F76" s="142" t="s">
        <v>162</v>
      </c>
      <c r="G76" s="143"/>
      <c r="H76" s="144"/>
      <c r="I76" s="145"/>
      <c r="J76" s="145"/>
      <c r="K76" s="146"/>
      <c r="L76" s="146"/>
      <c r="M76" s="146"/>
      <c r="N76" s="146"/>
      <c r="O76" s="145"/>
      <c r="P76" s="145"/>
      <c r="Q76" s="145"/>
      <c r="R76" s="145"/>
      <c r="S76" s="145"/>
      <c r="T76" s="145"/>
    </row>
    <row r="77" spans="2:20">
      <c r="B77" s="12" t="str">
        <f>CONCATENATE("FT-",E78,"5")</f>
        <v>FT-COMKER5</v>
      </c>
      <c r="C77" s="378" t="s">
        <v>1</v>
      </c>
      <c r="D77" s="139" t="s">
        <v>219</v>
      </c>
      <c r="E77" s="12"/>
      <c r="F77" s="12"/>
      <c r="G77" s="148"/>
      <c r="H77" s="97"/>
      <c r="I77" s="140">
        <v>1</v>
      </c>
      <c r="J77" s="140">
        <v>1</v>
      </c>
      <c r="K77" s="18">
        <v>100</v>
      </c>
      <c r="L77" s="18"/>
      <c r="M77" s="18"/>
      <c r="N77" s="18"/>
      <c r="O77" s="140"/>
      <c r="P77" s="140"/>
      <c r="Q77" s="140"/>
      <c r="R77" s="140"/>
      <c r="S77" s="140">
        <f ca="1">BaseYear+1</f>
        <v>2011</v>
      </c>
      <c r="T77" s="140"/>
    </row>
    <row r="78" spans="2:20">
      <c r="B78" s="142"/>
      <c r="C78" s="460"/>
      <c r="D78" s="142"/>
      <c r="E78" s="142" t="s">
        <v>597</v>
      </c>
      <c r="F78" s="142" t="s">
        <v>164</v>
      </c>
      <c r="G78" s="143"/>
      <c r="H78" s="144"/>
      <c r="I78" s="145"/>
      <c r="J78" s="145"/>
      <c r="K78" s="146"/>
      <c r="L78" s="146"/>
      <c r="M78" s="146"/>
      <c r="N78" s="146"/>
      <c r="O78" s="145"/>
      <c r="P78" s="145"/>
      <c r="Q78" s="145"/>
      <c r="R78" s="145"/>
      <c r="S78" s="145"/>
      <c r="T78" s="145"/>
    </row>
    <row r="79" spans="2:20">
      <c r="B79" s="12" t="str">
        <f>CONCATENATE("FT-",E82,"5")</f>
        <v>FT-COMCOP5</v>
      </c>
      <c r="C79" s="378" t="s">
        <v>1037</v>
      </c>
      <c r="D79" s="139" t="s">
        <v>437</v>
      </c>
      <c r="E79" s="12"/>
      <c r="F79" s="12"/>
      <c r="G79" s="139">
        <v>1</v>
      </c>
      <c r="H79" s="97">
        <f ca="1">IF(IEAData2!$G$103&lt;=0,1,IEAData2!B107/IEAData2!$G$103)</f>
        <v>1</v>
      </c>
      <c r="I79" s="140">
        <v>1</v>
      </c>
      <c r="J79" s="140">
        <v>1</v>
      </c>
      <c r="K79" s="18">
        <v>100</v>
      </c>
      <c r="L79" s="18"/>
      <c r="M79" s="18">
        <v>0.3</v>
      </c>
      <c r="N79" s="40">
        <f>MIN(1,MAX(2*H79,0.1))</f>
        <v>1</v>
      </c>
      <c r="O79" s="140"/>
      <c r="P79" s="140"/>
      <c r="Q79" s="140"/>
      <c r="R79" s="140"/>
      <c r="S79" s="140">
        <f ca="1">BaseYear+1</f>
        <v>2011</v>
      </c>
      <c r="T79" s="371">
        <f>MAX(2,P20*4)</f>
        <v>2</v>
      </c>
    </row>
    <row r="80" spans="2:20">
      <c r="B80" s="12"/>
      <c r="C80" s="378"/>
      <c r="D80" s="139" t="s">
        <v>438</v>
      </c>
      <c r="E80" s="12"/>
      <c r="F80" s="12"/>
      <c r="G80" s="148"/>
      <c r="H80" s="97">
        <f ca="1">IF(IEAData2!$G$103&lt;=0,0,IEAData2!B108/IEAData2!$G$103)</f>
        <v>0</v>
      </c>
      <c r="I80" s="140"/>
      <c r="J80" s="140"/>
      <c r="K80" s="18"/>
      <c r="L80" s="18"/>
      <c r="M80" s="18">
        <v>0.5</v>
      </c>
      <c r="N80" s="40">
        <v>1</v>
      </c>
      <c r="O80" s="140"/>
      <c r="P80" s="140"/>
      <c r="Q80" s="140"/>
      <c r="R80" s="140"/>
      <c r="S80" s="140"/>
      <c r="T80" s="140"/>
    </row>
    <row r="81" spans="2:20">
      <c r="B81" s="12"/>
      <c r="C81" s="378"/>
      <c r="D81" s="139" t="s">
        <v>439</v>
      </c>
      <c r="E81" s="12"/>
      <c r="F81" s="12"/>
      <c r="G81" s="148"/>
      <c r="H81" s="97">
        <f ca="1">IF(IEAData2!$G$103&lt;=0,0,IEAData2!B109/IEAData2!$G$103)</f>
        <v>0</v>
      </c>
      <c r="I81" s="140"/>
      <c r="J81" s="140"/>
      <c r="K81" s="18"/>
      <c r="L81" s="18"/>
      <c r="M81" s="18">
        <v>0.3</v>
      </c>
      <c r="N81" s="40">
        <f>MIN(1,MAX(2*H81,0.1))</f>
        <v>0.1</v>
      </c>
      <c r="O81" s="140"/>
      <c r="P81" s="140"/>
      <c r="Q81" s="140"/>
      <c r="R81" s="140"/>
      <c r="S81" s="140"/>
      <c r="T81" s="140"/>
    </row>
    <row r="82" spans="2:20">
      <c r="B82" s="247"/>
      <c r="C82" s="460"/>
      <c r="D82" s="142"/>
      <c r="E82" s="142" t="s">
        <v>1017</v>
      </c>
      <c r="F82" s="142" t="s">
        <v>1029</v>
      </c>
      <c r="G82" s="143"/>
      <c r="H82" s="144"/>
      <c r="I82" s="145"/>
      <c r="J82" s="145"/>
      <c r="K82" s="146"/>
      <c r="L82" s="146"/>
      <c r="M82" s="146"/>
      <c r="N82" s="146"/>
      <c r="O82" s="145"/>
      <c r="P82" s="145"/>
      <c r="Q82" s="145"/>
      <c r="R82" s="145"/>
      <c r="S82" s="145"/>
      <c r="T82" s="145"/>
    </row>
    <row r="83" spans="2:20">
      <c r="B83" s="12" t="str">
        <f>CONCATENATE("FT-",E84,"5")</f>
        <v>FT-COMLPG5</v>
      </c>
      <c r="C83" s="378" t="s">
        <v>2</v>
      </c>
      <c r="D83" s="139" t="s">
        <v>110</v>
      </c>
      <c r="E83" s="12"/>
      <c r="F83" s="12"/>
      <c r="G83" s="139">
        <v>1</v>
      </c>
      <c r="H83" s="97"/>
      <c r="I83" s="140">
        <v>1</v>
      </c>
      <c r="J83" s="140">
        <v>1</v>
      </c>
      <c r="K83" s="18">
        <v>100</v>
      </c>
      <c r="L83" s="18"/>
      <c r="M83" s="18"/>
      <c r="N83" s="18"/>
      <c r="O83" s="140"/>
      <c r="P83" s="140"/>
      <c r="Q83" s="140"/>
      <c r="R83" s="140"/>
      <c r="S83" s="140">
        <f ca="1">BaseYear+1</f>
        <v>2011</v>
      </c>
      <c r="T83" s="140"/>
    </row>
    <row r="84" spans="2:20">
      <c r="B84" s="247"/>
      <c r="C84" s="460"/>
      <c r="D84" s="142"/>
      <c r="E84" s="142" t="s">
        <v>443</v>
      </c>
      <c r="F84" s="142" t="s">
        <v>167</v>
      </c>
      <c r="G84" s="143"/>
      <c r="H84" s="144"/>
      <c r="I84" s="145"/>
      <c r="J84" s="145"/>
      <c r="K84" s="146"/>
      <c r="L84" s="146"/>
      <c r="M84" s="146"/>
      <c r="N84" s="146"/>
      <c r="O84" s="145"/>
      <c r="P84" s="145"/>
      <c r="Q84" s="145"/>
      <c r="R84" s="145"/>
      <c r="S84" s="145"/>
      <c r="T84" s="145"/>
    </row>
    <row r="85" spans="2:20">
      <c r="B85" s="12" t="str">
        <f>CONCATENATE("FT-",E87,"5")</f>
        <v>FT-COMBIO5</v>
      </c>
      <c r="C85" s="378" t="s">
        <v>3</v>
      </c>
      <c r="D85" s="139" t="s">
        <v>943</v>
      </c>
      <c r="E85" s="12"/>
      <c r="F85" s="12"/>
      <c r="G85" s="139">
        <v>1</v>
      </c>
      <c r="H85" s="97">
        <f ca="1">IF(IEAData2!$G$105&lt;=0,1,IEAData2!B111/IEAData2!$G$105)</f>
        <v>1</v>
      </c>
      <c r="I85" s="140">
        <v>1</v>
      </c>
      <c r="J85" s="140">
        <v>1</v>
      </c>
      <c r="K85" s="18">
        <v>100</v>
      </c>
      <c r="L85" s="18"/>
      <c r="M85" s="18"/>
      <c r="N85" s="40">
        <v>1</v>
      </c>
      <c r="O85" s="140"/>
      <c r="P85" s="140"/>
      <c r="Q85" s="140"/>
      <c r="R85" s="140"/>
      <c r="S85" s="140">
        <f ca="1">BaseYear</f>
        <v>2010</v>
      </c>
      <c r="T85" s="140"/>
    </row>
    <row r="86" spans="2:20">
      <c r="B86" s="12"/>
      <c r="C86" s="378"/>
      <c r="D86" s="139" t="s">
        <v>929</v>
      </c>
      <c r="E86" s="12"/>
      <c r="F86" s="12"/>
      <c r="G86" s="139"/>
      <c r="H86" s="97">
        <f ca="1">IF(IEAData2!$G$105&lt;=0,0,IEAData2!B112/IEAData2!$G$105)</f>
        <v>0</v>
      </c>
      <c r="I86" s="140"/>
      <c r="J86" s="140"/>
      <c r="K86" s="18"/>
      <c r="L86" s="18"/>
      <c r="M86" s="18"/>
      <c r="N86" s="40">
        <v>1</v>
      </c>
      <c r="O86" s="140"/>
      <c r="P86" s="140"/>
      <c r="Q86" s="140"/>
      <c r="R86" s="140"/>
      <c r="S86" s="140"/>
      <c r="T86" s="140"/>
    </row>
    <row r="87" spans="2:20">
      <c r="B87" s="247"/>
      <c r="C87" s="460"/>
      <c r="D87" s="142"/>
      <c r="E87" s="142" t="s">
        <v>444</v>
      </c>
      <c r="F87" s="142" t="s">
        <v>169</v>
      </c>
      <c r="G87" s="143"/>
      <c r="H87" s="144"/>
      <c r="I87" s="145"/>
      <c r="J87" s="145"/>
      <c r="K87" s="146"/>
      <c r="L87" s="146"/>
      <c r="M87" s="146"/>
      <c r="N87" s="146"/>
      <c r="O87" s="145"/>
      <c r="P87" s="145"/>
      <c r="Q87" s="145"/>
      <c r="R87" s="145"/>
      <c r="S87" s="145"/>
      <c r="T87" s="145"/>
    </row>
    <row r="88" spans="2:20">
      <c r="B88" s="12" t="str">
        <f>CONCATENATE("FT-",E89,"5")</f>
        <v>FT-COMBPL5</v>
      </c>
      <c r="C88" s="378" t="s">
        <v>935</v>
      </c>
      <c r="D88" s="139" t="s">
        <v>929</v>
      </c>
      <c r="E88" s="36"/>
      <c r="F88" s="36"/>
      <c r="G88" s="353"/>
      <c r="H88" s="354"/>
      <c r="I88" s="355">
        <v>1</v>
      </c>
      <c r="J88" s="355"/>
      <c r="K88" s="81"/>
      <c r="L88" s="81"/>
      <c r="M88" s="81"/>
      <c r="N88" s="81"/>
      <c r="O88" s="355"/>
      <c r="P88" s="355"/>
      <c r="Q88" s="355"/>
      <c r="R88" s="140"/>
      <c r="S88" s="140">
        <f ca="1">BaseYear</f>
        <v>2010</v>
      </c>
      <c r="T88" s="140"/>
    </row>
    <row r="89" spans="2:20">
      <c r="B89" s="247"/>
      <c r="C89" s="460"/>
      <c r="D89" s="142"/>
      <c r="E89" s="142" t="s">
        <v>932</v>
      </c>
      <c r="F89" s="142" t="s">
        <v>933</v>
      </c>
      <c r="G89" s="143"/>
      <c r="H89" s="144"/>
      <c r="I89" s="145"/>
      <c r="J89" s="145"/>
      <c r="K89" s="146"/>
      <c r="L89" s="146"/>
      <c r="M89" s="146"/>
      <c r="N89" s="146"/>
      <c r="O89" s="145"/>
      <c r="P89" s="145"/>
      <c r="Q89" s="145"/>
      <c r="R89" s="145"/>
      <c r="S89" s="145"/>
      <c r="T89" s="145"/>
    </row>
    <row r="90" spans="2:20">
      <c r="B90" s="12" t="str">
        <f>CONCATENATE("FT-",E91,"5")</f>
        <v>FT-COMSOL5</v>
      </c>
      <c r="C90" s="378" t="s">
        <v>5</v>
      </c>
      <c r="D90" s="139" t="s">
        <v>580</v>
      </c>
      <c r="E90" s="12"/>
      <c r="F90" s="12"/>
      <c r="G90" s="139">
        <v>1</v>
      </c>
      <c r="H90" s="97"/>
      <c r="I90" s="140">
        <v>1</v>
      </c>
      <c r="J90" s="140">
        <v>1</v>
      </c>
      <c r="K90" s="18">
        <v>50</v>
      </c>
      <c r="L90" s="18">
        <v>50</v>
      </c>
      <c r="M90" s="18"/>
      <c r="N90" s="18"/>
      <c r="O90" s="140"/>
      <c r="P90" s="140"/>
      <c r="Q90" s="140"/>
      <c r="R90" s="140"/>
      <c r="S90" s="140">
        <f ca="1">BaseYear+1</f>
        <v>2011</v>
      </c>
      <c r="T90" s="140"/>
    </row>
    <row r="91" spans="2:20">
      <c r="B91" s="142"/>
      <c r="C91" s="460"/>
      <c r="D91" s="142"/>
      <c r="E91" s="142" t="s">
        <v>149</v>
      </c>
      <c r="F91" s="142" t="s">
        <v>173</v>
      </c>
      <c r="G91" s="143"/>
      <c r="H91" s="144"/>
      <c r="I91" s="145"/>
      <c r="J91" s="145"/>
      <c r="K91" s="146"/>
      <c r="L91" s="146"/>
      <c r="M91" s="146"/>
      <c r="N91" s="146"/>
      <c r="O91" s="145"/>
      <c r="P91" s="145"/>
      <c r="Q91" s="145"/>
      <c r="R91" s="145"/>
      <c r="S91" s="145"/>
      <c r="T91" s="145"/>
    </row>
    <row r="92" spans="2:20">
      <c r="B92" s="12" t="str">
        <f>CONCATENATE("FT-",E93,"5")</f>
        <v>FT-COMGEO5</v>
      </c>
      <c r="C92" s="378" t="s">
        <v>4</v>
      </c>
      <c r="D92" s="139" t="s">
        <v>579</v>
      </c>
      <c r="E92" s="12"/>
      <c r="F92" s="12"/>
      <c r="G92" s="139">
        <v>1</v>
      </c>
      <c r="H92" s="97"/>
      <c r="I92" s="140">
        <v>1</v>
      </c>
      <c r="J92" s="140">
        <v>1</v>
      </c>
      <c r="K92" s="18">
        <v>20</v>
      </c>
      <c r="L92" s="18">
        <v>1</v>
      </c>
      <c r="M92" s="18"/>
      <c r="N92" s="18"/>
      <c r="O92" s="140"/>
      <c r="P92" s="140"/>
      <c r="Q92" s="140"/>
      <c r="R92" s="140"/>
      <c r="S92" s="140">
        <f ca="1">BaseYear+1</f>
        <v>2011</v>
      </c>
      <c r="T92" s="140"/>
    </row>
    <row r="93" spans="2:20">
      <c r="B93" s="142"/>
      <c r="C93" s="460"/>
      <c r="D93" s="142"/>
      <c r="E93" s="142" t="s">
        <v>148</v>
      </c>
      <c r="F93" s="142" t="s">
        <v>171</v>
      </c>
      <c r="G93" s="143"/>
      <c r="H93" s="144"/>
      <c r="I93" s="145"/>
      <c r="J93" s="145"/>
      <c r="K93" s="146"/>
      <c r="L93" s="146"/>
      <c r="M93" s="146"/>
      <c r="N93" s="146"/>
      <c r="O93" s="145"/>
      <c r="P93" s="145"/>
      <c r="Q93" s="145"/>
      <c r="R93" s="145"/>
      <c r="S93" s="145"/>
      <c r="T93" s="145"/>
    </row>
    <row r="94" spans="2:20">
      <c r="B94" s="12" t="str">
        <f>CONCATENATE("FT-",E95,"6")</f>
        <v>FT-COMGEO6</v>
      </c>
      <c r="C94" s="378" t="s">
        <v>4</v>
      </c>
      <c r="D94" s="139" t="s">
        <v>579</v>
      </c>
      <c r="E94" s="12"/>
      <c r="F94" s="12"/>
      <c r="G94" s="139">
        <v>1</v>
      </c>
      <c r="H94" s="97"/>
      <c r="I94" s="140">
        <v>1</v>
      </c>
      <c r="J94" s="140">
        <v>1</v>
      </c>
      <c r="K94" s="18">
        <v>20</v>
      </c>
      <c r="L94" s="18">
        <v>1.5</v>
      </c>
      <c r="M94" s="18"/>
      <c r="N94" s="18"/>
      <c r="O94" s="140"/>
      <c r="P94" s="140"/>
      <c r="Q94" s="140"/>
      <c r="R94" s="140"/>
      <c r="S94" s="140">
        <f ca="1">BaseYear+1</f>
        <v>2011</v>
      </c>
      <c r="T94" s="140"/>
    </row>
    <row r="95" spans="2:20">
      <c r="B95" s="142"/>
      <c r="C95" s="460"/>
      <c r="D95" s="142"/>
      <c r="E95" s="142" t="s">
        <v>148</v>
      </c>
      <c r="F95" s="142" t="s">
        <v>171</v>
      </c>
      <c r="G95" s="143"/>
      <c r="H95" s="144"/>
      <c r="I95" s="145"/>
      <c r="J95" s="145"/>
      <c r="K95" s="146"/>
      <c r="L95" s="146"/>
      <c r="M95" s="146"/>
      <c r="N95" s="146"/>
      <c r="O95" s="145"/>
      <c r="P95" s="145"/>
      <c r="Q95" s="145"/>
      <c r="R95" s="145"/>
      <c r="S95" s="145"/>
      <c r="T95" s="145"/>
    </row>
    <row r="96" spans="2:20">
      <c r="B96" s="12" t="str">
        <f>CONCATENATE("FT-",E97,"7")</f>
        <v>FT-COMGEO7</v>
      </c>
      <c r="C96" s="378" t="s">
        <v>4</v>
      </c>
      <c r="D96" s="139" t="s">
        <v>579</v>
      </c>
      <c r="E96" s="12"/>
      <c r="F96" s="12"/>
      <c r="G96" s="139">
        <v>1</v>
      </c>
      <c r="H96" s="97"/>
      <c r="I96" s="140">
        <v>1</v>
      </c>
      <c r="J96" s="140">
        <v>1</v>
      </c>
      <c r="K96" s="18">
        <v>20</v>
      </c>
      <c r="L96" s="18">
        <v>3</v>
      </c>
      <c r="M96" s="18"/>
      <c r="N96" s="18"/>
      <c r="O96" s="140"/>
      <c r="P96" s="140"/>
      <c r="Q96" s="140"/>
      <c r="R96" s="140"/>
      <c r="S96" s="140">
        <f ca="1">BaseYear+1</f>
        <v>2011</v>
      </c>
      <c r="T96" s="140"/>
    </row>
    <row r="97" spans="2:24">
      <c r="B97" s="247"/>
      <c r="C97" s="460"/>
      <c r="D97" s="142"/>
      <c r="E97" s="142" t="s">
        <v>148</v>
      </c>
      <c r="F97" s="142" t="s">
        <v>171</v>
      </c>
      <c r="G97" s="143"/>
      <c r="H97" s="144"/>
      <c r="I97" s="145"/>
      <c r="J97" s="145"/>
      <c r="K97" s="146"/>
      <c r="L97" s="146"/>
      <c r="M97" s="146"/>
      <c r="N97" s="146"/>
      <c r="O97" s="145"/>
      <c r="P97" s="145"/>
      <c r="Q97" s="145"/>
      <c r="R97" s="145"/>
      <c r="S97" s="145"/>
      <c r="T97" s="145"/>
    </row>
    <row r="102" spans="2:24">
      <c r="I102" s="15"/>
      <c r="J102" s="15"/>
      <c r="K102" s="15"/>
      <c r="L102" s="15"/>
      <c r="M102" s="15"/>
      <c r="N102" s="15"/>
      <c r="O102" s="15"/>
      <c r="P102" s="15"/>
      <c r="Q102" s="15"/>
      <c r="R102" s="15"/>
      <c r="S102" s="15"/>
      <c r="T102" s="15"/>
      <c r="U102" s="15"/>
      <c r="V102" s="15"/>
      <c r="W102" s="15"/>
      <c r="X102" s="15"/>
    </row>
    <row r="103" spans="2:24" ht="18">
      <c r="B103" s="253" t="s">
        <v>1008</v>
      </c>
      <c r="C103" s="136"/>
      <c r="D103" s="136"/>
      <c r="E103" s="131"/>
      <c r="I103" s="9"/>
      <c r="J103" s="286"/>
      <c r="K103" s="286"/>
      <c r="L103" s="286"/>
    </row>
    <row r="104" spans="2:24" ht="18">
      <c r="B104" s="131"/>
      <c r="C104" s="245" t="str">
        <f>"~FI_T: COM_AGG~"&amp;Region</f>
        <v>~FI_T: COM_AGG~FIM</v>
      </c>
      <c r="I104" s="9"/>
      <c r="J104" s="390" t="s">
        <v>963</v>
      </c>
      <c r="L104" s="390">
        <f>100-7</f>
        <v>93</v>
      </c>
      <c r="M104" s="286"/>
    </row>
    <row r="105" spans="2:24">
      <c r="B105" s="384" t="s">
        <v>384</v>
      </c>
      <c r="C105" s="384" t="s">
        <v>741</v>
      </c>
      <c r="D105" s="384">
        <f ca="1">BaseYear</f>
        <v>2010</v>
      </c>
      <c r="E105" s="384">
        <v>2017</v>
      </c>
      <c r="F105" s="384">
        <f>CEILING(E105+7,5)</f>
        <v>2025</v>
      </c>
      <c r="G105" s="384">
        <f>F105+10</f>
        <v>2035</v>
      </c>
      <c r="H105" s="384">
        <f>G105+15</f>
        <v>2050</v>
      </c>
      <c r="J105" s="387">
        <f>D105</f>
        <v>2010</v>
      </c>
      <c r="K105" s="387">
        <f>E105</f>
        <v>2017</v>
      </c>
      <c r="L105" s="384">
        <f>D105</f>
        <v>2010</v>
      </c>
      <c r="M105" s="384">
        <f>E105</f>
        <v>2017</v>
      </c>
      <c r="N105" s="384">
        <f>F105</f>
        <v>2025</v>
      </c>
      <c r="O105" s="384">
        <f>G105</f>
        <v>2035</v>
      </c>
      <c r="P105" s="384">
        <f>H105</f>
        <v>2050</v>
      </c>
    </row>
    <row r="106" spans="2:24">
      <c r="B106" s="12" t="s">
        <v>237</v>
      </c>
      <c r="C106" s="12" t="s">
        <v>961</v>
      </c>
      <c r="D106" s="391">
        <f t="array" aca="1" ref="D106:D111" ca="1">L$106:L$111/COM_Fuels2!D$117:D$122*$L$104/$J$112</f>
        <v>1.9000241624314933</v>
      </c>
      <c r="E106" s="391">
        <f t="array" aca="1" ref="E106:E111" ca="1">M$106:M$111/COM_Fuels2!E$117:E$122*$L$104/$K$112</f>
        <v>1.8337746945632023</v>
      </c>
      <c r="F106" s="391">
        <f t="array" aca="1" ref="F106:F111" ca="1">N$106:N$111/COM_Fuels2!F$117:F$122*$L$104/$J$112</f>
        <v>1.894605220972845</v>
      </c>
      <c r="G106" s="391">
        <f t="array" aca="1" ref="G106:G111" ca="1">O$106:O$111/COM_Fuels2!G$117:G$122*$L$104/$J$112</f>
        <v>1.8833704260499331</v>
      </c>
      <c r="H106" s="391">
        <f t="array" aca="1" ref="H106:H111" ca="1">P$106:P$111/COM_Fuels2!H$117:H$122*$L$104/$J$112</f>
        <v>1.9146558180010318</v>
      </c>
      <c r="J106" s="388">
        <f ca="1">'CHT2'!$H$19</f>
        <v>12.511443804780209</v>
      </c>
      <c r="K106" s="388">
        <f ca="1">'CHT2'!$L$19</f>
        <v>11.155155777339839</v>
      </c>
      <c r="L106" s="391">
        <v>0.39</v>
      </c>
      <c r="M106" s="392">
        <v>0.4</v>
      </c>
      <c r="N106" s="392">
        <v>0.41</v>
      </c>
      <c r="O106" s="392">
        <v>0.42</v>
      </c>
      <c r="P106" s="391">
        <v>0.44</v>
      </c>
    </row>
    <row r="107" spans="2:24">
      <c r="B107" s="12" t="s">
        <v>235</v>
      </c>
      <c r="C107" s="12" t="s">
        <v>961</v>
      </c>
      <c r="D107" s="391">
        <f ca="1"/>
        <v>2.0767800715645115</v>
      </c>
      <c r="E107" s="391">
        <f ca="1"/>
        <v>1.9508241431523434</v>
      </c>
      <c r="F107" s="391">
        <f ca="1"/>
        <v>1.8607065351244712</v>
      </c>
      <c r="G107" s="391">
        <f ca="1"/>
        <v>1.8129011484388173</v>
      </c>
      <c r="H107" s="391">
        <f ca="1"/>
        <v>1.7354128042359411</v>
      </c>
      <c r="J107" s="388">
        <f ca="1">'CHW2'!$H$17</f>
        <v>3.1632117078028541</v>
      </c>
      <c r="K107" s="388">
        <f ca="1">'CHW2'!$L$17</f>
        <v>2.7449676574247555</v>
      </c>
      <c r="L107" s="391">
        <v>0.39</v>
      </c>
      <c r="M107" s="392">
        <v>0.4</v>
      </c>
      <c r="N107" s="392">
        <v>0.41</v>
      </c>
      <c r="O107" s="392">
        <v>0.42</v>
      </c>
      <c r="P107" s="391">
        <v>0.44</v>
      </c>
    </row>
    <row r="108" spans="2:24">
      <c r="B108" s="12" t="s">
        <v>253</v>
      </c>
      <c r="C108" s="12" t="s">
        <v>961</v>
      </c>
      <c r="D108" s="391">
        <f ca="1"/>
        <v>0.42418839615611575</v>
      </c>
      <c r="E108" s="391">
        <f ca="1"/>
        <v>0.45844367364080069</v>
      </c>
      <c r="F108" s="391">
        <f ca="1"/>
        <v>0.50830871782198284</v>
      </c>
      <c r="G108" s="391">
        <f ca="1"/>
        <v>0.53810583601426676</v>
      </c>
      <c r="H108" s="391">
        <f ca="1"/>
        <v>0.60920866936396478</v>
      </c>
      <c r="J108" s="388">
        <f ca="1">'RHT2'!$H$21</f>
        <v>4.7968501401593882</v>
      </c>
      <c r="K108" s="388">
        <f ca="1">'RHT2'!$L$21</f>
        <v>4.4208176632545024</v>
      </c>
      <c r="L108" s="391">
        <v>0.09</v>
      </c>
      <c r="M108" s="392">
        <v>0.1</v>
      </c>
      <c r="N108" s="392">
        <v>0.11</v>
      </c>
      <c r="O108" s="392">
        <v>0.12</v>
      </c>
      <c r="P108" s="391">
        <v>0.14000000000000001</v>
      </c>
    </row>
    <row r="109" spans="2:24">
      <c r="B109" s="12" t="s">
        <v>252</v>
      </c>
      <c r="C109" s="12" t="s">
        <v>961</v>
      </c>
      <c r="D109" s="391">
        <f ca="1"/>
        <v>2.7458528551202659</v>
      </c>
      <c r="E109" s="391">
        <f ca="1"/>
        <v>2.7506620418448038</v>
      </c>
      <c r="F109" s="391">
        <f ca="1"/>
        <v>2.8188028897400863</v>
      </c>
      <c r="G109" s="391">
        <f ca="1"/>
        <v>2.7802134860737113</v>
      </c>
      <c r="H109" s="391">
        <f ca="1"/>
        <v>2.7414390121378416</v>
      </c>
      <c r="J109" s="388">
        <f ca="1">'RHT2'!$H$35</f>
        <v>17.54912408117201</v>
      </c>
      <c r="K109" s="388">
        <f ca="1">'RHT2'!$L$35</f>
        <v>16.379208918322018</v>
      </c>
      <c r="L109" s="391">
        <v>0.59</v>
      </c>
      <c r="M109" s="392">
        <v>0.6</v>
      </c>
      <c r="N109" s="392">
        <v>0.61</v>
      </c>
      <c r="O109" s="392">
        <v>0.62</v>
      </c>
      <c r="P109" s="391">
        <v>0.63</v>
      </c>
    </row>
    <row r="110" spans="2:24">
      <c r="B110" s="12" t="s">
        <v>909</v>
      </c>
      <c r="C110" s="12" t="s">
        <v>961</v>
      </c>
      <c r="D110" s="391">
        <f ca="1"/>
        <v>0.38546334066725352</v>
      </c>
      <c r="E110" s="391">
        <f ca="1"/>
        <v>0.48770603578808586</v>
      </c>
      <c r="F110" s="391">
        <f ca="1"/>
        <v>0.49921394844802885</v>
      </c>
      <c r="G110" s="391">
        <f ca="1"/>
        <v>0.51797175669680495</v>
      </c>
      <c r="H110" s="391">
        <f ca="1"/>
        <v>0.55217680134779945</v>
      </c>
      <c r="J110" s="388">
        <f ca="1">'RHW2'!$H$18</f>
        <v>1.334916720762374</v>
      </c>
      <c r="K110" s="388">
        <f ca="1">'RHW2'!$L$18</f>
        <v>1.4402851218902251</v>
      </c>
      <c r="L110" s="391">
        <v>0.09</v>
      </c>
      <c r="M110" s="392">
        <v>0.1</v>
      </c>
      <c r="N110" s="392">
        <v>0.11</v>
      </c>
      <c r="O110" s="392">
        <v>0.12</v>
      </c>
      <c r="P110" s="391">
        <v>0.14000000000000001</v>
      </c>
    </row>
    <row r="111" spans="2:24">
      <c r="B111" s="12" t="s">
        <v>906</v>
      </c>
      <c r="C111" s="12" t="s">
        <v>961</v>
      </c>
      <c r="D111" s="391">
        <f ca="1"/>
        <v>2.7828299495321573</v>
      </c>
      <c r="E111" s="391">
        <f ca="1"/>
        <v>2.9262362147285148</v>
      </c>
      <c r="F111" s="391">
        <f ca="1"/>
        <v>2.7683682595754329</v>
      </c>
      <c r="G111" s="391">
        <f ca="1"/>
        <v>2.6761874096001592</v>
      </c>
      <c r="H111" s="391">
        <f ca="1"/>
        <v>2.4847956060650973</v>
      </c>
      <c r="J111" s="388">
        <f ca="1">'RHW2'!$H$30</f>
        <v>5.2654353358108885</v>
      </c>
      <c r="K111" s="388">
        <f ca="1">'RHW2'!$L$30</f>
        <v>5.1586314271544387</v>
      </c>
      <c r="L111" s="391">
        <v>0.59</v>
      </c>
      <c r="M111" s="392">
        <v>0.6</v>
      </c>
      <c r="N111" s="392">
        <v>0.61</v>
      </c>
      <c r="O111" s="392">
        <v>0.62</v>
      </c>
      <c r="P111" s="391">
        <v>0.63</v>
      </c>
    </row>
    <row r="112" spans="2:24">
      <c r="I112" s="9"/>
      <c r="J112" s="389">
        <f ca="1">SUMPRODUCT(J$106:J$111,L$106:L$111)</f>
        <v>20.125564723410264</v>
      </c>
      <c r="K112" s="389">
        <f ca="1">SUMPRODUCT(K$106:K$111,M$106:M$111)</f>
        <v>19.068863859706184</v>
      </c>
      <c r="L112" s="286"/>
      <c r="M112" s="286"/>
    </row>
    <row r="113" spans="2:12">
      <c r="I113" s="9"/>
      <c r="J113" s="286"/>
      <c r="K113" s="286"/>
      <c r="L113" s="286"/>
    </row>
    <row r="115" spans="2:12" ht="18">
      <c r="B115" s="131"/>
      <c r="C115" s="245" t="str">
        <f>"~FI_T: COM_IE~"&amp;Region</f>
        <v>~FI_T: COM_IE~FIM</v>
      </c>
    </row>
    <row r="116" spans="2:12" ht="13.5" thickBot="1">
      <c r="B116" s="341" t="s">
        <v>384</v>
      </c>
      <c r="C116" s="27" t="s">
        <v>385</v>
      </c>
      <c r="D116" s="385">
        <v>2010</v>
      </c>
      <c r="E116" s="386">
        <v>2017</v>
      </c>
      <c r="F116" s="386">
        <v>2020</v>
      </c>
      <c r="G116" s="386">
        <v>2030</v>
      </c>
      <c r="H116" s="386">
        <v>2050</v>
      </c>
      <c r="I116" s="396" t="s">
        <v>975</v>
      </c>
    </row>
    <row r="117" spans="2:12">
      <c r="B117" s="12" t="s">
        <v>237</v>
      </c>
      <c r="C117" s="12" t="s">
        <v>387</v>
      </c>
      <c r="D117" s="368">
        <f ca="1">'CHT2'!H41</f>
        <v>0.94850659782654223</v>
      </c>
      <c r="E117" s="368">
        <f ca="1">'CHT2'!I41</f>
        <v>1.0638297872340428</v>
      </c>
      <c r="F117" s="369">
        <v>1</v>
      </c>
      <c r="G117" s="368">
        <f>F117/0.997^10</f>
        <v>1.0305009984051596</v>
      </c>
      <c r="H117" s="368">
        <f>G117/0.997^10</f>
        <v>1.0619323077140308</v>
      </c>
      <c r="I117" s="397">
        <f ca="1">(D117*2+E117*5)/7/0.9</f>
        <v>1.1454225606068726</v>
      </c>
    </row>
    <row r="118" spans="2:12">
      <c r="B118" s="12" t="s">
        <v>235</v>
      </c>
      <c r="C118" s="12" t="s">
        <v>89</v>
      </c>
      <c r="D118" s="368">
        <f ca="1">'CHW2'!H25</f>
        <v>0.86777867275010556</v>
      </c>
      <c r="E118" s="368">
        <v>1</v>
      </c>
      <c r="F118" s="368">
        <f>E118/0.994^3</f>
        <v>1.0182181796046126</v>
      </c>
      <c r="G118" s="368">
        <f>F118/0.995^10</f>
        <v>1.0705576010487627</v>
      </c>
      <c r="H118" s="368">
        <f>G118/0.9955^20</f>
        <v>1.1716145382384187</v>
      </c>
      <c r="I118" s="398"/>
    </row>
    <row r="119" spans="2:12">
      <c r="B119" s="12" t="s">
        <v>253</v>
      </c>
      <c r="C119" s="12" t="s">
        <v>388</v>
      </c>
      <c r="D119" s="368">
        <f ca="1">'RHT2'!H43</f>
        <v>0.98043453030289263</v>
      </c>
      <c r="E119" s="368">
        <f ca="1">'RHT2'!I43</f>
        <v>1.0638297872340425</v>
      </c>
      <c r="F119" s="369">
        <v>1</v>
      </c>
      <c r="G119" s="368">
        <f>F119/0.997^10</f>
        <v>1.0305009984051596</v>
      </c>
      <c r="H119" s="368">
        <f>G119/0.997^10</f>
        <v>1.0619323077140308</v>
      </c>
      <c r="I119" s="397">
        <f ca="1">(D119*2+E119*5)/7/0.9</f>
        <v>1.1555584121866662</v>
      </c>
    </row>
    <row r="120" spans="2:12">
      <c r="B120" s="12" t="s">
        <v>252</v>
      </c>
      <c r="C120" s="12" t="s">
        <v>755</v>
      </c>
      <c r="D120" s="368">
        <f ca="1">'RHT2'!H44</f>
        <v>0.99290940436935726</v>
      </c>
      <c r="E120" s="368">
        <f ca="1">'RHT2'!I44</f>
        <v>1.0638297872340425</v>
      </c>
      <c r="F120" s="369">
        <v>1</v>
      </c>
      <c r="G120" s="368">
        <f>F120/0.997^10</f>
        <v>1.0305009984051596</v>
      </c>
      <c r="H120" s="368">
        <f>G120/0.997^10</f>
        <v>1.0619323077140308</v>
      </c>
      <c r="I120" s="397">
        <f ca="1">(D120*2+E120*5)/7/0.9</f>
        <v>1.1595186896680838</v>
      </c>
    </row>
    <row r="121" spans="2:12">
      <c r="B121" s="12" t="s">
        <v>909</v>
      </c>
      <c r="C121" s="12" t="s">
        <v>908</v>
      </c>
      <c r="D121" s="368">
        <f ca="1">'RHW2'!H40</f>
        <v>1.0789325652222521</v>
      </c>
      <c r="E121" s="368">
        <v>1</v>
      </c>
      <c r="F121" s="368">
        <f>E121/0.994^3</f>
        <v>1.0182181796046126</v>
      </c>
      <c r="G121" s="368">
        <f>F121/0.995^10</f>
        <v>1.0705576010487627</v>
      </c>
      <c r="H121" s="368">
        <f>G121/0.9955^20</f>
        <v>1.1716145382384187</v>
      </c>
      <c r="I121" s="398"/>
    </row>
    <row r="122" spans="2:12">
      <c r="B122" s="12" t="s">
        <v>906</v>
      </c>
      <c r="C122" s="12" t="s">
        <v>907</v>
      </c>
      <c r="D122" s="368">
        <f ca="1">'RHW2'!H41</f>
        <v>0.97971603450714451</v>
      </c>
      <c r="E122" s="368">
        <v>1</v>
      </c>
      <c r="F122" s="368">
        <f>E122/0.994^3</f>
        <v>1.0182181796046126</v>
      </c>
      <c r="G122" s="368">
        <f>F122/0.995^10</f>
        <v>1.0705576010487627</v>
      </c>
      <c r="H122" s="368">
        <f>G122/0.9955^20</f>
        <v>1.1716145382384187</v>
      </c>
      <c r="I122" s="398"/>
    </row>
    <row r="123" spans="2:12">
      <c r="B123" s="12" t="s">
        <v>1132</v>
      </c>
      <c r="C123" s="12" t="s">
        <v>89</v>
      </c>
      <c r="D123" s="368">
        <f ca="1">1/SUM('RHW2'!J18,'RHW2'!J30)</f>
        <v>0.15150706983941928</v>
      </c>
      <c r="E123" s="368">
        <f ca="1">1/SUM('RHW2'!K18,'RHW2'!K30)</f>
        <v>0.15154002821035395</v>
      </c>
      <c r="F123" s="368"/>
      <c r="G123" s="368"/>
      <c r="H123" s="368"/>
      <c r="I123" s="398"/>
    </row>
    <row r="124" spans="2:12">
      <c r="B124" s="12" t="s">
        <v>1128</v>
      </c>
      <c r="C124" s="12" t="s">
        <v>388</v>
      </c>
      <c r="D124" s="368">
        <f ca="1">1/'RHT2'!F47</f>
        <v>0.21263034841115661</v>
      </c>
      <c r="E124" s="368">
        <f ca="1">1/'RHT2'!G47</f>
        <v>0.21263034841115661</v>
      </c>
      <c r="F124" s="368"/>
      <c r="G124" s="368"/>
      <c r="H124" s="368"/>
      <c r="I124" s="398"/>
    </row>
    <row r="125" spans="2:12">
      <c r="B125" s="12" t="s">
        <v>1129</v>
      </c>
      <c r="C125" s="12" t="s">
        <v>755</v>
      </c>
      <c r="D125" s="368">
        <f ca="1">1/'RHT2'!F48</f>
        <v>5.7389829062409872E-2</v>
      </c>
      <c r="E125" s="368">
        <f ca="1">1/'RHT2'!G48</f>
        <v>5.7389829062409872E-2</v>
      </c>
      <c r="F125" s="368"/>
      <c r="G125" s="368"/>
      <c r="H125" s="368"/>
      <c r="I125" s="398"/>
    </row>
    <row r="126" spans="2:12">
      <c r="B126" s="12" t="s">
        <v>1130</v>
      </c>
      <c r="C126" s="12" t="s">
        <v>387</v>
      </c>
      <c r="D126" s="368">
        <f ca="1">1/'CHT2'!F45</f>
        <v>8.4265968020767593E-2</v>
      </c>
      <c r="E126" s="368">
        <f ca="1">1/'CHT2'!G45</f>
        <v>8.4265968020767593E-2</v>
      </c>
      <c r="F126" s="368"/>
      <c r="G126" s="368"/>
      <c r="H126" s="368"/>
      <c r="I126" s="398"/>
    </row>
    <row r="127" spans="2:12">
      <c r="B127" s="12" t="s">
        <v>1115</v>
      </c>
      <c r="C127" s="12" t="s">
        <v>1118</v>
      </c>
      <c r="D127" s="368">
        <f ca="1">'RHT2'!J47</f>
        <v>0.88884751646945592</v>
      </c>
      <c r="E127" s="368">
        <f ca="1">'RHT2'!K47</f>
        <v>0.88998815077292004</v>
      </c>
      <c r="F127" s="368"/>
      <c r="G127" s="368"/>
      <c r="H127" s="368"/>
      <c r="I127" s="398"/>
    </row>
    <row r="128" spans="2:12">
      <c r="B128" s="12" t="s">
        <v>1116</v>
      </c>
      <c r="C128" s="12" t="s">
        <v>1118</v>
      </c>
      <c r="D128" s="368">
        <f ca="1">'RHT2'!J48</f>
        <v>0.89009054158250211</v>
      </c>
      <c r="E128" s="368">
        <f ca="1">'RHT2'!K48</f>
        <v>0.88998815077291993</v>
      </c>
      <c r="F128" s="368"/>
      <c r="G128" s="368"/>
      <c r="H128" s="368"/>
      <c r="I128" s="398"/>
    </row>
    <row r="129" spans="2:9">
      <c r="B129" s="12" t="s">
        <v>1117</v>
      </c>
      <c r="C129" s="12" t="s">
        <v>1119</v>
      </c>
      <c r="D129" s="368">
        <f ca="1">'CHT2'!J45</f>
        <v>0.70095718709348975</v>
      </c>
      <c r="E129" s="368">
        <f ca="1">'CHT2'!K45</f>
        <v>0.70076216530305224</v>
      </c>
      <c r="F129" s="368"/>
      <c r="G129" s="368"/>
      <c r="H129" s="368"/>
      <c r="I129" s="398"/>
    </row>
  </sheetData>
  <phoneticPr fontId="0" type="noConversion"/>
  <pageMargins left="0.75" right="0.75" top="1" bottom="1" header="0.5" footer="0.5"/>
  <pageSetup orientation="landscape" horizontalDpi="300" verticalDpi="300" r:id="rId1"/>
  <headerFooter alignWithMargins="0"/>
  <legacyDrawing r:id="rId2"/>
</worksheet>
</file>

<file path=xl/worksheets/sheet42.xml><?xml version="1.0" encoding="utf-8"?>
<worksheet xmlns="http://schemas.openxmlformats.org/spreadsheetml/2006/main" xmlns:r="http://schemas.openxmlformats.org/officeDocument/2006/relationships">
  <sheetPr codeName="Sheet56"/>
  <dimension ref="A1:AC214"/>
  <sheetViews>
    <sheetView zoomScale="75" workbookViewId="0">
      <selection activeCell="D4" sqref="D4"/>
    </sheetView>
  </sheetViews>
  <sheetFormatPr defaultColWidth="11.42578125" defaultRowHeight="12.75"/>
  <cols>
    <col min="1" max="1" width="9.42578125" customWidth="1"/>
    <col min="2" max="2" width="13.5703125" customWidth="1"/>
    <col min="3" max="3" width="43.140625" customWidth="1"/>
    <col min="4" max="4" width="10.85546875" customWidth="1"/>
    <col min="5" max="6" width="9.7109375" bestFit="1" customWidth="1"/>
    <col min="7" max="8" width="11.42578125" customWidth="1"/>
    <col min="9" max="9" width="10.42578125" customWidth="1"/>
    <col min="10" max="24" width="11.42578125" customWidth="1"/>
    <col min="25" max="25" width="13.140625" customWidth="1"/>
  </cols>
  <sheetData>
    <row r="1" spans="1:29" ht="18">
      <c r="A1" s="10" t="s">
        <v>124</v>
      </c>
      <c r="D1" t="s">
        <v>250</v>
      </c>
    </row>
    <row r="2" spans="1:29" s="22" customFormat="1" ht="18">
      <c r="A2" s="83"/>
      <c r="D2" s="245"/>
      <c r="E2" s="74"/>
      <c r="F2" s="74"/>
      <c r="G2" s="74"/>
      <c r="H2" s="74"/>
      <c r="J2" s="56"/>
    </row>
    <row r="3" spans="1:29" ht="18">
      <c r="B3" s="16"/>
      <c r="C3" s="17"/>
      <c r="D3" s="245"/>
      <c r="P3" s="18">
        <v>1</v>
      </c>
      <c r="Q3" t="s">
        <v>666</v>
      </c>
      <c r="AB3" s="10"/>
      <c r="AC3" s="358">
        <v>1</v>
      </c>
    </row>
    <row r="4" spans="1:29" ht="18">
      <c r="B4" s="131" t="s">
        <v>594</v>
      </c>
      <c r="C4" s="98"/>
      <c r="D4" s="252" t="str">
        <f>"~FI_T: "&amp;Region&amp;"~EUR10"</f>
        <v>~FI_T: FIM~EUR10</v>
      </c>
      <c r="E4" s="4"/>
      <c r="S4" s="4"/>
      <c r="T4" s="4"/>
    </row>
    <row r="5" spans="1:29" ht="48.75" customHeight="1" thickBot="1">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tr">
        <f ca="1">J5&amp;"~"&amp;AuxYear</f>
        <v>EFF~2017</v>
      </c>
      <c r="L5" s="52" t="s">
        <v>758</v>
      </c>
      <c r="M5" s="52" t="s">
        <v>661</v>
      </c>
      <c r="N5" s="52" t="str">
        <f ca="1">"CF~"&amp;AuxYear</f>
        <v>CF~2017</v>
      </c>
      <c r="O5" s="52" t="s">
        <v>88</v>
      </c>
      <c r="P5" s="52" t="s">
        <v>541</v>
      </c>
      <c r="Q5" s="52" t="str">
        <f ca="1">P5&amp;"~"&amp;AuxYear</f>
        <v>RESID~2017</v>
      </c>
      <c r="R5" s="52" t="str">
        <f ca="1">"RESID~"&amp;CEILING(AuxYear+7,5)</f>
        <v>RESID~2025</v>
      </c>
      <c r="S5" s="52" t="str">
        <f ca="1">"RESID~"&amp;CEILING(AuxYear+17,5)</f>
        <v>RESID~2035</v>
      </c>
      <c r="T5" s="52" t="str">
        <f ca="1">"RESID~"&amp;CEILING(AuxYear+27,5)</f>
        <v>RESID~2045</v>
      </c>
      <c r="U5" s="52" t="s">
        <v>537</v>
      </c>
      <c r="V5" s="52" t="str">
        <f ca="1">"CF~"&amp;CEILING(AuxYear+2,5)</f>
        <v>CF~2020</v>
      </c>
      <c r="W5" s="257" t="s">
        <v>381</v>
      </c>
      <c r="Y5" s="427" t="s">
        <v>993</v>
      </c>
      <c r="Z5" s="427" t="s">
        <v>995</v>
      </c>
      <c r="AA5" s="427" t="s">
        <v>996</v>
      </c>
      <c r="AB5" s="427" t="s">
        <v>997</v>
      </c>
      <c r="AC5" s="427" t="s">
        <v>998</v>
      </c>
    </row>
    <row r="6" spans="1:29" ht="16.5" customHeight="1" thickBot="1">
      <c r="B6" s="434" t="s">
        <v>999</v>
      </c>
      <c r="C6" s="190"/>
      <c r="D6" s="190"/>
      <c r="E6" s="191"/>
      <c r="F6" s="191"/>
      <c r="G6" s="191"/>
      <c r="H6" s="191"/>
      <c r="I6" s="190"/>
      <c r="J6" s="193"/>
      <c r="K6" s="191"/>
      <c r="L6" s="191"/>
      <c r="M6" s="190"/>
      <c r="N6" s="190"/>
      <c r="O6" s="191"/>
      <c r="P6" s="192"/>
      <c r="Q6" s="190"/>
      <c r="R6" s="190"/>
      <c r="S6" s="192"/>
      <c r="T6" s="190"/>
      <c r="U6" s="190"/>
      <c r="V6" s="190"/>
      <c r="W6" s="257"/>
      <c r="Y6" s="190"/>
      <c r="Z6" s="190"/>
      <c r="AA6" s="190"/>
      <c r="AB6" s="190"/>
      <c r="AC6" s="190"/>
    </row>
    <row r="7" spans="1:29" ht="14.25" customHeight="1">
      <c r="B7" s="76" t="s">
        <v>74</v>
      </c>
      <c r="C7" s="378" t="s">
        <v>553</v>
      </c>
      <c r="D7" s="36" t="str">
        <f ca="1">IEAData2!H99</f>
        <v>COMNGA</v>
      </c>
      <c r="E7" s="85">
        <f ca="1">AB7*IEAData2!B145*IEAData2!B172</f>
        <v>0.23304671999999998</v>
      </c>
      <c r="F7" s="85">
        <f ca="1">AC7*AuxData2!B145*AuxData2!B172</f>
        <v>0.23327999999999999</v>
      </c>
      <c r="G7" s="29">
        <v>0.8</v>
      </c>
      <c r="H7" s="343" t="str">
        <f t="shared" ref="H7:H18" si="0">RIGHT(D7,3)</f>
        <v>NGA</v>
      </c>
      <c r="I7" s="81">
        <v>1.01</v>
      </c>
      <c r="J7" s="6">
        <f t="shared" ref="J7:J18" si="1">G7</f>
        <v>0.8</v>
      </c>
      <c r="K7" s="6">
        <f t="shared" ref="K7:K18" si="2">J7^IF(J7&gt;1,I7,1/I7)</f>
        <v>0.80176942758945924</v>
      </c>
      <c r="L7" s="38">
        <f ca="1">F7*K7</f>
        <v>0.18703677206806904</v>
      </c>
      <c r="M7" s="19">
        <v>1</v>
      </c>
      <c r="N7" s="32">
        <v>0.25</v>
      </c>
      <c r="O7" s="32">
        <v>20</v>
      </c>
      <c r="P7" s="161">
        <f t="shared" ref="P7:P18" ca="1" si="3">J7*E7/$N7</f>
        <v>0.74574950399999995</v>
      </c>
      <c r="Q7" s="104">
        <f ca="1">K7*F7/$N7</f>
        <v>0.74814708827227616</v>
      </c>
      <c r="R7" s="104"/>
      <c r="S7" s="185">
        <f ca="1">MIN(Q7,P7*0.2)</f>
        <v>0.14914990079999998</v>
      </c>
      <c r="T7" s="40"/>
      <c r="U7" s="40"/>
      <c r="V7" s="40">
        <f t="shared" ref="V7:V18" ca="1" si="4">N7*$I$41</f>
        <v>0.26595744680851069</v>
      </c>
      <c r="W7" s="258">
        <f t="shared" ref="W7:W18" ca="1" si="5">IF($E$19=0,0,E7/$E$19)</f>
        <v>1.7718706853855574E-2</v>
      </c>
      <c r="Y7" s="430">
        <f ca="1">IF(B6="*",MATCH(LEFT(B7,3),OFFSET(CalibData2!$C$78,1,0,100),0),Y6)</f>
        <v>33</v>
      </c>
      <c r="Z7" s="436"/>
      <c r="AA7" s="436"/>
      <c r="AB7" s="361">
        <f ca="1">OFFSET(TechShar,$Y7,AB$3)</f>
        <v>0.999</v>
      </c>
      <c r="AC7" s="361">
        <f ca="1">OFFSET(TechShar,$Y7,AC$3)</f>
        <v>1</v>
      </c>
    </row>
    <row r="8" spans="1:29" ht="14.25" customHeight="1">
      <c r="B8" s="76" t="s">
        <v>77</v>
      </c>
      <c r="C8" s="378" t="s">
        <v>459</v>
      </c>
      <c r="D8" s="36" t="str">
        <f ca="1">IEAData2!H99</f>
        <v>COMNGA</v>
      </c>
      <c r="E8" s="64">
        <f ca="1">AB8*IEAData2!B145*IEAData2!B172</f>
        <v>2.3328000000000021E-4</v>
      </c>
      <c r="F8" s="64">
        <f ca="1">AC8*AuxData2!B145*AuxData2!B172</f>
        <v>0</v>
      </c>
      <c r="G8" s="29">
        <v>1.9</v>
      </c>
      <c r="H8" s="343" t="str">
        <f t="shared" si="0"/>
        <v>NGA</v>
      </c>
      <c r="I8" s="81">
        <v>1.01</v>
      </c>
      <c r="J8" s="6">
        <f t="shared" si="1"/>
        <v>1.9</v>
      </c>
      <c r="K8" s="6">
        <f t="shared" si="2"/>
        <v>1.9122344454666194</v>
      </c>
      <c r="L8" s="38">
        <f t="shared" ref="L8:L18" ca="1" si="6">F8*K8</f>
        <v>0</v>
      </c>
      <c r="M8" s="19">
        <v>1</v>
      </c>
      <c r="N8" s="32">
        <v>0.25</v>
      </c>
      <c r="O8" s="32">
        <v>20</v>
      </c>
      <c r="P8" s="373">
        <f t="shared" ca="1" si="3"/>
        <v>1.7729280000000015E-3</v>
      </c>
      <c r="Q8" s="185">
        <f t="shared" ref="Q8:Q16" ca="1" si="7">K8*F8/N8</f>
        <v>0</v>
      </c>
      <c r="R8" s="104"/>
      <c r="S8" s="185">
        <f t="shared" ref="S8:S16" ca="1" si="8">MIN(Q8,P8*0.2)</f>
        <v>0</v>
      </c>
      <c r="T8" s="40"/>
      <c r="U8" s="40"/>
      <c r="V8" s="40">
        <f t="shared" ca="1" si="4"/>
        <v>0.26595744680851069</v>
      </c>
      <c r="W8" s="258">
        <f t="shared" ca="1" si="5"/>
        <v>1.7736443297152744E-5</v>
      </c>
      <c r="Y8" s="430">
        <f ca="1">IF(B7="*",MATCH(LEFT(B8,3),OFFSET(CalibData2!$C$78,1,0,100),0),Y7)</f>
        <v>33</v>
      </c>
      <c r="Z8" s="436"/>
      <c r="AA8" s="436"/>
      <c r="AB8" s="358">
        <f ca="1">1-AB7</f>
        <v>1.0000000000000009E-3</v>
      </c>
      <c r="AC8" s="358">
        <f ca="1">1-AC7</f>
        <v>0</v>
      </c>
    </row>
    <row r="9" spans="1:29" ht="14.25" customHeight="1">
      <c r="B9" s="76" t="s">
        <v>630</v>
      </c>
      <c r="C9" s="378" t="s">
        <v>460</v>
      </c>
      <c r="D9" s="36" t="str">
        <f ca="1">IEAData2!H100</f>
        <v>COMDST</v>
      </c>
      <c r="E9" s="64">
        <f ca="1">IEAData2!B146*IEAData2!B173</f>
        <v>0.37360532401411417</v>
      </c>
      <c r="F9" s="64">
        <f ca="1">AuxData2!B146*AuxData2!B173</f>
        <v>0.48400545217238311</v>
      </c>
      <c r="G9" s="29">
        <v>0.78</v>
      </c>
      <c r="H9" s="343" t="str">
        <f t="shared" si="0"/>
        <v>DST</v>
      </c>
      <c r="I9" s="81">
        <v>1.01</v>
      </c>
      <c r="J9" s="6">
        <f t="shared" si="1"/>
        <v>0.78</v>
      </c>
      <c r="K9" s="6">
        <f t="shared" si="2"/>
        <v>0.78192117258390115</v>
      </c>
      <c r="L9" s="38">
        <f t="shared" ca="1" si="6"/>
        <v>0.37845411069963109</v>
      </c>
      <c r="M9" s="19">
        <v>1</v>
      </c>
      <c r="N9" s="32">
        <v>0.25</v>
      </c>
      <c r="O9" s="32">
        <v>20</v>
      </c>
      <c r="P9" s="161">
        <f t="shared" ca="1" si="3"/>
        <v>1.1656486109240363</v>
      </c>
      <c r="Q9" s="104">
        <f t="shared" ca="1" si="7"/>
        <v>1.5138164427985243</v>
      </c>
      <c r="R9" s="104"/>
      <c r="S9" s="185">
        <f t="shared" ca="1" si="8"/>
        <v>0.23312972218480726</v>
      </c>
      <c r="T9" s="40"/>
      <c r="U9" s="40"/>
      <c r="V9" s="40">
        <f t="shared" ca="1" si="4"/>
        <v>0.26595744680851069</v>
      </c>
      <c r="W9" s="258">
        <f t="shared" ca="1" si="5"/>
        <v>2.8405476872816821E-2</v>
      </c>
      <c r="Y9" s="430">
        <f ca="1">IF(B8="*",MATCH(LEFT(B9,3),OFFSET(CalibData2!$C$78,1,0,100),0),Y8)</f>
        <v>33</v>
      </c>
      <c r="Z9" s="436"/>
      <c r="AA9" s="436"/>
      <c r="AB9" s="294"/>
      <c r="AC9" s="294"/>
    </row>
    <row r="10" spans="1:29" ht="14.25" customHeight="1">
      <c r="B10" s="265" t="s">
        <v>631</v>
      </c>
      <c r="C10" s="402" t="s">
        <v>461</v>
      </c>
      <c r="D10" s="36" t="str">
        <f ca="1">IEAData2!H101</f>
        <v>COMHFO</v>
      </c>
      <c r="E10" s="64">
        <f ca="1">IEAData2!B147*IEAData2!B174</f>
        <v>0</v>
      </c>
      <c r="F10" s="64">
        <f ca="1">AuxData2!B147*AuxData2!B174</f>
        <v>0</v>
      </c>
      <c r="G10" s="69">
        <v>0.75</v>
      </c>
      <c r="H10" s="343" t="str">
        <f t="shared" si="0"/>
        <v>HFO</v>
      </c>
      <c r="I10" s="81">
        <v>1.01</v>
      </c>
      <c r="J10" s="6">
        <f t="shared" si="1"/>
        <v>0.75</v>
      </c>
      <c r="K10" s="6">
        <f t="shared" si="2"/>
        <v>0.75213929828851755</v>
      </c>
      <c r="L10" s="38">
        <f t="shared" ca="1" si="6"/>
        <v>0</v>
      </c>
      <c r="M10" s="19">
        <v>1</v>
      </c>
      <c r="N10" s="32">
        <v>0.25</v>
      </c>
      <c r="O10" s="68">
        <v>20</v>
      </c>
      <c r="P10" s="161">
        <f t="shared" ca="1" si="3"/>
        <v>0</v>
      </c>
      <c r="Q10" s="104">
        <f t="shared" ca="1" si="7"/>
        <v>0</v>
      </c>
      <c r="R10" s="104"/>
      <c r="S10" s="185">
        <f t="shared" ca="1" si="8"/>
        <v>0</v>
      </c>
      <c r="T10" s="53"/>
      <c r="U10" s="40"/>
      <c r="V10" s="40">
        <f t="shared" ca="1" si="4"/>
        <v>0.26595744680851069</v>
      </c>
      <c r="W10" s="258">
        <f t="shared" ca="1" si="5"/>
        <v>0</v>
      </c>
      <c r="Y10" s="430">
        <f ca="1">IF(B9="*",MATCH(LEFT(B10,3),OFFSET(CalibData2!$C$78,1,0,100),0),Y9)</f>
        <v>33</v>
      </c>
      <c r="Z10" s="436"/>
      <c r="AA10" s="436"/>
      <c r="AB10" s="294"/>
      <c r="AC10" s="294"/>
    </row>
    <row r="11" spans="1:29" ht="14.25" customHeight="1">
      <c r="B11" s="265" t="s">
        <v>632</v>
      </c>
      <c r="C11" s="402" t="s">
        <v>462</v>
      </c>
      <c r="D11" s="36" t="str">
        <f ca="1">IEAData2!H102</f>
        <v>COMKER</v>
      </c>
      <c r="E11" s="64">
        <f ca="1">IEAData2!B148*IEAData2!B175</f>
        <v>0</v>
      </c>
      <c r="F11" s="64">
        <f ca="1">AuxData2!B148*AuxData2!B175</f>
        <v>0</v>
      </c>
      <c r="G11" s="69">
        <v>0.65</v>
      </c>
      <c r="H11" s="343" t="str">
        <f t="shared" si="0"/>
        <v>KER</v>
      </c>
      <c r="I11" s="81">
        <v>1.01</v>
      </c>
      <c r="J11" s="6">
        <f t="shared" si="1"/>
        <v>0.65</v>
      </c>
      <c r="K11" s="6">
        <f t="shared" si="2"/>
        <v>0.65277828603114285</v>
      </c>
      <c r="L11" s="38">
        <f t="shared" ca="1" si="6"/>
        <v>0</v>
      </c>
      <c r="M11" s="19">
        <v>1</v>
      </c>
      <c r="N11" s="32">
        <v>0.25</v>
      </c>
      <c r="O11" s="68">
        <v>20</v>
      </c>
      <c r="P11" s="161">
        <f t="shared" ca="1" si="3"/>
        <v>0</v>
      </c>
      <c r="Q11" s="104">
        <f t="shared" ca="1" si="7"/>
        <v>0</v>
      </c>
      <c r="R11" s="104"/>
      <c r="S11" s="185">
        <f t="shared" ca="1" si="8"/>
        <v>0</v>
      </c>
      <c r="T11" s="40"/>
      <c r="U11" s="40"/>
      <c r="V11" s="40">
        <f t="shared" ca="1" si="4"/>
        <v>0.26595744680851069</v>
      </c>
      <c r="W11" s="258">
        <f t="shared" ca="1" si="5"/>
        <v>0</v>
      </c>
      <c r="Y11" s="430">
        <f ca="1">IF(B10="*",MATCH(LEFT(B11,3),OFFSET(CalibData2!$C$78,1,0,100),0),Y10)</f>
        <v>33</v>
      </c>
      <c r="Z11" s="436"/>
      <c r="AA11" s="436"/>
      <c r="AB11" s="294"/>
      <c r="AC11" s="294"/>
    </row>
    <row r="12" spans="1:29" ht="14.25" customHeight="1">
      <c r="B12" s="76" t="s">
        <v>1022</v>
      </c>
      <c r="C12" s="378" t="s">
        <v>1024</v>
      </c>
      <c r="D12" s="36" t="str">
        <f ca="1">IEAData2!H103</f>
        <v>COMCOP</v>
      </c>
      <c r="E12" s="64">
        <f ca="1">IEAData2!B149*IEAData2!B176</f>
        <v>0</v>
      </c>
      <c r="F12" s="64">
        <f ca="1">AuxData2!B149*AuxData2!B176</f>
        <v>0</v>
      </c>
      <c r="G12" s="30">
        <v>0.65</v>
      </c>
      <c r="H12" s="343" t="str">
        <f t="shared" si="0"/>
        <v>COP</v>
      </c>
      <c r="I12" s="81">
        <v>1.01</v>
      </c>
      <c r="J12" s="6">
        <f t="shared" si="1"/>
        <v>0.65</v>
      </c>
      <c r="K12" s="6">
        <f t="shared" si="2"/>
        <v>0.65277828603114285</v>
      </c>
      <c r="L12" s="38">
        <f t="shared" ca="1" si="6"/>
        <v>0</v>
      </c>
      <c r="M12" s="19">
        <v>1</v>
      </c>
      <c r="N12" s="32">
        <v>0.25</v>
      </c>
      <c r="O12" s="32">
        <v>20</v>
      </c>
      <c r="P12" s="161">
        <f t="shared" ca="1" si="3"/>
        <v>0</v>
      </c>
      <c r="Q12" s="104">
        <f t="shared" ca="1" si="7"/>
        <v>0</v>
      </c>
      <c r="R12" s="104"/>
      <c r="S12" s="185">
        <f t="shared" ca="1" si="8"/>
        <v>0</v>
      </c>
      <c r="T12" s="40"/>
      <c r="U12" s="40"/>
      <c r="V12" s="40">
        <f t="shared" ca="1" si="4"/>
        <v>0.26595744680851069</v>
      </c>
      <c r="W12" s="258">
        <f t="shared" ca="1" si="5"/>
        <v>0</v>
      </c>
      <c r="Y12" s="430">
        <f ca="1">IF(B11="*",MATCH(LEFT(B12,3),OFFSET(CalibData2!$C$78,1,0,100),0),Y11)</f>
        <v>33</v>
      </c>
      <c r="Z12" s="436"/>
      <c r="AA12" s="436"/>
      <c r="AB12" s="294"/>
      <c r="AC12" s="294"/>
    </row>
    <row r="13" spans="1:29" ht="14.25" customHeight="1">
      <c r="B13" s="76" t="s">
        <v>633</v>
      </c>
      <c r="C13" s="378" t="s">
        <v>463</v>
      </c>
      <c r="D13" s="36" t="str">
        <f ca="1">IEAData2!H104</f>
        <v>COMLPG</v>
      </c>
      <c r="E13" s="64">
        <f ca="1">IEAData2!B150*IEAData2!B177</f>
        <v>0</v>
      </c>
      <c r="F13" s="64">
        <f ca="1">AuxData2!B150*AuxData2!B177</f>
        <v>0</v>
      </c>
      <c r="G13" s="29">
        <v>0.75</v>
      </c>
      <c r="H13" s="343" t="str">
        <f t="shared" si="0"/>
        <v>LPG</v>
      </c>
      <c r="I13" s="81">
        <v>1.01</v>
      </c>
      <c r="J13" s="6">
        <f t="shared" si="1"/>
        <v>0.75</v>
      </c>
      <c r="K13" s="6">
        <f t="shared" si="2"/>
        <v>0.75213929828851755</v>
      </c>
      <c r="L13" s="38">
        <f t="shared" ca="1" si="6"/>
        <v>0</v>
      </c>
      <c r="M13" s="19">
        <v>1</v>
      </c>
      <c r="N13" s="32">
        <v>0.25</v>
      </c>
      <c r="O13" s="32">
        <v>20</v>
      </c>
      <c r="P13" s="161">
        <f t="shared" ca="1" si="3"/>
        <v>0</v>
      </c>
      <c r="Q13" s="104">
        <f t="shared" ca="1" si="7"/>
        <v>0</v>
      </c>
      <c r="R13" s="104"/>
      <c r="S13" s="185">
        <f t="shared" ca="1" si="8"/>
        <v>0</v>
      </c>
      <c r="T13" s="40"/>
      <c r="U13" s="40"/>
      <c r="V13" s="40">
        <f t="shared" ca="1" si="4"/>
        <v>0.26595744680851069</v>
      </c>
      <c r="W13" s="258">
        <f t="shared" ca="1" si="5"/>
        <v>0</v>
      </c>
      <c r="Y13" s="430">
        <f ca="1">IF(B12="*",MATCH(LEFT(B13,3),OFFSET(CalibData2!$C$78,1,0,100),0),Y12)</f>
        <v>33</v>
      </c>
      <c r="Z13" s="436"/>
      <c r="AA13" s="436"/>
      <c r="AB13" s="294"/>
      <c r="AC13" s="294"/>
    </row>
    <row r="14" spans="1:29" ht="14.25" customHeight="1">
      <c r="B14" s="76" t="s">
        <v>634</v>
      </c>
      <c r="C14" s="378" t="s">
        <v>464</v>
      </c>
      <c r="D14" s="36" t="str">
        <f ca="1">IEAData2!H105</f>
        <v>COMBIO</v>
      </c>
      <c r="E14" s="64">
        <f ca="1">IEAData2!B151*IEAData2!B178</f>
        <v>0</v>
      </c>
      <c r="F14" s="64">
        <f ca="1">AuxData2!B151*AuxData2!B178</f>
        <v>5.3999999999999999E-2</v>
      </c>
      <c r="G14" s="30">
        <f ca="1">0.69*CalibData2!$N$131</f>
        <v>0.621</v>
      </c>
      <c r="H14" s="343" t="str">
        <f t="shared" si="0"/>
        <v>BIO</v>
      </c>
      <c r="I14" s="81">
        <v>1.01</v>
      </c>
      <c r="J14" s="6">
        <f t="shared" ca="1" si="1"/>
        <v>0.621</v>
      </c>
      <c r="K14" s="6">
        <f t="shared" ca="1" si="2"/>
        <v>0.62393622098854917</v>
      </c>
      <c r="L14" s="38">
        <f t="shared" ca="1" si="6"/>
        <v>3.3692555933381656E-2</v>
      </c>
      <c r="M14" s="19">
        <v>1</v>
      </c>
      <c r="N14" s="32">
        <v>0.25</v>
      </c>
      <c r="O14" s="32">
        <v>20</v>
      </c>
      <c r="P14" s="161">
        <f t="shared" ca="1" si="3"/>
        <v>0</v>
      </c>
      <c r="Q14" s="104">
        <f t="shared" ca="1" si="7"/>
        <v>0.13477022373352662</v>
      </c>
      <c r="R14" s="104"/>
      <c r="S14" s="185">
        <f t="shared" ca="1" si="8"/>
        <v>0</v>
      </c>
      <c r="T14" s="40"/>
      <c r="U14" s="40"/>
      <c r="V14" s="40">
        <f t="shared" ca="1" si="4"/>
        <v>0.26595744680851069</v>
      </c>
      <c r="W14" s="258">
        <f t="shared" ca="1" si="5"/>
        <v>0</v>
      </c>
      <c r="Y14" s="430">
        <f ca="1">IF(B13="*",MATCH(LEFT(B14,3),OFFSET(CalibData2!$C$78,1,0,100),0),Y13)</f>
        <v>33</v>
      </c>
      <c r="Z14" s="436"/>
      <c r="AA14" s="436"/>
      <c r="AB14" s="294"/>
      <c r="AC14" s="294"/>
    </row>
    <row r="15" spans="1:29" ht="14.25" customHeight="1">
      <c r="B15" s="76" t="s">
        <v>73</v>
      </c>
      <c r="C15" s="378" t="s">
        <v>465</v>
      </c>
      <c r="D15" s="82" t="s">
        <v>842</v>
      </c>
      <c r="E15" s="64">
        <f ca="1">AB15*IEAData2!B152*IEAData2!B179</f>
        <v>0.50929218347947225</v>
      </c>
      <c r="F15" s="64">
        <f ca="1">AC15*AuxData2!B152*AuxData2!B179</f>
        <v>0.44421359835627677</v>
      </c>
      <c r="G15" s="30">
        <v>0.99</v>
      </c>
      <c r="H15" s="343" t="str">
        <f t="shared" si="0"/>
        <v>ELC</v>
      </c>
      <c r="I15" s="81">
        <v>1.01</v>
      </c>
      <c r="J15" s="6">
        <f t="shared" si="1"/>
        <v>0.99</v>
      </c>
      <c r="K15" s="6">
        <f t="shared" si="2"/>
        <v>0.99009851809462102</v>
      </c>
      <c r="L15" s="38">
        <f t="shared" ca="1" si="6"/>
        <v>0.43981522545002882</v>
      </c>
      <c r="M15" s="19">
        <v>1</v>
      </c>
      <c r="N15" s="32">
        <v>0.25</v>
      </c>
      <c r="O15" s="32">
        <v>20</v>
      </c>
      <c r="P15" s="161">
        <f t="shared" ca="1" si="3"/>
        <v>2.0167970465787102</v>
      </c>
      <c r="Q15" s="104">
        <f t="shared" ca="1" si="7"/>
        <v>1.7592609018001153</v>
      </c>
      <c r="R15" s="104"/>
      <c r="S15" s="185">
        <f t="shared" ca="1" si="8"/>
        <v>0.40335940931574205</v>
      </c>
      <c r="T15" s="40"/>
      <c r="U15" s="40"/>
      <c r="V15" s="40">
        <f t="shared" ca="1" si="4"/>
        <v>0.26595744680851069</v>
      </c>
      <c r="W15" s="258">
        <f t="shared" ca="1" si="5"/>
        <v>3.8721844710077002E-2</v>
      </c>
      <c r="Y15" s="430">
        <f ca="1">IF(B14="*",MATCH(LEFT(B15,3),OFFSET(CalibData2!$C$78,1,0,100),0),Y14)</f>
        <v>33</v>
      </c>
      <c r="Z15" s="436"/>
      <c r="AA15" s="436"/>
      <c r="AB15" s="361">
        <f ca="1">OFFSET(TechShar,$Y15+1,AB$3)</f>
        <v>0.85</v>
      </c>
      <c r="AC15" s="361">
        <f ca="1">OFFSET(TechShar,$Y15+1,AC$3)</f>
        <v>0.7308593749576735</v>
      </c>
    </row>
    <row r="16" spans="1:29" ht="14.25" customHeight="1">
      <c r="B16" s="265" t="s">
        <v>922</v>
      </c>
      <c r="C16" s="402" t="s">
        <v>466</v>
      </c>
      <c r="D16" s="82" t="s">
        <v>952</v>
      </c>
      <c r="E16" s="64">
        <f ca="1">AB16*IEAData2!B152*IEAData2!B179</f>
        <v>8.9875091202259824E-2</v>
      </c>
      <c r="F16" s="64">
        <f ca="1">AC16*AuxData2!B152*AuxData2!B179</f>
        <v>0.16358266666666649</v>
      </c>
      <c r="G16" s="65">
        <v>2</v>
      </c>
      <c r="H16" s="343" t="str">
        <f t="shared" si="0"/>
        <v>ELC</v>
      </c>
      <c r="I16" s="81">
        <v>1.01</v>
      </c>
      <c r="J16" s="6">
        <f t="shared" si="1"/>
        <v>2</v>
      </c>
      <c r="K16" s="6">
        <f t="shared" si="2"/>
        <v>2.0139111001134378</v>
      </c>
      <c r="L16" s="38">
        <f t="shared" ca="1" si="6"/>
        <v>0.3294409481861561</v>
      </c>
      <c r="M16" s="19">
        <v>1</v>
      </c>
      <c r="N16" s="32">
        <v>0.25</v>
      </c>
      <c r="O16" s="66">
        <v>15</v>
      </c>
      <c r="P16" s="161">
        <f t="shared" ca="1" si="3"/>
        <v>0.71900072961807859</v>
      </c>
      <c r="Q16" s="104">
        <f t="shared" ca="1" si="7"/>
        <v>1.3177637927446244</v>
      </c>
      <c r="R16" s="104"/>
      <c r="S16" s="185">
        <f t="shared" ca="1" si="8"/>
        <v>0.14380014592361573</v>
      </c>
      <c r="T16" s="53"/>
      <c r="U16" s="53"/>
      <c r="V16" s="40">
        <f t="shared" ca="1" si="4"/>
        <v>0.26595744680851069</v>
      </c>
      <c r="W16" s="258">
        <f t="shared" ca="1" si="5"/>
        <v>6.8332667135430018E-3</v>
      </c>
      <c r="Y16" s="430">
        <f ca="1">IF(B15="*",MATCH(LEFT(B16,3),OFFSET(CalibData2!$C$78,1,0,100),0),Y15)</f>
        <v>33</v>
      </c>
      <c r="Z16" s="436"/>
      <c r="AA16" s="436"/>
      <c r="AB16" s="358">
        <f ca="1">1-AB15</f>
        <v>0.15000000000000002</v>
      </c>
      <c r="AC16" s="358">
        <f ca="1">1-AC15</f>
        <v>0.2691406250423265</v>
      </c>
    </row>
    <row r="17" spans="2:29" ht="14.25" customHeight="1">
      <c r="B17" s="265" t="s">
        <v>635</v>
      </c>
      <c r="C17" s="402" t="s">
        <v>467</v>
      </c>
      <c r="D17" s="36" t="str">
        <f ca="1">IEAData2!H107</f>
        <v>COMHET</v>
      </c>
      <c r="E17" s="64">
        <f ca="1">IEAData2!B153*IEAData2!B180</f>
        <v>11.946528000000002</v>
      </c>
      <c r="F17" s="64">
        <f ca="1">AuxData2!B153*AuxData2!B180</f>
        <v>10.296575999999998</v>
      </c>
      <c r="G17" s="69">
        <v>0.95</v>
      </c>
      <c r="H17" s="343" t="str">
        <f t="shared" si="0"/>
        <v>HET</v>
      </c>
      <c r="I17" s="81">
        <v>1.01</v>
      </c>
      <c r="J17" s="6">
        <f t="shared" si="1"/>
        <v>0.95</v>
      </c>
      <c r="K17" s="6">
        <f t="shared" si="2"/>
        <v>0.95048258421076803</v>
      </c>
      <c r="L17" s="38">
        <f t="shared" ca="1" si="6"/>
        <v>9.7867161650025718</v>
      </c>
      <c r="M17" s="19">
        <v>1</v>
      </c>
      <c r="N17" s="66">
        <v>0.25</v>
      </c>
      <c r="O17" s="68">
        <v>20</v>
      </c>
      <c r="P17" s="161">
        <f t="shared" ca="1" si="3"/>
        <v>45.39680640000001</v>
      </c>
      <c r="Q17" s="104">
        <f ca="1">K17*F17/N17</f>
        <v>39.146864660010287</v>
      </c>
      <c r="R17" s="118">
        <f ca="1">Q17*0.75</f>
        <v>29.360148495007714</v>
      </c>
      <c r="S17" s="351">
        <f ca="1">R17*0.5</f>
        <v>14.680074247503857</v>
      </c>
      <c r="T17" s="53"/>
      <c r="U17" s="53"/>
      <c r="V17" s="53">
        <f t="shared" ca="1" si="4"/>
        <v>0.26595744680851069</v>
      </c>
      <c r="W17" s="258">
        <f t="shared" ca="1" si="5"/>
        <v>0.90830296840641045</v>
      </c>
      <c r="Y17" s="430">
        <f ca="1">IF(B16="*",MATCH(LEFT(B17,3),OFFSET(CalibData2!$C$78,1,0,100),0),Y16)</f>
        <v>33</v>
      </c>
      <c r="Z17" s="436"/>
      <c r="AA17" s="436"/>
      <c r="AB17" s="299"/>
      <c r="AC17" s="299"/>
    </row>
    <row r="18" spans="2:29" ht="14.25" customHeight="1" thickBot="1">
      <c r="B18" s="266" t="s">
        <v>152</v>
      </c>
      <c r="C18" s="403" t="s">
        <v>468</v>
      </c>
      <c r="D18" s="24" t="str">
        <f ca="1">IEAData2!H108</f>
        <v>COMGEO</v>
      </c>
      <c r="E18" s="34">
        <f ca="1">IEAData2!B154*IEAData2!B181</f>
        <v>0</v>
      </c>
      <c r="F18" s="34">
        <f ca="1">AuxData2!B154*AuxData2!B181</f>
        <v>0</v>
      </c>
      <c r="G18" s="71">
        <v>0.95</v>
      </c>
      <c r="H18" s="343" t="str">
        <f t="shared" si="0"/>
        <v>GEO</v>
      </c>
      <c r="I18" s="81">
        <v>1.01</v>
      </c>
      <c r="J18" s="6">
        <f t="shared" si="1"/>
        <v>0.95</v>
      </c>
      <c r="K18" s="6">
        <f t="shared" si="2"/>
        <v>0.95048258421076803</v>
      </c>
      <c r="L18" s="38">
        <f t="shared" ca="1" si="6"/>
        <v>0</v>
      </c>
      <c r="M18" s="73">
        <v>1</v>
      </c>
      <c r="N18" s="86">
        <v>0.25</v>
      </c>
      <c r="O18" s="72">
        <v>20</v>
      </c>
      <c r="P18" s="162">
        <f t="shared" ca="1" si="3"/>
        <v>0</v>
      </c>
      <c r="Q18" s="104">
        <f ca="1">K18*F18/N18</f>
        <v>0</v>
      </c>
      <c r="R18" s="20"/>
      <c r="S18" s="352">
        <f ca="1">P18*0.4</f>
        <v>0</v>
      </c>
      <c r="T18" s="54"/>
      <c r="U18" s="54"/>
      <c r="V18" s="53">
        <f t="shared" ca="1" si="4"/>
        <v>0.26595744680851069</v>
      </c>
      <c r="W18" s="258">
        <f t="shared" ca="1" si="5"/>
        <v>0</v>
      </c>
      <c r="Y18" s="430">
        <f ca="1">IF(B17="*",MATCH(LEFT(B18,3),OFFSET(CalibData2!$C$78,1,0,100),0),Y17)</f>
        <v>33</v>
      </c>
      <c r="Z18" s="436"/>
      <c r="AA18" s="436"/>
      <c r="AB18" s="362"/>
      <c r="AC18" s="362"/>
    </row>
    <row r="19" spans="2:29" ht="14.25" customHeight="1" thickBot="1">
      <c r="B19" s="434" t="s">
        <v>999</v>
      </c>
      <c r="C19" s="190" t="s">
        <v>1001</v>
      </c>
      <c r="D19" s="190"/>
      <c r="E19" s="191">
        <f ca="1">SUM(E7:E18)</f>
        <v>13.152580598695849</v>
      </c>
      <c r="F19" s="191">
        <f ca="1">SUM(F7:F18)</f>
        <v>11.675657717195325</v>
      </c>
      <c r="G19" s="191"/>
      <c r="H19" s="191">
        <f ca="1">SUMPRODUCT(E$7:E18,J$7:J18)</f>
        <v>12.511443804780209</v>
      </c>
      <c r="I19" s="190"/>
      <c r="J19" s="193"/>
      <c r="K19" s="191">
        <f ca="1">SUMPRODUCT(F7:F18,K7:K18)</f>
        <v>11.155155777339839</v>
      </c>
      <c r="L19" s="191">
        <f ca="1">SUM(L7:L18)</f>
        <v>11.155155777339839</v>
      </c>
      <c r="M19" s="190"/>
      <c r="N19" s="190"/>
      <c r="O19" s="191"/>
      <c r="P19" s="192">
        <f ca="1">SUM(P7:P18)</f>
        <v>50.045775219120834</v>
      </c>
      <c r="Q19" s="190"/>
      <c r="R19" s="190"/>
      <c r="S19" s="192"/>
      <c r="T19" s="190"/>
      <c r="U19" s="190"/>
      <c r="V19" s="190"/>
      <c r="W19" s="259">
        <f ca="1">SUM(W7:W18)</f>
        <v>1</v>
      </c>
      <c r="Y19" s="190"/>
      <c r="Z19" s="190"/>
      <c r="AA19" s="190"/>
      <c r="AB19" s="190"/>
      <c r="AC19" s="190"/>
    </row>
    <row r="20" spans="2:29" ht="14.25" customHeight="1">
      <c r="B20" s="76" t="s">
        <v>78</v>
      </c>
      <c r="C20" s="378" t="s">
        <v>469</v>
      </c>
      <c r="D20" s="36" t="str">
        <f ca="1">IEAData2!H99</f>
        <v>COMNGA</v>
      </c>
      <c r="E20" s="85">
        <f ca="1">AB20*IEAData2!C145*IEAData2!B172</f>
        <v>0</v>
      </c>
      <c r="F20" s="85">
        <f ca="1">AC20*AuxData2!C145*AuxData2!B172</f>
        <v>0</v>
      </c>
      <c r="G20" s="29">
        <v>0.8</v>
      </c>
      <c r="H20" s="343" t="str">
        <f t="shared" ref="H20:H31" si="9">RIGHT(D20,3)</f>
        <v>NGA</v>
      </c>
      <c r="I20" s="81">
        <v>1.01</v>
      </c>
      <c r="J20" s="6">
        <f t="shared" ref="J20:J31" si="10">G20</f>
        <v>0.8</v>
      </c>
      <c r="K20" s="6">
        <f t="shared" ref="K20:K31" si="11">J20^IF(J20&gt;1,I20,1/I20)</f>
        <v>0.80176942758945924</v>
      </c>
      <c r="L20" s="38">
        <f t="shared" ref="L20:L31" ca="1" si="12">F20*K20</f>
        <v>0</v>
      </c>
      <c r="M20" s="19">
        <v>1</v>
      </c>
      <c r="N20" s="32">
        <v>0.26</v>
      </c>
      <c r="O20" s="32">
        <v>20</v>
      </c>
      <c r="P20" s="161">
        <f t="shared" ref="P20:P31" ca="1" si="13">J20*E20/$N20</f>
        <v>0</v>
      </c>
      <c r="Q20" s="104">
        <f t="shared" ref="Q20:Q31" ca="1" si="14">K20*F20/N20</f>
        <v>0</v>
      </c>
      <c r="R20" s="104"/>
      <c r="S20" s="40">
        <v>0</v>
      </c>
      <c r="T20" s="40"/>
      <c r="U20" s="40">
        <v>3</v>
      </c>
      <c r="V20" s="40">
        <f t="shared" ref="V20:V31" si="15">N20*$I$42</f>
        <v>0.26</v>
      </c>
      <c r="W20" s="258">
        <f t="shared" ref="W20:W31" ca="1" si="16">IF($E$32=0,0,E20/$E$32)</f>
        <v>0</v>
      </c>
      <c r="Y20" s="430">
        <f ca="1">IF(B19="*",MATCH(LEFT(B20,3),OFFSET(CalibData2!$C$78,1,0,100),0),Y19)</f>
        <v>35</v>
      </c>
      <c r="Z20" s="436"/>
      <c r="AA20" s="436"/>
      <c r="AB20" s="361">
        <f ca="1">OFFSET(TechShar,$Y20,AB$3)</f>
        <v>1</v>
      </c>
      <c r="AC20" s="361">
        <f ca="1">OFFSET(TechShar,$Y20,AC$3)</f>
        <v>1</v>
      </c>
    </row>
    <row r="21" spans="2:29" ht="14.25" customHeight="1">
      <c r="B21" s="76" t="s">
        <v>79</v>
      </c>
      <c r="C21" s="378" t="s">
        <v>470</v>
      </c>
      <c r="D21" s="36" t="str">
        <f ca="1">IEAData2!H99</f>
        <v>COMNGA</v>
      </c>
      <c r="E21" s="64">
        <f ca="1">AB21*IEAData2!C145*IEAData2!B172</f>
        <v>0</v>
      </c>
      <c r="F21" s="64">
        <f ca="1">AB21*AuxData2!C145*AuxData2!B172</f>
        <v>0</v>
      </c>
      <c r="G21" s="29">
        <v>1.9</v>
      </c>
      <c r="H21" s="343" t="str">
        <f t="shared" si="9"/>
        <v>NGA</v>
      </c>
      <c r="I21" s="81">
        <v>1.01</v>
      </c>
      <c r="J21" s="6">
        <f t="shared" si="10"/>
        <v>1.9</v>
      </c>
      <c r="K21" s="6">
        <f t="shared" si="11"/>
        <v>1.9122344454666194</v>
      </c>
      <c r="L21" s="38">
        <f t="shared" ca="1" si="12"/>
        <v>0</v>
      </c>
      <c r="M21" s="19">
        <v>1</v>
      </c>
      <c r="N21" s="32">
        <v>0.26</v>
      </c>
      <c r="O21" s="32">
        <v>20</v>
      </c>
      <c r="P21" s="161">
        <f t="shared" ca="1" si="13"/>
        <v>0</v>
      </c>
      <c r="Q21" s="104">
        <f t="shared" ca="1" si="14"/>
        <v>0</v>
      </c>
      <c r="R21" s="104"/>
      <c r="S21" s="40">
        <v>0</v>
      </c>
      <c r="T21" s="40"/>
      <c r="U21" s="40">
        <v>3</v>
      </c>
      <c r="V21" s="40">
        <f t="shared" si="15"/>
        <v>0.26</v>
      </c>
      <c r="W21" s="258">
        <f t="shared" ca="1" si="16"/>
        <v>0</v>
      </c>
      <c r="Y21" s="430">
        <f ca="1">IF(B20="*",MATCH(LEFT(B21,3),OFFSET(CalibData2!$C$78,1,0,100),0),Y20)</f>
        <v>35</v>
      </c>
      <c r="Z21" s="436"/>
      <c r="AA21" s="436"/>
      <c r="AB21" s="358">
        <f ca="1">1-AB20</f>
        <v>0</v>
      </c>
      <c r="AC21" s="358">
        <f ca="1">1-AC20</f>
        <v>0</v>
      </c>
    </row>
    <row r="22" spans="2:29" ht="14.25" customHeight="1">
      <c r="B22" s="76" t="s">
        <v>263</v>
      </c>
      <c r="C22" s="378" t="s">
        <v>472</v>
      </c>
      <c r="D22" s="36" t="str">
        <f ca="1">IEAData2!H100</f>
        <v>COMDST</v>
      </c>
      <c r="E22" s="64">
        <f ca="1">IEAData2!C146*IEAData2!B173</f>
        <v>0</v>
      </c>
      <c r="F22" s="64">
        <f ca="1">AuxData2!C146*AuxData2!B173</f>
        <v>0</v>
      </c>
      <c r="G22" s="29">
        <v>0.78</v>
      </c>
      <c r="H22" s="343" t="str">
        <f t="shared" si="9"/>
        <v>DST</v>
      </c>
      <c r="I22" s="81">
        <v>1.01</v>
      </c>
      <c r="J22" s="6">
        <f t="shared" si="10"/>
        <v>0.78</v>
      </c>
      <c r="K22" s="6">
        <f t="shared" si="11"/>
        <v>0.78192117258390115</v>
      </c>
      <c r="L22" s="38">
        <f t="shared" ca="1" si="12"/>
        <v>0</v>
      </c>
      <c r="M22" s="19">
        <v>1</v>
      </c>
      <c r="N22" s="32">
        <v>0.26</v>
      </c>
      <c r="O22" s="32">
        <v>20</v>
      </c>
      <c r="P22" s="161">
        <f t="shared" ca="1" si="13"/>
        <v>0</v>
      </c>
      <c r="Q22" s="104">
        <f t="shared" ca="1" si="14"/>
        <v>0</v>
      </c>
      <c r="R22" s="104"/>
      <c r="S22" s="40">
        <v>0</v>
      </c>
      <c r="T22" s="40"/>
      <c r="U22" s="40">
        <v>1</v>
      </c>
      <c r="V22" s="40">
        <f t="shared" si="15"/>
        <v>0.26</v>
      </c>
      <c r="W22" s="258">
        <f t="shared" ca="1" si="16"/>
        <v>0</v>
      </c>
      <c r="Y22" s="430">
        <f ca="1">IF(B21="*",MATCH(LEFT(B22,3),OFFSET(CalibData2!$C$78,1,0,100),0),Y21)</f>
        <v>35</v>
      </c>
      <c r="Z22" s="436"/>
      <c r="AA22" s="436"/>
      <c r="AB22" s="294"/>
      <c r="AC22" s="294"/>
    </row>
    <row r="23" spans="2:29" ht="14.25" customHeight="1">
      <c r="B23" s="265" t="s">
        <v>264</v>
      </c>
      <c r="C23" s="402" t="s">
        <v>473</v>
      </c>
      <c r="D23" s="36" t="str">
        <f ca="1">IEAData2!H101</f>
        <v>COMHFO</v>
      </c>
      <c r="E23" s="64">
        <f ca="1">IEAData2!C147*IEAData2!B174</f>
        <v>0</v>
      </c>
      <c r="F23" s="64">
        <f ca="1">AuxData2!C147*AuxData2!B174</f>
        <v>0</v>
      </c>
      <c r="G23" s="69">
        <v>0.75</v>
      </c>
      <c r="H23" s="343" t="str">
        <f t="shared" si="9"/>
        <v>HFO</v>
      </c>
      <c r="I23" s="81">
        <v>1.01</v>
      </c>
      <c r="J23" s="6">
        <f t="shared" si="10"/>
        <v>0.75</v>
      </c>
      <c r="K23" s="6">
        <f t="shared" si="11"/>
        <v>0.75213929828851755</v>
      </c>
      <c r="L23" s="38">
        <f t="shared" ca="1" si="12"/>
        <v>0</v>
      </c>
      <c r="M23" s="19">
        <v>1</v>
      </c>
      <c r="N23" s="32">
        <v>0.26</v>
      </c>
      <c r="O23" s="68">
        <v>20</v>
      </c>
      <c r="P23" s="161">
        <f t="shared" ca="1" si="13"/>
        <v>0</v>
      </c>
      <c r="Q23" s="104">
        <f t="shared" ca="1" si="14"/>
        <v>0</v>
      </c>
      <c r="R23" s="104"/>
      <c r="S23" s="53">
        <v>0</v>
      </c>
      <c r="T23" s="53"/>
      <c r="U23" s="40">
        <v>8</v>
      </c>
      <c r="V23" s="40">
        <f t="shared" si="15"/>
        <v>0.26</v>
      </c>
      <c r="W23" s="258">
        <f t="shared" ca="1" si="16"/>
        <v>0</v>
      </c>
      <c r="Y23" s="430">
        <f ca="1">IF(B22="*",MATCH(LEFT(B23,3),OFFSET(CalibData2!$C$78,1,0,100),0),Y22)</f>
        <v>35</v>
      </c>
      <c r="Z23" s="436"/>
      <c r="AA23" s="436"/>
      <c r="AB23" s="294"/>
      <c r="AC23" s="294"/>
    </row>
    <row r="24" spans="2:29" ht="14.25" customHeight="1">
      <c r="B24" s="265" t="s">
        <v>265</v>
      </c>
      <c r="C24" s="402" t="s">
        <v>474</v>
      </c>
      <c r="D24" s="36" t="str">
        <f ca="1">IEAData2!H102</f>
        <v>COMKER</v>
      </c>
      <c r="E24" s="64">
        <f ca="1">IEAData2!C148*IEAData2!B175</f>
        <v>0</v>
      </c>
      <c r="F24" s="64">
        <f ca="1">AuxData2!C148*AuxData2!B175</f>
        <v>0</v>
      </c>
      <c r="G24" s="69">
        <v>0.65</v>
      </c>
      <c r="H24" s="343" t="str">
        <f t="shared" si="9"/>
        <v>KER</v>
      </c>
      <c r="I24" s="81">
        <v>1.01</v>
      </c>
      <c r="J24" s="6">
        <f t="shared" si="10"/>
        <v>0.65</v>
      </c>
      <c r="K24" s="6">
        <f t="shared" si="11"/>
        <v>0.65277828603114285</v>
      </c>
      <c r="L24" s="38">
        <f t="shared" ca="1" si="12"/>
        <v>0</v>
      </c>
      <c r="M24" s="19">
        <v>1</v>
      </c>
      <c r="N24" s="32">
        <v>0.26</v>
      </c>
      <c r="O24" s="68">
        <v>20</v>
      </c>
      <c r="P24" s="161">
        <f t="shared" ca="1" si="13"/>
        <v>0</v>
      </c>
      <c r="Q24" s="104">
        <f t="shared" ca="1" si="14"/>
        <v>0</v>
      </c>
      <c r="R24" s="104"/>
      <c r="S24" s="40">
        <v>0</v>
      </c>
      <c r="T24" s="40"/>
      <c r="U24" s="40">
        <v>6</v>
      </c>
      <c r="V24" s="40">
        <f t="shared" si="15"/>
        <v>0.26</v>
      </c>
      <c r="W24" s="258">
        <f t="shared" ca="1" si="16"/>
        <v>0</v>
      </c>
      <c r="Y24" s="430">
        <f ca="1">IF(B23="*",MATCH(LEFT(B24,3),OFFSET(CalibData2!$C$78,1,0,100),0),Y23)</f>
        <v>35</v>
      </c>
      <c r="Z24" s="436"/>
      <c r="AA24" s="436"/>
      <c r="AB24" s="294"/>
      <c r="AC24" s="294"/>
    </row>
    <row r="25" spans="2:29" ht="14.25" customHeight="1">
      <c r="B25" s="76" t="s">
        <v>1023</v>
      </c>
      <c r="C25" s="378" t="s">
        <v>1025</v>
      </c>
      <c r="D25" s="36" t="str">
        <f ca="1">IEAData2!H103</f>
        <v>COMCOP</v>
      </c>
      <c r="E25" s="64">
        <f ca="1">IEAData2!C149*IEAData2!B176</f>
        <v>0</v>
      </c>
      <c r="F25" s="64">
        <f ca="1">AuxData2!C149*AuxData2!B176</f>
        <v>0</v>
      </c>
      <c r="G25" s="30">
        <v>0.65</v>
      </c>
      <c r="H25" s="343" t="str">
        <f t="shared" si="9"/>
        <v>COP</v>
      </c>
      <c r="I25" s="81">
        <v>1.01</v>
      </c>
      <c r="J25" s="6">
        <f t="shared" si="10"/>
        <v>0.65</v>
      </c>
      <c r="K25" s="6">
        <f t="shared" si="11"/>
        <v>0.65277828603114285</v>
      </c>
      <c r="L25" s="38">
        <f t="shared" ca="1" si="12"/>
        <v>0</v>
      </c>
      <c r="M25" s="19">
        <v>1</v>
      </c>
      <c r="N25" s="32">
        <v>0.26</v>
      </c>
      <c r="O25" s="32">
        <v>20</v>
      </c>
      <c r="P25" s="161">
        <f t="shared" ca="1" si="13"/>
        <v>0</v>
      </c>
      <c r="Q25" s="104">
        <f t="shared" ca="1" si="14"/>
        <v>0</v>
      </c>
      <c r="R25" s="104"/>
      <c r="S25" s="40">
        <v>0</v>
      </c>
      <c r="T25" s="40"/>
      <c r="U25" s="40">
        <v>4</v>
      </c>
      <c r="V25" s="40">
        <f t="shared" si="15"/>
        <v>0.26</v>
      </c>
      <c r="W25" s="258">
        <f t="shared" ca="1" si="16"/>
        <v>0</v>
      </c>
      <c r="Y25" s="430">
        <f ca="1">IF(B24="*",MATCH(LEFT(B25,3),OFFSET(CalibData2!$C$78,1,0,100),0),Y24)</f>
        <v>35</v>
      </c>
      <c r="Z25" s="436"/>
      <c r="AA25" s="436"/>
      <c r="AB25" s="294"/>
      <c r="AC25" s="294"/>
    </row>
    <row r="26" spans="2:29" ht="14.25" customHeight="1">
      <c r="B26" s="76" t="s">
        <v>266</v>
      </c>
      <c r="C26" s="378" t="s">
        <v>475</v>
      </c>
      <c r="D26" s="36" t="str">
        <f ca="1">IEAData2!H104</f>
        <v>COMLPG</v>
      </c>
      <c r="E26" s="64">
        <f ca="1">IEAData2!C150*IEAData2!B177</f>
        <v>0</v>
      </c>
      <c r="F26" s="64">
        <f ca="1">AuxData2!C150*AuxData2!B177</f>
        <v>0</v>
      </c>
      <c r="G26" s="29">
        <v>0.75</v>
      </c>
      <c r="H26" s="343" t="str">
        <f t="shared" si="9"/>
        <v>LPG</v>
      </c>
      <c r="I26" s="81">
        <v>1.01</v>
      </c>
      <c r="J26" s="6">
        <f t="shared" si="10"/>
        <v>0.75</v>
      </c>
      <c r="K26" s="6">
        <f t="shared" si="11"/>
        <v>0.75213929828851755</v>
      </c>
      <c r="L26" s="38">
        <f t="shared" ca="1" si="12"/>
        <v>0</v>
      </c>
      <c r="M26" s="19">
        <v>1</v>
      </c>
      <c r="N26" s="32">
        <v>0.26</v>
      </c>
      <c r="O26" s="32">
        <v>20</v>
      </c>
      <c r="P26" s="161">
        <f t="shared" ca="1" si="13"/>
        <v>0</v>
      </c>
      <c r="Q26" s="104">
        <f t="shared" ca="1" si="14"/>
        <v>0</v>
      </c>
      <c r="R26" s="104"/>
      <c r="S26" s="40">
        <v>0</v>
      </c>
      <c r="T26" s="40"/>
      <c r="U26" s="40">
        <v>2</v>
      </c>
      <c r="V26" s="40">
        <f t="shared" si="15"/>
        <v>0.26</v>
      </c>
      <c r="W26" s="258">
        <f t="shared" ca="1" si="16"/>
        <v>0</v>
      </c>
      <c r="Y26" s="430">
        <f ca="1">IF(B25="*",MATCH(LEFT(B26,3),OFFSET(CalibData2!$C$78,1,0,100),0),Y25)</f>
        <v>35</v>
      </c>
      <c r="Z26" s="436"/>
      <c r="AA26" s="436"/>
      <c r="AB26" s="294"/>
      <c r="AC26" s="294"/>
    </row>
    <row r="27" spans="2:29" ht="14.25" customHeight="1">
      <c r="B27" s="76" t="s">
        <v>267</v>
      </c>
      <c r="C27" s="378" t="s">
        <v>476</v>
      </c>
      <c r="D27" s="36" t="str">
        <f ca="1">IEAData2!H105</f>
        <v>COMBIO</v>
      </c>
      <c r="E27" s="64">
        <f ca="1">IEAData2!C151*IEAData2!B178</f>
        <v>0</v>
      </c>
      <c r="F27" s="64">
        <f ca="1">AuxData2!C151*AuxData2!B178</f>
        <v>0</v>
      </c>
      <c r="G27" s="30">
        <f ca="1">0.69*CalibData2!$N$131</f>
        <v>0.621</v>
      </c>
      <c r="H27" s="343" t="str">
        <f t="shared" si="9"/>
        <v>BIO</v>
      </c>
      <c r="I27" s="81">
        <v>1.01</v>
      </c>
      <c r="J27" s="6">
        <f t="shared" ca="1" si="10"/>
        <v>0.621</v>
      </c>
      <c r="K27" s="6">
        <f t="shared" ca="1" si="11"/>
        <v>0.62393622098854917</v>
      </c>
      <c r="L27" s="38">
        <f t="shared" ca="1" si="12"/>
        <v>0</v>
      </c>
      <c r="M27" s="19">
        <v>1</v>
      </c>
      <c r="N27" s="32">
        <v>0.26</v>
      </c>
      <c r="O27" s="32">
        <v>20</v>
      </c>
      <c r="P27" s="161">
        <f t="shared" ca="1" si="13"/>
        <v>0</v>
      </c>
      <c r="Q27" s="104">
        <f t="shared" ca="1" si="14"/>
        <v>0</v>
      </c>
      <c r="R27" s="104"/>
      <c r="S27" s="40">
        <v>0</v>
      </c>
      <c r="T27" s="40"/>
      <c r="U27" s="40">
        <v>5</v>
      </c>
      <c r="V27" s="40">
        <f t="shared" si="15"/>
        <v>0.26</v>
      </c>
      <c r="W27" s="258">
        <f t="shared" ca="1" si="16"/>
        <v>0</v>
      </c>
      <c r="Y27" s="430">
        <f ca="1">IF(B26="*",MATCH(LEFT(B27,3),OFFSET(CalibData2!$C$78,1,0,100),0),Y26)</f>
        <v>35</v>
      </c>
      <c r="Z27" s="436"/>
      <c r="AA27" s="436"/>
      <c r="AB27" s="294"/>
      <c r="AC27" s="294"/>
    </row>
    <row r="28" spans="2:29" ht="14.25" customHeight="1">
      <c r="B28" s="76" t="s">
        <v>81</v>
      </c>
      <c r="C28" s="378" t="s">
        <v>477</v>
      </c>
      <c r="D28" s="82" t="s">
        <v>842</v>
      </c>
      <c r="E28" s="64">
        <f ca="1">AB28*IEAData2!C152*IEAData2!B179</f>
        <v>0</v>
      </c>
      <c r="F28" s="64">
        <f ca="1">AC28*AuxData2!C152*AuxData2!B179</f>
        <v>0</v>
      </c>
      <c r="G28" s="30">
        <v>1</v>
      </c>
      <c r="H28" s="343" t="str">
        <f t="shared" si="9"/>
        <v>ELC</v>
      </c>
      <c r="I28" s="81">
        <v>1.01</v>
      </c>
      <c r="J28" s="6">
        <f t="shared" si="10"/>
        <v>1</v>
      </c>
      <c r="K28" s="6">
        <f t="shared" si="11"/>
        <v>1</v>
      </c>
      <c r="L28" s="38">
        <f t="shared" ca="1" si="12"/>
        <v>0</v>
      </c>
      <c r="M28" s="19">
        <v>1</v>
      </c>
      <c r="N28" s="32">
        <v>0.26</v>
      </c>
      <c r="O28" s="32">
        <v>20</v>
      </c>
      <c r="P28" s="161">
        <f t="shared" ca="1" si="13"/>
        <v>0</v>
      </c>
      <c r="Q28" s="104">
        <f t="shared" ca="1" si="14"/>
        <v>0</v>
      </c>
      <c r="R28" s="104"/>
      <c r="S28" s="40">
        <v>0</v>
      </c>
      <c r="T28" s="40"/>
      <c r="U28" s="40">
        <v>6</v>
      </c>
      <c r="V28" s="40">
        <f t="shared" si="15"/>
        <v>0.26</v>
      </c>
      <c r="W28" s="258">
        <f t="shared" ca="1" si="16"/>
        <v>0</v>
      </c>
      <c r="Y28" s="430">
        <f ca="1">IF(B27="*",MATCH(LEFT(B28,3),OFFSET(CalibData2!$C$78,1,0,100),0),Y27)</f>
        <v>35</v>
      </c>
      <c r="Z28" s="436"/>
      <c r="AA28" s="436"/>
      <c r="AB28" s="361">
        <f ca="1">OFFSET(TechShar,$Y28+1,AB$3)</f>
        <v>0.78280000000000005</v>
      </c>
      <c r="AC28" s="361">
        <f ca="1">OFFSET(TechShar,$Y28+1,AC$3)</f>
        <v>0.755</v>
      </c>
    </row>
    <row r="29" spans="2:29" ht="14.25" customHeight="1">
      <c r="B29" s="265" t="s">
        <v>923</v>
      </c>
      <c r="C29" s="402" t="s">
        <v>478</v>
      </c>
      <c r="D29" s="82" t="s">
        <v>952</v>
      </c>
      <c r="E29" s="64">
        <f ca="1">AB29*IEAData2!C152*IEAData2!B179</f>
        <v>0</v>
      </c>
      <c r="F29" s="64">
        <f ca="1">AC29*AuxData2!C152*AuxData2!B179</f>
        <v>0</v>
      </c>
      <c r="G29" s="65">
        <v>2</v>
      </c>
      <c r="H29" s="343" t="str">
        <f t="shared" si="9"/>
        <v>ELC</v>
      </c>
      <c r="I29" s="81">
        <v>1.01</v>
      </c>
      <c r="J29" s="6">
        <f t="shared" si="10"/>
        <v>2</v>
      </c>
      <c r="K29" s="6">
        <f t="shared" si="11"/>
        <v>2.0139111001134378</v>
      </c>
      <c r="L29" s="38">
        <f t="shared" ca="1" si="12"/>
        <v>0</v>
      </c>
      <c r="M29" s="19">
        <v>1</v>
      </c>
      <c r="N29" s="32">
        <v>0.26</v>
      </c>
      <c r="O29" s="66">
        <v>15</v>
      </c>
      <c r="P29" s="161">
        <f t="shared" ca="1" si="13"/>
        <v>0</v>
      </c>
      <c r="Q29" s="104">
        <f t="shared" ca="1" si="14"/>
        <v>0</v>
      </c>
      <c r="R29" s="104"/>
      <c r="S29" s="53">
        <v>0</v>
      </c>
      <c r="T29" s="53"/>
      <c r="U29" s="53">
        <v>7</v>
      </c>
      <c r="V29" s="40">
        <f t="shared" si="15"/>
        <v>0.26</v>
      </c>
      <c r="W29" s="258">
        <f t="shared" ca="1" si="16"/>
        <v>0</v>
      </c>
      <c r="Y29" s="430">
        <f ca="1">IF(B28="*",MATCH(LEFT(B29,3),OFFSET(CalibData2!$C$78,1,0,100),0),Y28)</f>
        <v>35</v>
      </c>
      <c r="Z29" s="436"/>
      <c r="AA29" s="436"/>
      <c r="AB29" s="358">
        <f ca="1">1-AB28</f>
        <v>0.21719999999999995</v>
      </c>
      <c r="AC29" s="358">
        <f ca="1">1-AC28</f>
        <v>0.245</v>
      </c>
    </row>
    <row r="30" spans="2:29" ht="14.25" customHeight="1">
      <c r="B30" s="265" t="s">
        <v>270</v>
      </c>
      <c r="C30" s="402" t="s">
        <v>479</v>
      </c>
      <c r="D30" s="36" t="str">
        <f ca="1">IEAData2!H107</f>
        <v>COMHET</v>
      </c>
      <c r="E30" s="64">
        <f ca="1">IEAData2!C153*IEAData2!B180</f>
        <v>0</v>
      </c>
      <c r="F30" s="64">
        <f ca="1">AuxData2!C153*AuxData2!B180</f>
        <v>0</v>
      </c>
      <c r="G30" s="69">
        <v>0.95</v>
      </c>
      <c r="H30" s="343" t="str">
        <f t="shared" si="9"/>
        <v>HET</v>
      </c>
      <c r="I30" s="81">
        <v>1.01</v>
      </c>
      <c r="J30" s="6">
        <f t="shared" si="10"/>
        <v>0.95</v>
      </c>
      <c r="K30" s="6">
        <f t="shared" si="11"/>
        <v>0.95048258421076803</v>
      </c>
      <c r="L30" s="38">
        <f t="shared" ca="1" si="12"/>
        <v>0</v>
      </c>
      <c r="M30" s="19">
        <v>1</v>
      </c>
      <c r="N30" s="66">
        <v>0.26</v>
      </c>
      <c r="O30" s="68">
        <v>20</v>
      </c>
      <c r="P30" s="161">
        <f t="shared" ca="1" si="13"/>
        <v>0</v>
      </c>
      <c r="Q30" s="104">
        <f t="shared" ca="1" si="14"/>
        <v>0</v>
      </c>
      <c r="R30" s="118"/>
      <c r="S30" s="53">
        <v>0</v>
      </c>
      <c r="T30" s="53"/>
      <c r="U30" s="53">
        <v>9</v>
      </c>
      <c r="V30" s="53">
        <f t="shared" si="15"/>
        <v>0.26</v>
      </c>
      <c r="W30" s="258">
        <f t="shared" ca="1" si="16"/>
        <v>0</v>
      </c>
      <c r="Y30" s="430">
        <f ca="1">IF(B29="*",MATCH(LEFT(B30,3),OFFSET(CalibData2!$C$78,1,0,100),0),Y29)</f>
        <v>35</v>
      </c>
      <c r="Z30" s="436"/>
      <c r="AA30" s="436"/>
      <c r="AB30" s="299"/>
      <c r="AC30" s="299"/>
    </row>
    <row r="31" spans="2:29" ht="14.25" customHeight="1" thickBot="1">
      <c r="B31" s="266" t="s">
        <v>153</v>
      </c>
      <c r="C31" s="403" t="s">
        <v>480</v>
      </c>
      <c r="D31" s="24" t="str">
        <f ca="1">IEAData2!H108</f>
        <v>COMGEO</v>
      </c>
      <c r="E31" s="34">
        <f ca="1">IEAData2!C154*IEAData2!B181</f>
        <v>0</v>
      </c>
      <c r="F31" s="34">
        <f ca="1">AuxData2!C154*AuxData2!B181</f>
        <v>0</v>
      </c>
      <c r="G31" s="71">
        <v>0.95</v>
      </c>
      <c r="H31" s="343" t="str">
        <f t="shared" si="9"/>
        <v>GEO</v>
      </c>
      <c r="I31" s="81">
        <v>1.01</v>
      </c>
      <c r="J31" s="6">
        <f t="shared" si="10"/>
        <v>0.95</v>
      </c>
      <c r="K31" s="6">
        <f t="shared" si="11"/>
        <v>0.95048258421076803</v>
      </c>
      <c r="L31" s="38">
        <f t="shared" ca="1" si="12"/>
        <v>0</v>
      </c>
      <c r="M31" s="73">
        <v>1</v>
      </c>
      <c r="N31" s="86">
        <v>0.26</v>
      </c>
      <c r="O31" s="72">
        <v>20</v>
      </c>
      <c r="P31" s="162">
        <f t="shared" ca="1" si="13"/>
        <v>0</v>
      </c>
      <c r="Q31" s="104">
        <f t="shared" ca="1" si="14"/>
        <v>0</v>
      </c>
      <c r="R31" s="20"/>
      <c r="S31" s="54">
        <v>0</v>
      </c>
      <c r="T31" s="54"/>
      <c r="U31" s="54">
        <v>9</v>
      </c>
      <c r="V31" s="53">
        <f t="shared" si="15"/>
        <v>0.26</v>
      </c>
      <c r="W31" s="258">
        <f t="shared" ca="1" si="16"/>
        <v>0</v>
      </c>
      <c r="Y31" s="430">
        <f ca="1">IF(B30="*",MATCH(LEFT(B31,3),OFFSET(CalibData2!$C$78,1,0,100),0),Y30)</f>
        <v>35</v>
      </c>
      <c r="Z31" s="436"/>
      <c r="AA31" s="436"/>
      <c r="AB31" s="362"/>
      <c r="AC31" s="362"/>
    </row>
    <row r="32" spans="2:29" ht="14.25" customHeight="1">
      <c r="B32" s="434" t="s">
        <v>999</v>
      </c>
      <c r="C32" s="190" t="s">
        <v>1001</v>
      </c>
      <c r="D32" s="190"/>
      <c r="E32" s="191">
        <f ca="1">SUM(E20:E31)</f>
        <v>0</v>
      </c>
      <c r="F32" s="191">
        <f ca="1">SUM(F20:F31)</f>
        <v>0</v>
      </c>
      <c r="G32" s="191"/>
      <c r="H32" s="191">
        <f ca="1">SUMPRODUCT(E$20:E31,J$20:J31)</f>
        <v>0</v>
      </c>
      <c r="I32" s="190"/>
      <c r="J32" s="193"/>
      <c r="K32" s="191">
        <f ca="1">SUMPRODUCT(F20:F31,K20:K31)</f>
        <v>0</v>
      </c>
      <c r="L32" s="191">
        <f ca="1">SUM(L20:L31)</f>
        <v>0</v>
      </c>
      <c r="M32" s="190"/>
      <c r="N32" s="190"/>
      <c r="O32" s="191"/>
      <c r="P32" s="192">
        <f ca="1">SUM(P20:P31)</f>
        <v>0</v>
      </c>
      <c r="Q32" s="190"/>
      <c r="R32" s="190"/>
      <c r="S32" s="192"/>
      <c r="T32" s="190"/>
      <c r="U32" s="190"/>
      <c r="V32" s="190"/>
      <c r="W32" s="259">
        <f ca="1">SUM(W20:W31)</f>
        <v>0</v>
      </c>
      <c r="Y32" s="190"/>
      <c r="Z32" s="190"/>
      <c r="AA32" s="190"/>
      <c r="AB32" s="190"/>
      <c r="AC32" s="190"/>
    </row>
    <row r="33" spans="2:22">
      <c r="B33" s="123"/>
      <c r="C33" s="55"/>
      <c r="D33" s="55"/>
      <c r="E33" s="57"/>
      <c r="G33" s="57"/>
      <c r="H33" s="57"/>
      <c r="I33" s="55"/>
      <c r="J33" s="254"/>
      <c r="L33" s="57"/>
      <c r="M33" s="55"/>
      <c r="N33" s="55"/>
      <c r="O33" s="57"/>
      <c r="P33" s="161"/>
      <c r="Q33" s="55"/>
      <c r="R33" s="55"/>
      <c r="S33" s="161"/>
      <c r="T33" s="55"/>
      <c r="U33" s="55"/>
      <c r="V33" s="55"/>
    </row>
    <row r="34" spans="2:22">
      <c r="B34" s="123"/>
      <c r="C34" s="55"/>
      <c r="D34" s="256"/>
      <c r="E34" s="57"/>
      <c r="G34" s="57"/>
      <c r="H34" s="57"/>
      <c r="I34" s="55"/>
      <c r="J34" s="254"/>
      <c r="K34" s="57"/>
      <c r="L34" s="55"/>
      <c r="M34" s="55"/>
      <c r="N34" s="57"/>
      <c r="O34" s="161"/>
      <c r="P34" s="55"/>
      <c r="Q34" s="55"/>
      <c r="R34" s="161"/>
      <c r="S34" s="55"/>
      <c r="T34" s="55"/>
      <c r="U34" s="55"/>
      <c r="V34" s="55"/>
    </row>
    <row r="39" spans="2:22" ht="18">
      <c r="B39" s="155" t="s">
        <v>592</v>
      </c>
      <c r="C39" s="156"/>
      <c r="D39" s="252"/>
    </row>
    <row r="40" spans="2:22" ht="13.5" thickBot="1">
      <c r="B40" s="27" t="s">
        <v>384</v>
      </c>
      <c r="C40" s="27" t="s">
        <v>385</v>
      </c>
      <c r="D40" s="27" t="s">
        <v>243</v>
      </c>
      <c r="E40" s="344" t="s">
        <v>942</v>
      </c>
      <c r="F40" s="344" t="s">
        <v>942</v>
      </c>
      <c r="G40" s="344" t="s">
        <v>942</v>
      </c>
      <c r="H40" s="386" t="s">
        <v>974</v>
      </c>
      <c r="I40" s="386" t="s">
        <v>974</v>
      </c>
      <c r="J40" s="27"/>
      <c r="K40" s="27"/>
    </row>
    <row r="41" spans="2:22">
      <c r="B41" s="58" t="s">
        <v>237</v>
      </c>
      <c r="C41" s="28" t="str">
        <f ca="1">CONCATENATE("Commercial Space Heat - ",IEAData2!B49)</f>
        <v>Commercial Space Heat - Region1</v>
      </c>
      <c r="D41" s="80" t="s">
        <v>249</v>
      </c>
      <c r="E41" s="342">
        <f ca="1">H19/HT_DD++COM_Fuels2!$R$46</f>
        <v>16.573315366803854</v>
      </c>
      <c r="F41" s="342">
        <f ca="1">G45+COM_Fuels2!$R$46</f>
        <v>16.929974063576104</v>
      </c>
      <c r="G41" s="342">
        <f ca="1">K19/OFFSET(HT_DD,0,1)+COM_Fuels2!$S$46</f>
        <v>16.934685667622979</v>
      </c>
      <c r="H41" s="342">
        <f ca="1">IF(H19&gt;0,(F41-COM_Fuels2!$R$46)/H19,1)</f>
        <v>0.94850659782654223</v>
      </c>
      <c r="I41" s="342">
        <f ca="1">IF(K19&gt;0,(G41-COM_Fuels2!$S$46)/K19,1)</f>
        <v>1.0638297872340428</v>
      </c>
      <c r="J41" s="18"/>
      <c r="K41" s="18"/>
    </row>
    <row r="42" spans="2:22">
      <c r="B42" s="58" t="s">
        <v>238</v>
      </c>
      <c r="C42" s="28" t="str">
        <f ca="1">CONCATENATE("Commercial Space Heat - ",IEAData2!C49)</f>
        <v>Commercial Space Heat - Region2</v>
      </c>
      <c r="D42" s="80" t="s">
        <v>249</v>
      </c>
      <c r="E42" s="63">
        <f ca="1">H32</f>
        <v>0</v>
      </c>
      <c r="F42" s="63">
        <f ca="1">G42</f>
        <v>0</v>
      </c>
      <c r="G42" s="63">
        <f ca="1">K32</f>
        <v>0</v>
      </c>
      <c r="H42" s="367">
        <f ca="1">IF(E42&gt;0,F42/E42,1)</f>
        <v>1</v>
      </c>
      <c r="I42" s="367">
        <v>1</v>
      </c>
      <c r="J42" s="18"/>
      <c r="K42" s="18"/>
    </row>
    <row r="45" spans="2:22">
      <c r="F45" s="498">
        <f ca="1">H19*H41</f>
        <v>11.867186997170045</v>
      </c>
      <c r="G45" s="498">
        <f ca="1">K19*I41</f>
        <v>11.867186997170045</v>
      </c>
      <c r="H45" s="359">
        <f ca="1">(F45+COM_Fuels2!R46)</f>
        <v>16.929974063576104</v>
      </c>
      <c r="I45" s="359">
        <f ca="1">(G45+COM_Fuels2!S46)</f>
        <v>16.934685667622979</v>
      </c>
      <c r="J45" s="543">
        <f ca="1">F45/H45</f>
        <v>0.70095718709348975</v>
      </c>
      <c r="K45" s="543">
        <f ca="1">G45/I45</f>
        <v>0.70076216530305224</v>
      </c>
    </row>
    <row r="56" spans="3:26">
      <c r="C56" s="123"/>
      <c r="D56" s="123"/>
      <c r="E56" s="123"/>
      <c r="F56" s="123"/>
      <c r="G56" s="123"/>
      <c r="H56" s="128"/>
      <c r="I56" s="123"/>
      <c r="J56" s="123"/>
      <c r="K56" s="123"/>
      <c r="L56" s="123"/>
      <c r="M56" s="123"/>
      <c r="N56" s="123"/>
      <c r="O56" s="123"/>
      <c r="P56" s="128"/>
      <c r="Q56" s="128"/>
      <c r="R56" s="178"/>
      <c r="S56" s="178"/>
      <c r="T56" s="123"/>
      <c r="U56" s="123"/>
      <c r="V56" s="123"/>
      <c r="W56" s="123"/>
      <c r="X56" s="123"/>
      <c r="Y56" s="123"/>
      <c r="Z56" s="123"/>
    </row>
    <row r="57" spans="3:26">
      <c r="C57" s="123"/>
      <c r="D57" s="123"/>
      <c r="E57" s="123"/>
      <c r="F57" s="123"/>
      <c r="G57" s="123"/>
      <c r="H57" s="128"/>
      <c r="I57" s="123"/>
      <c r="J57" s="123"/>
      <c r="K57" s="123"/>
      <c r="L57" s="123"/>
      <c r="M57" s="123"/>
      <c r="N57" s="123"/>
      <c r="O57" s="123"/>
      <c r="P57" s="128"/>
      <c r="Q57" s="128"/>
      <c r="R57" s="178"/>
      <c r="S57" s="178"/>
      <c r="T57" s="123"/>
      <c r="U57" s="123"/>
      <c r="V57" s="123"/>
      <c r="W57" s="123"/>
      <c r="X57" s="123"/>
      <c r="Y57" s="123"/>
      <c r="Z57" s="123"/>
    </row>
    <row r="58" spans="3:26">
      <c r="C58" s="123"/>
      <c r="D58" s="123"/>
      <c r="E58" s="123"/>
      <c r="F58" s="123"/>
      <c r="G58" s="123"/>
      <c r="H58" s="128"/>
      <c r="I58" s="123"/>
      <c r="J58" s="123"/>
      <c r="K58" s="123"/>
      <c r="L58" s="123"/>
      <c r="M58" s="123"/>
      <c r="N58" s="123"/>
      <c r="O58" s="123"/>
      <c r="P58" s="128"/>
      <c r="Q58" s="128"/>
      <c r="R58" s="178"/>
      <c r="S58" s="178"/>
      <c r="T58" s="123"/>
      <c r="U58" s="123"/>
      <c r="V58" s="123"/>
      <c r="W58" s="123"/>
      <c r="X58" s="123"/>
      <c r="Y58" s="123"/>
      <c r="Z58" s="123"/>
    </row>
    <row r="59" spans="3:26">
      <c r="C59" s="123"/>
      <c r="D59" s="123"/>
      <c r="E59" s="123"/>
      <c r="F59" s="123"/>
      <c r="G59" s="123"/>
      <c r="H59" s="128"/>
      <c r="I59" s="123"/>
      <c r="J59" s="123"/>
      <c r="K59" s="123"/>
      <c r="L59" s="123"/>
      <c r="M59" s="123"/>
      <c r="N59" s="123"/>
      <c r="O59" s="123"/>
      <c r="P59" s="128"/>
      <c r="Q59" s="128"/>
      <c r="R59" s="178"/>
      <c r="S59" s="178"/>
      <c r="T59" s="123"/>
      <c r="U59" s="123"/>
      <c r="V59" s="123"/>
      <c r="W59" s="123"/>
      <c r="X59" s="123"/>
      <c r="Y59" s="123"/>
      <c r="Z59" s="123"/>
    </row>
    <row r="60" spans="3:26">
      <c r="C60" s="123"/>
      <c r="D60" s="123"/>
      <c r="E60" s="123"/>
      <c r="F60" s="123"/>
      <c r="G60" s="123"/>
      <c r="H60" s="128"/>
      <c r="I60" s="123"/>
      <c r="J60" s="123"/>
      <c r="K60" s="123"/>
      <c r="L60" s="123"/>
      <c r="M60" s="123"/>
      <c r="N60" s="123"/>
      <c r="O60" s="123"/>
      <c r="P60" s="128"/>
      <c r="Q60" s="128"/>
      <c r="R60" s="178"/>
      <c r="S60" s="178"/>
      <c r="T60" s="123"/>
      <c r="U60" s="123"/>
      <c r="V60" s="123"/>
      <c r="W60" s="123"/>
      <c r="X60" s="123"/>
      <c r="Y60" s="123"/>
      <c r="Z60" s="123"/>
    </row>
    <row r="61" spans="3:26">
      <c r="C61" s="123"/>
      <c r="D61" s="123"/>
      <c r="E61" s="123"/>
      <c r="F61" s="123"/>
      <c r="G61" s="123"/>
      <c r="H61" s="128"/>
      <c r="I61" s="123"/>
      <c r="J61" s="123"/>
      <c r="K61" s="123"/>
      <c r="L61" s="123"/>
      <c r="M61" s="123"/>
      <c r="N61" s="123"/>
      <c r="O61" s="123"/>
      <c r="P61" s="128"/>
      <c r="Q61" s="128"/>
      <c r="R61" s="178"/>
      <c r="S61" s="178"/>
      <c r="T61" s="123"/>
      <c r="U61" s="123"/>
      <c r="V61" s="123"/>
      <c r="W61" s="123"/>
      <c r="X61" s="123"/>
      <c r="Y61" s="123"/>
      <c r="Z61" s="123"/>
    </row>
    <row r="62" spans="3:26">
      <c r="C62" s="123"/>
      <c r="D62" s="123"/>
      <c r="E62" s="123"/>
      <c r="F62" s="123"/>
      <c r="G62" s="123"/>
      <c r="H62" s="128"/>
      <c r="I62" s="123"/>
      <c r="J62" s="123"/>
      <c r="K62" s="123"/>
      <c r="L62" s="123"/>
      <c r="M62" s="123"/>
      <c r="N62" s="123"/>
      <c r="O62" s="123"/>
      <c r="P62" s="128"/>
      <c r="Q62" s="128"/>
      <c r="R62" s="178"/>
      <c r="S62" s="178"/>
      <c r="T62" s="123"/>
      <c r="U62" s="123"/>
      <c r="V62" s="123"/>
      <c r="W62" s="123"/>
      <c r="X62" s="123"/>
      <c r="Y62" s="123"/>
      <c r="Z62" s="123"/>
    </row>
    <row r="63" spans="3:26">
      <c r="C63" s="123"/>
      <c r="D63" s="123"/>
      <c r="E63" s="123"/>
      <c r="F63" s="123"/>
      <c r="G63" s="123"/>
      <c r="H63" s="128"/>
      <c r="I63" s="123"/>
      <c r="J63" s="123"/>
      <c r="K63" s="123"/>
      <c r="L63" s="123"/>
      <c r="M63" s="123"/>
      <c r="N63" s="123"/>
      <c r="O63" s="123"/>
      <c r="P63" s="128"/>
      <c r="Q63" s="128"/>
      <c r="R63" s="178"/>
      <c r="S63" s="178"/>
      <c r="T63" s="123"/>
      <c r="U63" s="123"/>
      <c r="V63" s="123"/>
      <c r="W63" s="123"/>
      <c r="X63" s="123"/>
      <c r="Y63" s="123"/>
      <c r="Z63" s="123"/>
    </row>
    <row r="64" spans="3:26">
      <c r="C64" s="123"/>
      <c r="D64" s="123"/>
      <c r="E64" s="123"/>
      <c r="F64" s="123"/>
      <c r="G64" s="123"/>
      <c r="H64" s="128"/>
      <c r="I64" s="123"/>
      <c r="J64" s="123"/>
      <c r="K64" s="123"/>
      <c r="L64" s="123"/>
      <c r="M64" s="123"/>
      <c r="N64" s="123"/>
      <c r="O64" s="123"/>
      <c r="P64" s="128"/>
      <c r="Q64" s="128"/>
      <c r="R64" s="178"/>
      <c r="S64" s="178"/>
      <c r="T64" s="123"/>
      <c r="U64" s="123"/>
      <c r="V64" s="123"/>
      <c r="W64" s="123"/>
      <c r="X64" s="123"/>
      <c r="Y64" s="123"/>
      <c r="Z64" s="123"/>
    </row>
    <row r="65" spans="3:26">
      <c r="C65" s="123"/>
      <c r="D65" s="123"/>
      <c r="E65" s="123"/>
      <c r="F65" s="123"/>
      <c r="G65" s="123"/>
      <c r="H65" s="128"/>
      <c r="I65" s="123"/>
      <c r="J65" s="123"/>
      <c r="K65" s="123"/>
      <c r="L65" s="123"/>
      <c r="M65" s="123"/>
      <c r="N65" s="123"/>
      <c r="O65" s="123"/>
      <c r="P65" s="128"/>
      <c r="Q65" s="128"/>
      <c r="R65" s="178"/>
      <c r="S65" s="178"/>
      <c r="T65" s="123"/>
      <c r="U65" s="123"/>
      <c r="V65" s="123"/>
      <c r="W65" s="123"/>
      <c r="X65" s="123"/>
      <c r="Y65" s="123"/>
      <c r="Z65" s="123"/>
    </row>
    <row r="66" spans="3:26">
      <c r="C66" s="123"/>
      <c r="D66" s="123"/>
      <c r="E66" s="123"/>
      <c r="F66" s="123"/>
      <c r="G66" s="123"/>
      <c r="H66" s="128"/>
      <c r="I66" s="123"/>
      <c r="J66" s="123"/>
      <c r="K66" s="123"/>
      <c r="L66" s="123"/>
      <c r="M66" s="123"/>
      <c r="N66" s="123"/>
      <c r="O66" s="123"/>
      <c r="P66" s="128"/>
      <c r="Q66" s="128"/>
      <c r="R66" s="178"/>
      <c r="S66" s="178"/>
      <c r="T66" s="123"/>
      <c r="U66" s="123"/>
      <c r="V66" s="123"/>
      <c r="W66" s="123"/>
      <c r="X66" s="123"/>
      <c r="Y66" s="123"/>
      <c r="Z66" s="123"/>
    </row>
    <row r="67" spans="3:26">
      <c r="C67" s="123"/>
      <c r="D67" s="123"/>
      <c r="E67" s="123"/>
      <c r="F67" s="123"/>
      <c r="G67" s="123"/>
      <c r="H67" s="128"/>
      <c r="I67" s="123"/>
      <c r="J67" s="123"/>
      <c r="K67" s="123"/>
      <c r="L67" s="123"/>
      <c r="M67" s="123"/>
      <c r="N67" s="123"/>
      <c r="O67" s="123"/>
      <c r="P67" s="128"/>
      <c r="Q67" s="128"/>
      <c r="R67" s="178"/>
      <c r="S67" s="178"/>
      <c r="T67" s="123"/>
      <c r="U67" s="123"/>
      <c r="V67" s="123"/>
      <c r="W67" s="123"/>
      <c r="X67" s="123"/>
      <c r="Y67" s="123"/>
      <c r="Z67" s="123"/>
    </row>
    <row r="68" spans="3:26">
      <c r="C68" s="123"/>
      <c r="D68" s="123"/>
      <c r="E68" s="123"/>
      <c r="F68" s="123"/>
      <c r="G68" s="123"/>
      <c r="H68" s="128"/>
      <c r="I68" s="123"/>
      <c r="J68" s="123"/>
      <c r="K68" s="123"/>
      <c r="L68" s="123"/>
      <c r="M68" s="123"/>
      <c r="N68" s="123"/>
      <c r="O68" s="123"/>
      <c r="P68" s="128"/>
      <c r="Q68" s="128"/>
      <c r="R68" s="178"/>
      <c r="S68" s="178"/>
      <c r="T68" s="123"/>
      <c r="U68" s="123"/>
      <c r="V68" s="123"/>
      <c r="W68" s="123"/>
      <c r="X68" s="123"/>
      <c r="Y68" s="123"/>
      <c r="Z68" s="123"/>
    </row>
    <row r="69" spans="3:26">
      <c r="C69" s="123"/>
      <c r="D69" s="123"/>
      <c r="E69" s="123"/>
      <c r="F69" s="123"/>
      <c r="G69" s="123"/>
      <c r="H69" s="128"/>
      <c r="I69" s="123"/>
      <c r="J69" s="123"/>
      <c r="K69" s="123"/>
      <c r="L69" s="123"/>
      <c r="M69" s="123"/>
      <c r="N69" s="123"/>
      <c r="O69" s="123"/>
      <c r="P69" s="128"/>
      <c r="Q69" s="128"/>
      <c r="R69" s="178"/>
      <c r="S69" s="178"/>
      <c r="T69" s="123"/>
      <c r="U69" s="123"/>
      <c r="V69" s="123"/>
      <c r="W69" s="123"/>
      <c r="X69" s="123"/>
      <c r="Y69" s="123"/>
      <c r="Z69" s="123"/>
    </row>
    <row r="70" spans="3:26">
      <c r="C70" s="123"/>
      <c r="D70" s="123"/>
      <c r="E70" s="123"/>
      <c r="F70" s="123"/>
      <c r="G70" s="123"/>
      <c r="H70" s="128"/>
      <c r="I70" s="123"/>
      <c r="J70" s="123"/>
      <c r="K70" s="123"/>
      <c r="L70" s="123"/>
      <c r="M70" s="123"/>
      <c r="N70" s="123"/>
      <c r="O70" s="123"/>
      <c r="P70" s="128"/>
      <c r="Q70" s="128"/>
      <c r="R70" s="178"/>
      <c r="S70" s="178"/>
      <c r="T70" s="123"/>
      <c r="U70" s="123"/>
      <c r="V70" s="123"/>
      <c r="W70" s="123"/>
      <c r="X70" s="123"/>
      <c r="Y70" s="123"/>
      <c r="Z70" s="123"/>
    </row>
    <row r="71" spans="3:26">
      <c r="C71" s="123"/>
      <c r="D71" s="123"/>
      <c r="E71" s="123"/>
      <c r="F71" s="123"/>
      <c r="G71" s="123"/>
      <c r="H71" s="128"/>
      <c r="I71" s="123"/>
      <c r="J71" s="123"/>
      <c r="K71" s="123"/>
      <c r="L71" s="123"/>
      <c r="M71" s="123"/>
      <c r="N71" s="123"/>
      <c r="O71" s="123"/>
      <c r="P71" s="128"/>
      <c r="Q71" s="128"/>
      <c r="R71" s="178"/>
      <c r="S71" s="178"/>
      <c r="T71" s="123"/>
      <c r="U71" s="123"/>
      <c r="V71" s="123"/>
      <c r="W71" s="123"/>
      <c r="X71" s="123"/>
      <c r="Y71" s="123"/>
      <c r="Z71" s="123"/>
    </row>
    <row r="72" spans="3:26">
      <c r="C72" s="123"/>
      <c r="D72" s="123"/>
      <c r="E72" s="123"/>
      <c r="F72" s="123"/>
      <c r="G72" s="123"/>
      <c r="H72" s="128"/>
      <c r="I72" s="123"/>
      <c r="J72" s="123"/>
      <c r="K72" s="123"/>
      <c r="L72" s="123"/>
      <c r="M72" s="123"/>
      <c r="N72" s="123"/>
      <c r="O72" s="123"/>
      <c r="P72" s="128"/>
      <c r="Q72" s="128"/>
      <c r="R72" s="178"/>
      <c r="S72" s="178"/>
      <c r="T72" s="123"/>
      <c r="U72" s="123"/>
      <c r="V72" s="123"/>
      <c r="W72" s="123"/>
      <c r="X72" s="123"/>
      <c r="Y72" s="123"/>
      <c r="Z72" s="123"/>
    </row>
    <row r="73" spans="3:26">
      <c r="C73" s="123"/>
      <c r="D73" s="123"/>
      <c r="E73" s="123"/>
      <c r="F73" s="123"/>
      <c r="G73" s="123"/>
      <c r="H73" s="128"/>
      <c r="I73" s="123"/>
      <c r="J73" s="123"/>
      <c r="K73" s="123"/>
      <c r="L73" s="123"/>
      <c r="M73" s="123"/>
      <c r="N73" s="123"/>
      <c r="O73" s="123"/>
      <c r="P73" s="128"/>
      <c r="Q73" s="128"/>
      <c r="R73" s="178"/>
      <c r="S73" s="178"/>
      <c r="T73" s="123"/>
      <c r="U73" s="123"/>
      <c r="V73" s="123"/>
      <c r="W73" s="123"/>
      <c r="X73" s="123"/>
      <c r="Y73" s="123"/>
      <c r="Z73" s="123"/>
    </row>
    <row r="74" spans="3:26">
      <c r="C74" s="123"/>
      <c r="D74" s="123"/>
      <c r="E74" s="123"/>
      <c r="F74" s="123"/>
      <c r="G74" s="123"/>
      <c r="H74" s="128"/>
      <c r="I74" s="123"/>
      <c r="J74" s="123"/>
      <c r="K74" s="123"/>
      <c r="L74" s="123"/>
      <c r="M74" s="123"/>
      <c r="N74" s="123"/>
      <c r="O74" s="123"/>
      <c r="P74" s="128"/>
      <c r="Q74" s="128"/>
      <c r="R74" s="178"/>
      <c r="S74" s="178"/>
      <c r="T74" s="123"/>
      <c r="U74" s="123"/>
      <c r="V74" s="123"/>
      <c r="W74" s="123"/>
      <c r="X74" s="123"/>
      <c r="Y74" s="123"/>
      <c r="Z74" s="123"/>
    </row>
    <row r="75" spans="3:26">
      <c r="C75" s="123"/>
      <c r="D75" s="123"/>
      <c r="E75" s="123"/>
      <c r="F75" s="123"/>
      <c r="G75" s="123"/>
      <c r="H75" s="128"/>
      <c r="I75" s="123"/>
      <c r="J75" s="123"/>
      <c r="K75" s="123"/>
      <c r="L75" s="123"/>
      <c r="M75" s="123"/>
      <c r="N75" s="123"/>
      <c r="O75" s="123"/>
      <c r="P75" s="128"/>
      <c r="Q75" s="128"/>
      <c r="R75" s="178"/>
      <c r="S75" s="178"/>
      <c r="T75" s="123"/>
      <c r="U75" s="123"/>
      <c r="V75" s="123"/>
      <c r="W75" s="123"/>
      <c r="X75" s="123"/>
      <c r="Y75" s="123"/>
      <c r="Z75" s="123"/>
    </row>
    <row r="76" spans="3:26">
      <c r="C76" s="123"/>
      <c r="D76" s="123"/>
      <c r="E76" s="123"/>
      <c r="F76" s="123"/>
      <c r="G76" s="123"/>
      <c r="H76" s="128"/>
      <c r="I76" s="123"/>
      <c r="J76" s="123"/>
      <c r="K76" s="123"/>
      <c r="L76" s="123"/>
      <c r="M76" s="123"/>
      <c r="N76" s="123"/>
      <c r="O76" s="123"/>
      <c r="P76" s="128"/>
      <c r="Q76" s="128"/>
      <c r="R76" s="178"/>
      <c r="S76" s="178"/>
      <c r="T76" s="123"/>
      <c r="U76" s="123"/>
      <c r="V76" s="123"/>
      <c r="W76" s="123"/>
      <c r="X76" s="123"/>
      <c r="Y76" s="123"/>
      <c r="Z76" s="123"/>
    </row>
    <row r="77" spans="3:26">
      <c r="C77" s="123"/>
      <c r="D77" s="123"/>
      <c r="E77" s="123"/>
      <c r="F77" s="123"/>
      <c r="G77" s="123"/>
      <c r="H77" s="128"/>
      <c r="I77" s="123"/>
      <c r="J77" s="123"/>
      <c r="K77" s="123"/>
      <c r="L77" s="123"/>
      <c r="M77" s="123"/>
      <c r="N77" s="123"/>
      <c r="O77" s="123"/>
      <c r="P77" s="128"/>
      <c r="Q77" s="128"/>
      <c r="R77" s="178"/>
      <c r="S77" s="178"/>
      <c r="T77" s="123"/>
      <c r="U77" s="123"/>
      <c r="V77" s="123"/>
      <c r="W77" s="123"/>
      <c r="X77" s="123"/>
      <c r="Y77" s="123"/>
      <c r="Z77" s="123"/>
    </row>
    <row r="78" spans="3:26">
      <c r="C78" s="123"/>
      <c r="D78" s="123"/>
      <c r="E78" s="123"/>
      <c r="F78" s="123"/>
      <c r="G78" s="123"/>
      <c r="H78" s="128"/>
      <c r="I78" s="123"/>
      <c r="J78" s="123"/>
      <c r="K78" s="123"/>
      <c r="L78" s="123"/>
      <c r="M78" s="123"/>
      <c r="N78" s="123"/>
      <c r="O78" s="123"/>
      <c r="P78" s="128"/>
      <c r="Q78" s="128"/>
      <c r="R78" s="178"/>
      <c r="S78" s="178"/>
      <c r="T78" s="123"/>
      <c r="U78" s="123"/>
      <c r="V78" s="123"/>
      <c r="W78" s="123"/>
      <c r="X78" s="123"/>
      <c r="Y78" s="123"/>
      <c r="Z78" s="123"/>
    </row>
    <row r="79" spans="3:26">
      <c r="C79" s="123"/>
      <c r="D79" s="123"/>
      <c r="E79" s="123"/>
      <c r="F79" s="123"/>
      <c r="G79" s="123"/>
      <c r="H79" s="128"/>
      <c r="I79" s="123"/>
      <c r="J79" s="123"/>
      <c r="K79" s="123"/>
      <c r="L79" s="123"/>
      <c r="M79" s="123"/>
      <c r="N79" s="123"/>
      <c r="O79" s="123"/>
      <c r="P79" s="128"/>
      <c r="Q79" s="128"/>
      <c r="R79" s="178"/>
      <c r="S79" s="178"/>
      <c r="T79" s="123"/>
      <c r="U79" s="123"/>
      <c r="V79" s="123"/>
      <c r="W79" s="123"/>
      <c r="X79" s="123"/>
      <c r="Y79" s="123"/>
      <c r="Z79" s="123"/>
    </row>
    <row r="80" spans="3:26">
      <c r="C80" s="123"/>
      <c r="D80" s="123"/>
      <c r="E80" s="123"/>
      <c r="F80" s="123"/>
      <c r="G80" s="123"/>
      <c r="H80" s="128"/>
      <c r="I80" s="123"/>
      <c r="J80" s="123"/>
      <c r="K80" s="123"/>
      <c r="L80" s="123"/>
      <c r="M80" s="123"/>
      <c r="N80" s="123"/>
      <c r="O80" s="123"/>
      <c r="P80" s="128"/>
      <c r="Q80" s="128"/>
      <c r="R80" s="178"/>
      <c r="S80" s="178"/>
      <c r="T80" s="123"/>
      <c r="U80" s="123"/>
      <c r="V80" s="123"/>
      <c r="W80" s="123"/>
      <c r="X80" s="123"/>
      <c r="Y80" s="123"/>
      <c r="Z80" s="123"/>
    </row>
    <row r="81" spans="3:26">
      <c r="C81" s="123"/>
      <c r="D81" s="123"/>
      <c r="E81" s="123"/>
      <c r="F81" s="123"/>
      <c r="G81" s="123"/>
      <c r="H81" s="128"/>
      <c r="I81" s="123"/>
      <c r="J81" s="123"/>
      <c r="K81" s="123"/>
      <c r="L81" s="123"/>
      <c r="M81" s="123"/>
      <c r="N81" s="123"/>
      <c r="O81" s="123"/>
      <c r="P81" s="128"/>
      <c r="Q81" s="128"/>
      <c r="R81" s="178"/>
      <c r="S81" s="178"/>
      <c r="T81" s="123"/>
      <c r="U81" s="123"/>
      <c r="V81" s="123"/>
      <c r="W81" s="123"/>
      <c r="X81" s="123"/>
      <c r="Y81" s="123"/>
      <c r="Z81" s="123"/>
    </row>
    <row r="82" spans="3:26">
      <c r="C82" s="123"/>
      <c r="D82" s="123"/>
      <c r="E82" s="123"/>
      <c r="F82" s="123"/>
      <c r="G82" s="123"/>
      <c r="H82" s="128"/>
      <c r="I82" s="123"/>
      <c r="J82" s="123"/>
      <c r="K82" s="123"/>
      <c r="L82" s="123"/>
      <c r="M82" s="123"/>
      <c r="N82" s="123"/>
      <c r="O82" s="123"/>
      <c r="P82" s="128"/>
      <c r="Q82" s="128"/>
      <c r="R82" s="178"/>
      <c r="S82" s="178"/>
      <c r="T82" s="123"/>
      <c r="U82" s="123"/>
      <c r="V82" s="123"/>
      <c r="W82" s="123"/>
      <c r="X82" s="123"/>
      <c r="Y82" s="123"/>
      <c r="Z82" s="123"/>
    </row>
    <row r="83" spans="3:26">
      <c r="C83" s="123"/>
      <c r="D83" s="123"/>
      <c r="E83" s="123"/>
      <c r="F83" s="123"/>
      <c r="G83" s="123"/>
      <c r="H83" s="128"/>
      <c r="I83" s="123"/>
      <c r="J83" s="123"/>
      <c r="K83" s="123"/>
      <c r="L83" s="123"/>
      <c r="M83" s="123"/>
      <c r="N83" s="123"/>
      <c r="O83" s="123"/>
      <c r="P83" s="128"/>
      <c r="Q83" s="128"/>
      <c r="R83" s="178"/>
      <c r="S83" s="178"/>
      <c r="T83" s="123"/>
      <c r="U83" s="123"/>
      <c r="V83" s="123"/>
      <c r="W83" s="123"/>
      <c r="X83" s="123"/>
      <c r="Y83" s="123"/>
      <c r="Z83" s="123"/>
    </row>
    <row r="84" spans="3:26">
      <c r="C84" s="123"/>
      <c r="D84" s="123"/>
      <c r="E84" s="123"/>
      <c r="F84" s="123"/>
      <c r="G84" s="123"/>
      <c r="H84" s="128"/>
      <c r="I84" s="123"/>
      <c r="J84" s="123"/>
      <c r="K84" s="123"/>
      <c r="L84" s="123"/>
      <c r="M84" s="123"/>
      <c r="N84" s="123"/>
      <c r="O84" s="123"/>
      <c r="P84" s="128"/>
      <c r="Q84" s="128"/>
      <c r="R84" s="178"/>
      <c r="S84" s="178"/>
      <c r="T84" s="123"/>
      <c r="U84" s="123"/>
      <c r="V84" s="123"/>
      <c r="W84" s="123"/>
      <c r="X84" s="123"/>
      <c r="Y84" s="123"/>
      <c r="Z84" s="123"/>
    </row>
    <row r="85" spans="3:26">
      <c r="C85" s="123"/>
      <c r="D85" s="123"/>
      <c r="E85" s="123"/>
      <c r="F85" s="123"/>
      <c r="G85" s="123"/>
      <c r="H85" s="128"/>
      <c r="I85" s="123"/>
      <c r="J85" s="123"/>
      <c r="K85" s="123"/>
      <c r="L85" s="123"/>
      <c r="M85" s="123"/>
      <c r="N85" s="123"/>
      <c r="O85" s="123"/>
      <c r="P85" s="128"/>
      <c r="Q85" s="128"/>
      <c r="R85" s="178"/>
      <c r="S85" s="178"/>
      <c r="T85" s="123"/>
      <c r="U85" s="123"/>
      <c r="V85" s="123"/>
      <c r="W85" s="123"/>
      <c r="X85" s="123"/>
      <c r="Y85" s="123"/>
      <c r="Z85" s="123"/>
    </row>
    <row r="86" spans="3:26">
      <c r="C86" s="123"/>
      <c r="D86" s="123"/>
      <c r="E86" s="123"/>
      <c r="F86" s="123"/>
      <c r="G86" s="123"/>
      <c r="H86" s="128"/>
      <c r="I86" s="123"/>
      <c r="J86" s="123"/>
      <c r="K86" s="123"/>
      <c r="L86" s="123"/>
      <c r="M86" s="123"/>
      <c r="N86" s="123"/>
      <c r="O86" s="123"/>
      <c r="P86" s="128"/>
      <c r="Q86" s="128"/>
      <c r="R86" s="178"/>
      <c r="S86" s="178"/>
      <c r="T86" s="123"/>
      <c r="U86" s="123"/>
      <c r="V86" s="123"/>
      <c r="W86" s="123"/>
      <c r="X86" s="123"/>
      <c r="Y86" s="123"/>
      <c r="Z86" s="123"/>
    </row>
    <row r="87" spans="3:26">
      <c r="C87" s="123"/>
      <c r="D87" s="123"/>
      <c r="E87" s="123"/>
      <c r="F87" s="123"/>
      <c r="G87" s="123"/>
      <c r="H87" s="128"/>
      <c r="I87" s="123"/>
      <c r="J87" s="123"/>
      <c r="K87" s="123"/>
      <c r="L87" s="123"/>
      <c r="M87" s="123"/>
      <c r="N87" s="123"/>
      <c r="O87" s="123"/>
      <c r="P87" s="128"/>
      <c r="Q87" s="128"/>
      <c r="R87" s="178"/>
      <c r="S87" s="178"/>
      <c r="T87" s="123"/>
      <c r="U87" s="123"/>
      <c r="V87" s="123"/>
      <c r="W87" s="123"/>
      <c r="X87" s="123"/>
      <c r="Y87" s="123"/>
      <c r="Z87" s="123"/>
    </row>
    <row r="88" spans="3:26">
      <c r="C88" s="123"/>
      <c r="D88" s="123"/>
      <c r="E88" s="123"/>
      <c r="F88" s="123"/>
      <c r="G88" s="123"/>
      <c r="H88" s="128"/>
      <c r="I88" s="123"/>
      <c r="J88" s="123"/>
      <c r="K88" s="123"/>
      <c r="L88" s="123"/>
      <c r="M88" s="123"/>
      <c r="N88" s="123"/>
      <c r="O88" s="123"/>
      <c r="P88" s="128"/>
      <c r="Q88" s="128"/>
      <c r="R88" s="178"/>
      <c r="S88" s="178"/>
      <c r="T88" s="123"/>
      <c r="U88" s="123"/>
      <c r="V88" s="123"/>
      <c r="W88" s="123"/>
      <c r="X88" s="123"/>
      <c r="Y88" s="123"/>
      <c r="Z88" s="123"/>
    </row>
    <row r="89" spans="3:26">
      <c r="C89" s="123"/>
      <c r="D89" s="123"/>
      <c r="E89" s="123"/>
      <c r="F89" s="123"/>
      <c r="G89" s="123"/>
      <c r="H89" s="128"/>
      <c r="I89" s="123"/>
      <c r="J89" s="123"/>
      <c r="K89" s="123"/>
      <c r="L89" s="123"/>
      <c r="M89" s="123"/>
      <c r="N89" s="123"/>
      <c r="O89" s="123"/>
      <c r="P89" s="128"/>
      <c r="Q89" s="128"/>
      <c r="R89" s="178"/>
      <c r="S89" s="178"/>
      <c r="T89" s="123"/>
      <c r="U89" s="123"/>
      <c r="V89" s="123"/>
      <c r="W89" s="123"/>
      <c r="X89" s="123"/>
      <c r="Y89" s="123"/>
      <c r="Z89" s="123"/>
    </row>
    <row r="90" spans="3:26">
      <c r="C90" s="123"/>
      <c r="D90" s="123"/>
      <c r="E90" s="123"/>
      <c r="F90" s="123"/>
      <c r="G90" s="123"/>
      <c r="H90" s="128"/>
      <c r="I90" s="123"/>
      <c r="J90" s="123"/>
      <c r="K90" s="123"/>
      <c r="L90" s="123"/>
      <c r="M90" s="123"/>
      <c r="N90" s="123"/>
      <c r="O90" s="123"/>
      <c r="P90" s="128"/>
      <c r="Q90" s="128"/>
      <c r="R90" s="178"/>
      <c r="S90" s="178"/>
      <c r="T90" s="123"/>
      <c r="U90" s="123"/>
      <c r="V90" s="123"/>
      <c r="W90" s="123"/>
      <c r="X90" s="123"/>
      <c r="Y90" s="123"/>
      <c r="Z90" s="123"/>
    </row>
    <row r="91" spans="3:26">
      <c r="C91" s="123"/>
      <c r="D91" s="123"/>
      <c r="E91" s="123"/>
      <c r="F91" s="123"/>
      <c r="G91" s="123"/>
      <c r="H91" s="128"/>
      <c r="I91" s="123"/>
      <c r="J91" s="123"/>
      <c r="K91" s="123"/>
      <c r="L91" s="123"/>
      <c r="M91" s="123"/>
      <c r="N91" s="123"/>
      <c r="O91" s="123"/>
      <c r="P91" s="128"/>
      <c r="Q91" s="128"/>
      <c r="R91" s="178"/>
      <c r="S91" s="178"/>
      <c r="T91" s="123"/>
      <c r="U91" s="123"/>
      <c r="V91" s="123"/>
      <c r="W91" s="123"/>
      <c r="X91" s="123"/>
      <c r="Y91" s="123"/>
      <c r="Z91" s="123"/>
    </row>
    <row r="92" spans="3:26">
      <c r="C92" s="123"/>
      <c r="D92" s="123"/>
      <c r="E92" s="123"/>
      <c r="F92" s="128"/>
      <c r="G92" s="123"/>
      <c r="H92" s="128"/>
      <c r="I92" s="123"/>
      <c r="J92" s="123"/>
      <c r="K92" s="123"/>
      <c r="L92" s="123"/>
      <c r="M92" s="123"/>
      <c r="N92" s="123"/>
      <c r="O92" s="123"/>
      <c r="P92" s="128"/>
      <c r="Q92" s="128"/>
      <c r="R92" s="178"/>
      <c r="S92" s="178"/>
      <c r="T92" s="123"/>
      <c r="U92" s="123"/>
      <c r="V92" s="123"/>
      <c r="W92" s="123"/>
      <c r="X92" s="123"/>
      <c r="Y92" s="123"/>
      <c r="Z92" s="123"/>
    </row>
    <row r="93" spans="3:26">
      <c r="C93" s="123"/>
      <c r="D93" s="123"/>
      <c r="E93" s="123"/>
      <c r="F93" s="123"/>
      <c r="G93" s="123"/>
      <c r="H93" s="128"/>
      <c r="I93" s="123"/>
      <c r="J93" s="123"/>
      <c r="K93" s="123"/>
      <c r="L93" s="123"/>
      <c r="M93" s="123"/>
      <c r="N93" s="123"/>
      <c r="O93" s="123"/>
      <c r="P93" s="128"/>
      <c r="Q93" s="128"/>
      <c r="R93" s="178"/>
      <c r="S93" s="178"/>
      <c r="T93" s="123"/>
      <c r="U93" s="123"/>
      <c r="V93" s="123"/>
      <c r="W93" s="123"/>
      <c r="X93" s="123"/>
      <c r="Y93" s="123"/>
      <c r="Z93" s="123"/>
    </row>
    <row r="94" spans="3:26">
      <c r="C94" s="123"/>
      <c r="D94" s="123"/>
      <c r="E94" s="123"/>
      <c r="F94" s="123"/>
      <c r="G94" s="123"/>
      <c r="H94" s="128"/>
      <c r="I94" s="123"/>
      <c r="J94" s="123"/>
      <c r="K94" s="123"/>
      <c r="L94" s="123"/>
      <c r="M94" s="123"/>
      <c r="N94" s="123"/>
      <c r="O94" s="123"/>
      <c r="P94" s="128"/>
      <c r="Q94" s="123"/>
      <c r="R94" s="123"/>
      <c r="S94" s="123"/>
      <c r="T94" s="123"/>
      <c r="U94" s="123"/>
      <c r="V94" s="123"/>
      <c r="W94" s="123"/>
      <c r="X94" s="123"/>
      <c r="Y94" s="123"/>
      <c r="Z94" s="123"/>
    </row>
    <row r="95" spans="3:26">
      <c r="C95" s="123"/>
      <c r="D95" s="123"/>
      <c r="E95" s="123"/>
      <c r="F95" s="123"/>
      <c r="G95" s="123"/>
      <c r="H95" s="128"/>
      <c r="I95" s="123"/>
      <c r="J95" s="123"/>
      <c r="K95" s="123"/>
      <c r="L95" s="123"/>
      <c r="M95" s="123"/>
      <c r="N95" s="123"/>
      <c r="O95" s="123"/>
      <c r="P95" s="128"/>
      <c r="Q95" s="128"/>
      <c r="R95" s="178"/>
      <c r="S95" s="178"/>
      <c r="T95" s="123"/>
      <c r="U95" s="123"/>
      <c r="V95" s="123"/>
      <c r="W95" s="123"/>
      <c r="X95" s="123"/>
      <c r="Y95" s="123"/>
      <c r="Z95" s="123"/>
    </row>
    <row r="96" spans="3:26">
      <c r="C96" s="123"/>
      <c r="D96" s="123"/>
      <c r="E96" s="123"/>
      <c r="F96" s="123"/>
      <c r="G96" s="123"/>
      <c r="H96" s="128"/>
      <c r="I96" s="123"/>
      <c r="J96" s="123"/>
      <c r="K96" s="123"/>
      <c r="L96" s="123"/>
      <c r="M96" s="123"/>
      <c r="N96" s="123"/>
      <c r="O96" s="123"/>
      <c r="P96" s="128"/>
      <c r="Q96" s="123"/>
      <c r="R96" s="123"/>
      <c r="S96" s="123"/>
      <c r="T96" s="123"/>
      <c r="U96" s="123"/>
      <c r="V96" s="123"/>
      <c r="W96" s="123"/>
      <c r="X96" s="123"/>
      <c r="Y96" s="123"/>
      <c r="Z96" s="123"/>
    </row>
    <row r="97" spans="3:26">
      <c r="C97" s="123"/>
      <c r="D97" s="123"/>
      <c r="E97" s="123"/>
      <c r="F97" s="123"/>
      <c r="G97" s="122"/>
      <c r="H97" s="123"/>
      <c r="I97" s="123"/>
      <c r="J97" s="123"/>
      <c r="K97" s="123"/>
      <c r="L97" s="123"/>
      <c r="M97" s="123"/>
      <c r="N97" s="123"/>
      <c r="O97" s="123"/>
      <c r="P97" s="123"/>
      <c r="Q97" s="123"/>
      <c r="R97" s="124"/>
      <c r="S97" s="124"/>
      <c r="T97" s="123"/>
      <c r="U97" s="123"/>
      <c r="V97" s="123"/>
      <c r="W97" s="123"/>
      <c r="X97" s="123"/>
      <c r="Y97" s="123"/>
      <c r="Z97" s="123"/>
    </row>
    <row r="98" spans="3:26">
      <c r="C98" s="123"/>
      <c r="D98" s="123"/>
      <c r="E98" s="123"/>
      <c r="F98" s="123"/>
      <c r="G98" s="122"/>
      <c r="H98" s="123"/>
      <c r="I98" s="123"/>
      <c r="J98" s="123"/>
      <c r="K98" s="123"/>
      <c r="L98" s="123"/>
      <c r="M98" s="123"/>
      <c r="N98" s="123"/>
      <c r="O98" s="123"/>
      <c r="P98" s="123"/>
      <c r="Q98" s="123"/>
      <c r="R98" s="124"/>
      <c r="S98" s="124"/>
      <c r="T98" s="123"/>
      <c r="U98" s="123"/>
      <c r="V98" s="123"/>
      <c r="W98" s="123"/>
      <c r="X98" s="123"/>
      <c r="Y98" s="123"/>
      <c r="Z98" s="123"/>
    </row>
    <row r="99" spans="3:26">
      <c r="C99" s="123"/>
      <c r="D99" s="123"/>
      <c r="E99" s="123"/>
      <c r="F99" s="123"/>
      <c r="G99" s="122"/>
      <c r="H99" s="123"/>
      <c r="I99" s="123"/>
      <c r="J99" s="123"/>
      <c r="K99" s="123"/>
      <c r="L99" s="123"/>
      <c r="M99" s="123"/>
      <c r="N99" s="123"/>
      <c r="O99" s="123"/>
      <c r="P99" s="123"/>
      <c r="Q99" s="123"/>
      <c r="R99" s="124"/>
      <c r="S99" s="124"/>
      <c r="T99" s="123"/>
      <c r="U99" s="123"/>
      <c r="V99" s="123"/>
      <c r="W99" s="123"/>
      <c r="X99" s="123"/>
      <c r="Y99" s="123"/>
      <c r="Z99" s="123"/>
    </row>
    <row r="100" spans="3:26">
      <c r="C100" s="123"/>
      <c r="D100" s="123"/>
      <c r="E100" s="123"/>
      <c r="F100" s="123"/>
      <c r="G100" s="123"/>
      <c r="H100" s="128"/>
      <c r="I100" s="123"/>
      <c r="J100" s="123"/>
      <c r="K100" s="123"/>
      <c r="L100" s="123"/>
      <c r="M100" s="123"/>
      <c r="N100" s="123"/>
      <c r="O100" s="123"/>
      <c r="P100" s="128"/>
      <c r="Q100" s="128"/>
      <c r="R100" s="178"/>
      <c r="S100" s="178"/>
      <c r="T100" s="123"/>
      <c r="U100" s="123"/>
      <c r="V100" s="123"/>
      <c r="W100" s="123"/>
      <c r="X100" s="123"/>
      <c r="Y100" s="123"/>
      <c r="Z100" s="123"/>
    </row>
    <row r="101" spans="3:26">
      <c r="C101" s="123"/>
      <c r="D101" s="123"/>
      <c r="E101" s="123"/>
      <c r="F101" s="123"/>
      <c r="G101" s="123"/>
      <c r="H101" s="128"/>
      <c r="I101" s="123"/>
      <c r="J101" s="123"/>
      <c r="K101" s="123"/>
      <c r="L101" s="123"/>
      <c r="M101" s="123"/>
      <c r="N101" s="123"/>
      <c r="O101" s="123"/>
      <c r="P101" s="128"/>
      <c r="Q101" s="128"/>
      <c r="R101" s="178"/>
      <c r="S101" s="178"/>
      <c r="T101" s="123"/>
      <c r="U101" s="123"/>
      <c r="V101" s="123"/>
      <c r="W101" s="123"/>
      <c r="X101" s="123"/>
      <c r="Y101" s="123"/>
      <c r="Z101" s="123"/>
    </row>
    <row r="102" spans="3:26">
      <c r="C102" s="123"/>
      <c r="D102" s="123"/>
      <c r="E102" s="123"/>
      <c r="F102" s="123"/>
      <c r="G102" s="123"/>
      <c r="H102" s="128"/>
      <c r="I102" s="123"/>
      <c r="J102" s="123"/>
      <c r="K102" s="123"/>
      <c r="L102" s="123"/>
      <c r="M102" s="123"/>
      <c r="N102" s="123"/>
      <c r="O102" s="123"/>
      <c r="P102" s="128"/>
      <c r="Q102" s="128"/>
      <c r="R102" s="178"/>
      <c r="S102" s="178"/>
      <c r="T102" s="123"/>
      <c r="U102" s="123"/>
      <c r="V102" s="123"/>
      <c r="W102" s="123"/>
      <c r="X102" s="123"/>
      <c r="Y102" s="123"/>
      <c r="Z102" s="123"/>
    </row>
    <row r="103" spans="3:26">
      <c r="C103" s="123"/>
      <c r="D103" s="123"/>
      <c r="E103" s="123"/>
      <c r="F103" s="123"/>
      <c r="G103" s="123"/>
      <c r="H103" s="128"/>
      <c r="I103" s="123"/>
      <c r="J103" s="123"/>
      <c r="K103" s="123"/>
      <c r="L103" s="123"/>
      <c r="M103" s="123"/>
      <c r="N103" s="123"/>
      <c r="O103" s="123"/>
      <c r="P103" s="128"/>
      <c r="Q103" s="128"/>
      <c r="R103" s="178"/>
      <c r="S103" s="178"/>
      <c r="T103" s="123"/>
      <c r="U103" s="123"/>
      <c r="V103" s="123"/>
      <c r="W103" s="123"/>
      <c r="X103" s="123"/>
      <c r="Y103" s="123"/>
      <c r="Z103" s="123"/>
    </row>
    <row r="104" spans="3:26">
      <c r="C104" s="123"/>
      <c r="D104" s="123"/>
      <c r="E104" s="123"/>
      <c r="F104" s="123"/>
      <c r="G104" s="123"/>
      <c r="H104" s="128"/>
      <c r="I104" s="123"/>
      <c r="J104" s="123"/>
      <c r="K104" s="123"/>
      <c r="L104" s="123"/>
      <c r="M104" s="123"/>
      <c r="N104" s="123"/>
      <c r="O104" s="123"/>
      <c r="P104" s="128"/>
      <c r="Q104" s="128"/>
      <c r="R104" s="178"/>
      <c r="S104" s="178"/>
      <c r="T104" s="123"/>
      <c r="U104" s="123"/>
      <c r="V104" s="123"/>
      <c r="W104" s="123"/>
      <c r="X104" s="123"/>
      <c r="Y104" s="123"/>
      <c r="Z104" s="123"/>
    </row>
    <row r="105" spans="3:26">
      <c r="C105" s="123"/>
      <c r="D105" s="123"/>
      <c r="E105" s="123"/>
      <c r="F105" s="123"/>
      <c r="G105" s="123"/>
      <c r="H105" s="128"/>
      <c r="I105" s="123"/>
      <c r="J105" s="123"/>
      <c r="K105" s="123"/>
      <c r="L105" s="123"/>
      <c r="M105" s="123"/>
      <c r="N105" s="123"/>
      <c r="O105" s="123"/>
      <c r="P105" s="128"/>
      <c r="Q105" s="128"/>
      <c r="R105" s="178"/>
      <c r="S105" s="178"/>
      <c r="T105" s="123"/>
      <c r="U105" s="123"/>
      <c r="V105" s="123"/>
      <c r="W105" s="123"/>
      <c r="X105" s="123"/>
      <c r="Y105" s="123"/>
      <c r="Z105" s="123"/>
    </row>
    <row r="106" spans="3:26">
      <c r="C106" s="123"/>
      <c r="D106" s="123"/>
      <c r="E106" s="123"/>
      <c r="F106" s="123"/>
      <c r="G106" s="123"/>
      <c r="H106" s="128"/>
      <c r="I106" s="123"/>
      <c r="J106" s="123"/>
      <c r="K106" s="123"/>
      <c r="L106" s="123"/>
      <c r="M106" s="123"/>
      <c r="N106" s="123"/>
      <c r="O106" s="123"/>
      <c r="P106" s="128"/>
      <c r="Q106" s="128"/>
      <c r="R106" s="178"/>
      <c r="S106" s="178"/>
      <c r="T106" s="123"/>
      <c r="U106" s="123"/>
      <c r="V106" s="123"/>
      <c r="W106" s="123"/>
      <c r="X106" s="123"/>
      <c r="Y106" s="123"/>
      <c r="Z106" s="123"/>
    </row>
    <row r="107" spans="3:26">
      <c r="C107" s="123"/>
      <c r="D107" s="123"/>
      <c r="E107" s="123"/>
      <c r="F107" s="123"/>
      <c r="G107" s="123"/>
      <c r="H107" s="128"/>
      <c r="I107" s="123"/>
      <c r="J107" s="123"/>
      <c r="K107" s="123"/>
      <c r="L107" s="123"/>
      <c r="M107" s="123"/>
      <c r="N107" s="123"/>
      <c r="O107" s="123"/>
      <c r="P107" s="128"/>
      <c r="Q107" s="128"/>
      <c r="R107" s="178"/>
      <c r="S107" s="178"/>
      <c r="T107" s="123"/>
      <c r="U107" s="123"/>
      <c r="V107" s="123"/>
      <c r="W107" s="123"/>
      <c r="X107" s="123"/>
      <c r="Y107" s="123"/>
      <c r="Z107" s="123"/>
    </row>
    <row r="108" spans="3:26">
      <c r="C108" s="123"/>
      <c r="D108" s="123"/>
      <c r="E108" s="123"/>
      <c r="F108" s="123"/>
      <c r="G108" s="123"/>
      <c r="H108" s="128"/>
      <c r="I108" s="123"/>
      <c r="J108" s="123"/>
      <c r="K108" s="123"/>
      <c r="L108" s="123"/>
      <c r="M108" s="123"/>
      <c r="N108" s="123"/>
      <c r="O108" s="123"/>
      <c r="P108" s="128"/>
      <c r="Q108" s="128"/>
      <c r="R108" s="178"/>
      <c r="S108" s="178"/>
      <c r="T108" s="123"/>
      <c r="U108" s="123"/>
      <c r="V108" s="123"/>
      <c r="W108" s="123"/>
      <c r="X108" s="123"/>
      <c r="Y108" s="123"/>
      <c r="Z108" s="123"/>
    </row>
    <row r="109" spans="3:26">
      <c r="C109" s="123"/>
      <c r="D109" s="123"/>
      <c r="E109" s="123"/>
      <c r="F109" s="123"/>
      <c r="G109" s="123"/>
      <c r="H109" s="128"/>
      <c r="I109" s="123"/>
      <c r="J109" s="123"/>
      <c r="K109" s="123"/>
      <c r="L109" s="123"/>
      <c r="M109" s="123"/>
      <c r="N109" s="123"/>
      <c r="O109" s="123"/>
      <c r="P109" s="128"/>
      <c r="Q109" s="128"/>
      <c r="R109" s="178"/>
      <c r="S109" s="178"/>
      <c r="T109" s="123"/>
      <c r="U109" s="123"/>
      <c r="V109" s="123"/>
      <c r="W109" s="123"/>
      <c r="X109" s="123"/>
      <c r="Y109" s="123"/>
      <c r="Z109" s="123"/>
    </row>
    <row r="110" spans="3:26">
      <c r="C110" s="123"/>
      <c r="D110" s="123"/>
      <c r="E110" s="123"/>
      <c r="F110" s="123"/>
      <c r="G110" s="123"/>
      <c r="H110" s="128"/>
      <c r="I110" s="123"/>
      <c r="J110" s="123"/>
      <c r="K110" s="123"/>
      <c r="L110" s="123"/>
      <c r="M110" s="123"/>
      <c r="N110" s="123"/>
      <c r="O110" s="123"/>
      <c r="P110" s="128"/>
      <c r="Q110" s="128"/>
      <c r="R110" s="178"/>
      <c r="S110" s="178"/>
      <c r="T110" s="123"/>
      <c r="U110" s="123"/>
      <c r="V110" s="123"/>
      <c r="W110" s="123"/>
      <c r="X110" s="123"/>
      <c r="Y110" s="123"/>
      <c r="Z110" s="123"/>
    </row>
    <row r="111" spans="3:26">
      <c r="C111" s="123"/>
      <c r="D111" s="123"/>
      <c r="E111" s="123"/>
      <c r="F111" s="123"/>
      <c r="G111" s="123"/>
      <c r="H111" s="128"/>
      <c r="I111" s="123"/>
      <c r="J111" s="123"/>
      <c r="K111" s="123"/>
      <c r="L111" s="123"/>
      <c r="M111" s="123"/>
      <c r="N111" s="123"/>
      <c r="O111" s="123"/>
      <c r="P111" s="128"/>
      <c r="Q111" s="128"/>
      <c r="R111" s="178"/>
      <c r="S111" s="178"/>
      <c r="T111" s="123"/>
      <c r="U111" s="123"/>
      <c r="V111" s="123"/>
      <c r="W111" s="123"/>
      <c r="X111" s="123"/>
      <c r="Y111" s="123"/>
      <c r="Z111" s="123"/>
    </row>
    <row r="112" spans="3:26">
      <c r="C112" s="123"/>
      <c r="D112" s="123"/>
      <c r="E112" s="123"/>
      <c r="F112" s="123"/>
      <c r="G112" s="123"/>
      <c r="H112" s="128"/>
      <c r="I112" s="123"/>
      <c r="J112" s="123"/>
      <c r="K112" s="123"/>
      <c r="L112" s="123"/>
      <c r="M112" s="123"/>
      <c r="N112" s="123"/>
      <c r="O112" s="123"/>
      <c r="P112" s="128"/>
      <c r="Q112" s="128"/>
      <c r="R112" s="178"/>
      <c r="S112" s="178"/>
      <c r="T112" s="123"/>
      <c r="U112" s="123"/>
      <c r="V112" s="123"/>
      <c r="W112" s="123"/>
      <c r="X112" s="123"/>
      <c r="Y112" s="123"/>
      <c r="Z112" s="123"/>
    </row>
    <row r="113" spans="3:26">
      <c r="C113" s="123"/>
      <c r="D113" s="123"/>
      <c r="E113" s="123"/>
      <c r="F113" s="123"/>
      <c r="G113" s="123"/>
      <c r="H113" s="128"/>
      <c r="I113" s="123"/>
      <c r="J113" s="123"/>
      <c r="K113" s="123"/>
      <c r="L113" s="123"/>
      <c r="M113" s="123"/>
      <c r="N113" s="123"/>
      <c r="O113" s="123"/>
      <c r="P113" s="128"/>
      <c r="Q113" s="128"/>
      <c r="R113" s="178"/>
      <c r="S113" s="178"/>
      <c r="T113" s="123"/>
      <c r="U113" s="123"/>
      <c r="V113" s="123"/>
      <c r="W113" s="123"/>
      <c r="X113" s="123"/>
      <c r="Y113" s="123"/>
      <c r="Z113" s="123"/>
    </row>
    <row r="114" spans="3:26">
      <c r="C114" s="123"/>
      <c r="D114" s="123"/>
      <c r="E114" s="123"/>
      <c r="F114" s="123"/>
      <c r="G114" s="123"/>
      <c r="H114" s="128"/>
      <c r="I114" s="123"/>
      <c r="J114" s="123"/>
      <c r="K114" s="123"/>
      <c r="L114" s="123"/>
      <c r="M114" s="123"/>
      <c r="N114" s="123"/>
      <c r="O114" s="123"/>
      <c r="P114" s="128"/>
      <c r="Q114" s="128"/>
      <c r="R114" s="178"/>
      <c r="S114" s="178"/>
      <c r="T114" s="123"/>
      <c r="U114" s="123"/>
      <c r="V114" s="123"/>
      <c r="W114" s="123"/>
      <c r="X114" s="123"/>
      <c r="Y114" s="123"/>
      <c r="Z114" s="123"/>
    </row>
    <row r="115" spans="3:26">
      <c r="C115" s="123"/>
      <c r="D115" s="123"/>
      <c r="E115" s="123"/>
      <c r="F115" s="123"/>
      <c r="G115" s="123"/>
      <c r="H115" s="128"/>
      <c r="I115" s="123"/>
      <c r="J115" s="123"/>
      <c r="K115" s="123"/>
      <c r="L115" s="123"/>
      <c r="M115" s="123"/>
      <c r="N115" s="123"/>
      <c r="O115" s="123"/>
      <c r="P115" s="128"/>
      <c r="Q115" s="128"/>
      <c r="R115" s="178"/>
      <c r="S115" s="178"/>
      <c r="T115" s="123"/>
      <c r="U115" s="123"/>
      <c r="V115" s="123"/>
      <c r="W115" s="123"/>
      <c r="X115" s="123"/>
      <c r="Y115" s="123"/>
      <c r="Z115" s="123"/>
    </row>
    <row r="116" spans="3:26">
      <c r="C116" s="123"/>
      <c r="D116" s="123"/>
      <c r="E116" s="123"/>
      <c r="F116" s="123"/>
      <c r="G116" s="123"/>
      <c r="H116" s="128"/>
      <c r="I116" s="123"/>
      <c r="J116" s="123"/>
      <c r="K116" s="123"/>
      <c r="L116" s="123"/>
      <c r="M116" s="123"/>
      <c r="N116" s="123"/>
      <c r="O116" s="123"/>
      <c r="P116" s="128"/>
      <c r="Q116" s="128"/>
      <c r="R116" s="178"/>
      <c r="S116" s="178"/>
      <c r="T116" s="123"/>
      <c r="U116" s="123"/>
      <c r="V116" s="123"/>
      <c r="W116" s="123"/>
      <c r="X116" s="123"/>
      <c r="Y116" s="123"/>
      <c r="Z116" s="123"/>
    </row>
    <row r="117" spans="3:26">
      <c r="C117" s="123"/>
      <c r="D117" s="123"/>
      <c r="E117" s="123"/>
      <c r="F117" s="123"/>
      <c r="G117" s="123"/>
      <c r="H117" s="128"/>
      <c r="I117" s="123"/>
      <c r="J117" s="123"/>
      <c r="K117" s="123"/>
      <c r="L117" s="123"/>
      <c r="M117" s="123"/>
      <c r="N117" s="123"/>
      <c r="O117" s="123"/>
      <c r="P117" s="128"/>
      <c r="Q117" s="128"/>
      <c r="R117" s="178"/>
      <c r="S117" s="178"/>
      <c r="T117" s="123"/>
      <c r="U117" s="123"/>
      <c r="V117" s="123"/>
      <c r="W117" s="123"/>
      <c r="X117" s="123"/>
      <c r="Y117" s="123"/>
      <c r="Z117" s="123"/>
    </row>
    <row r="118" spans="3:26">
      <c r="C118" s="123"/>
      <c r="D118" s="123"/>
      <c r="E118" s="123"/>
      <c r="F118" s="123"/>
      <c r="G118" s="123"/>
      <c r="H118" s="128"/>
      <c r="I118" s="123"/>
      <c r="J118" s="123"/>
      <c r="K118" s="123"/>
      <c r="L118" s="123"/>
      <c r="M118" s="123"/>
      <c r="N118" s="123"/>
      <c r="O118" s="123"/>
      <c r="P118" s="128"/>
      <c r="Q118" s="128"/>
      <c r="R118" s="178"/>
      <c r="S118" s="178"/>
      <c r="T118" s="123"/>
      <c r="U118" s="123"/>
      <c r="V118" s="123"/>
      <c r="W118" s="123"/>
      <c r="X118" s="123"/>
      <c r="Y118" s="123"/>
      <c r="Z118" s="123"/>
    </row>
    <row r="119" spans="3:26">
      <c r="C119" s="123"/>
      <c r="D119" s="123"/>
      <c r="E119" s="123"/>
      <c r="F119" s="123"/>
      <c r="G119" s="123"/>
      <c r="H119" s="128"/>
      <c r="I119" s="123"/>
      <c r="J119" s="123"/>
      <c r="K119" s="123"/>
      <c r="L119" s="123"/>
      <c r="M119" s="123"/>
      <c r="N119" s="123"/>
      <c r="O119" s="123"/>
      <c r="P119" s="128"/>
      <c r="Q119" s="128"/>
      <c r="R119" s="178"/>
      <c r="S119" s="178"/>
      <c r="T119" s="123"/>
      <c r="U119" s="123"/>
      <c r="V119" s="123"/>
      <c r="W119" s="123"/>
      <c r="X119" s="123"/>
      <c r="Y119" s="123"/>
      <c r="Z119" s="123"/>
    </row>
    <row r="120" spans="3:26">
      <c r="C120" s="123"/>
      <c r="D120" s="123"/>
      <c r="E120" s="123"/>
      <c r="F120" s="123"/>
      <c r="G120" s="123"/>
      <c r="H120" s="128"/>
      <c r="I120" s="123"/>
      <c r="J120" s="123"/>
      <c r="K120" s="123"/>
      <c r="L120" s="123"/>
      <c r="M120" s="123"/>
      <c r="N120" s="123"/>
      <c r="O120" s="123"/>
      <c r="P120" s="128"/>
      <c r="Q120" s="128"/>
      <c r="R120" s="178"/>
      <c r="S120" s="178"/>
      <c r="T120" s="123"/>
      <c r="U120" s="123"/>
      <c r="V120" s="123"/>
      <c r="W120" s="123"/>
      <c r="X120" s="123"/>
      <c r="Y120" s="123"/>
      <c r="Z120" s="123"/>
    </row>
    <row r="121" spans="3:26">
      <c r="C121" s="123"/>
      <c r="D121" s="123"/>
      <c r="E121" s="123"/>
      <c r="F121" s="123"/>
      <c r="G121" s="123"/>
      <c r="H121" s="128"/>
      <c r="I121" s="123"/>
      <c r="J121" s="123"/>
      <c r="K121" s="123"/>
      <c r="L121" s="123"/>
      <c r="M121" s="123"/>
      <c r="N121" s="123"/>
      <c r="O121" s="123"/>
      <c r="P121" s="128"/>
      <c r="Q121" s="128"/>
      <c r="R121" s="178"/>
      <c r="S121" s="178"/>
      <c r="T121" s="123"/>
      <c r="U121" s="123"/>
      <c r="V121" s="123"/>
      <c r="W121" s="123"/>
      <c r="X121" s="123"/>
      <c r="Y121" s="123"/>
      <c r="Z121" s="123"/>
    </row>
    <row r="122" spans="3:26">
      <c r="C122" s="123"/>
      <c r="D122" s="123"/>
      <c r="E122" s="123"/>
      <c r="F122" s="123"/>
      <c r="G122" s="123"/>
      <c r="H122" s="128"/>
      <c r="I122" s="123"/>
      <c r="J122" s="123"/>
      <c r="K122" s="123"/>
      <c r="L122" s="123"/>
      <c r="M122" s="123"/>
      <c r="N122" s="123"/>
      <c r="O122" s="123"/>
      <c r="P122" s="128"/>
      <c r="Q122" s="128"/>
      <c r="R122" s="178"/>
      <c r="S122" s="178"/>
      <c r="T122" s="123"/>
      <c r="U122" s="123"/>
      <c r="V122" s="123"/>
      <c r="W122" s="123"/>
      <c r="X122" s="123"/>
      <c r="Y122" s="123"/>
      <c r="Z122" s="123"/>
    </row>
    <row r="123" spans="3:26">
      <c r="C123" s="123"/>
      <c r="D123" s="123"/>
      <c r="E123" s="123"/>
      <c r="F123" s="123"/>
      <c r="G123" s="123"/>
      <c r="H123" s="128"/>
      <c r="I123" s="123"/>
      <c r="J123" s="123"/>
      <c r="K123" s="123"/>
      <c r="L123" s="123"/>
      <c r="M123" s="123"/>
      <c r="N123" s="123"/>
      <c r="O123" s="123"/>
      <c r="P123" s="128"/>
      <c r="Q123" s="128"/>
      <c r="R123" s="178"/>
      <c r="S123" s="178"/>
      <c r="T123" s="123"/>
      <c r="U123" s="123"/>
      <c r="V123" s="123"/>
      <c r="W123" s="123"/>
      <c r="X123" s="123"/>
      <c r="Y123" s="123"/>
      <c r="Z123" s="123"/>
    </row>
    <row r="124" spans="3:26">
      <c r="C124" s="123"/>
      <c r="D124" s="123"/>
      <c r="E124" s="123"/>
      <c r="F124" s="123"/>
      <c r="G124" s="123"/>
      <c r="H124" s="128"/>
      <c r="I124" s="123"/>
      <c r="J124" s="123"/>
      <c r="K124" s="123"/>
      <c r="L124" s="123"/>
      <c r="M124" s="123"/>
      <c r="N124" s="123"/>
      <c r="O124" s="123"/>
      <c r="P124" s="128"/>
      <c r="Q124" s="128"/>
      <c r="R124" s="178"/>
      <c r="S124" s="178"/>
      <c r="T124" s="123"/>
      <c r="U124" s="123"/>
      <c r="V124" s="123"/>
      <c r="W124" s="123"/>
      <c r="X124" s="123"/>
      <c r="Y124" s="123"/>
      <c r="Z124" s="123"/>
    </row>
    <row r="125" spans="3:26">
      <c r="C125" s="123"/>
      <c r="D125" s="123"/>
      <c r="E125" s="123"/>
      <c r="F125" s="123"/>
      <c r="G125" s="123"/>
      <c r="H125" s="128"/>
      <c r="I125" s="123"/>
      <c r="J125" s="123"/>
      <c r="K125" s="123"/>
      <c r="L125" s="123"/>
      <c r="M125" s="123"/>
      <c r="N125" s="123"/>
      <c r="O125" s="123"/>
      <c r="P125" s="128"/>
      <c r="Q125" s="128"/>
      <c r="R125" s="178"/>
      <c r="S125" s="178"/>
      <c r="T125" s="123"/>
      <c r="U125" s="123"/>
      <c r="V125" s="123"/>
      <c r="W125" s="123"/>
      <c r="X125" s="123"/>
      <c r="Y125" s="123"/>
      <c r="Z125" s="123"/>
    </row>
    <row r="126" spans="3:26">
      <c r="C126" s="123"/>
      <c r="D126" s="123"/>
      <c r="E126" s="123"/>
      <c r="F126" s="123"/>
      <c r="G126" s="123"/>
      <c r="H126" s="128"/>
      <c r="I126" s="123"/>
      <c r="J126" s="123"/>
      <c r="K126" s="123"/>
      <c r="L126" s="123"/>
      <c r="M126" s="123"/>
      <c r="N126" s="123"/>
      <c r="O126" s="123"/>
      <c r="P126" s="128"/>
      <c r="Q126" s="128"/>
      <c r="R126" s="178"/>
      <c r="S126" s="178"/>
      <c r="T126" s="123"/>
      <c r="U126" s="123"/>
      <c r="V126" s="123"/>
      <c r="W126" s="123"/>
      <c r="X126" s="123"/>
      <c r="Y126" s="123"/>
      <c r="Z126" s="123"/>
    </row>
    <row r="127" spans="3:26">
      <c r="C127" s="123"/>
      <c r="D127" s="123"/>
      <c r="E127" s="123"/>
      <c r="F127" s="123"/>
      <c r="G127" s="123"/>
      <c r="H127" s="128"/>
      <c r="I127" s="123"/>
      <c r="J127" s="123"/>
      <c r="K127" s="123"/>
      <c r="L127" s="123"/>
      <c r="M127" s="123"/>
      <c r="N127" s="123"/>
      <c r="O127" s="123"/>
      <c r="P127" s="128"/>
      <c r="Q127" s="128"/>
      <c r="R127" s="178"/>
      <c r="S127" s="178"/>
      <c r="T127" s="123"/>
      <c r="U127" s="123"/>
      <c r="V127" s="123"/>
      <c r="W127" s="123"/>
      <c r="X127" s="123"/>
      <c r="Y127" s="123"/>
      <c r="Z127" s="123"/>
    </row>
    <row r="128" spans="3:26">
      <c r="C128" s="123"/>
      <c r="D128" s="123"/>
      <c r="E128" s="123"/>
      <c r="F128" s="123"/>
      <c r="G128" s="123"/>
      <c r="H128" s="128"/>
      <c r="I128" s="123"/>
      <c r="J128" s="123"/>
      <c r="K128" s="123"/>
      <c r="L128" s="123"/>
      <c r="M128" s="123"/>
      <c r="N128" s="123"/>
      <c r="O128" s="123"/>
      <c r="P128" s="128"/>
      <c r="Q128" s="128"/>
      <c r="R128" s="178"/>
      <c r="S128" s="178"/>
      <c r="T128" s="123"/>
      <c r="U128" s="123"/>
      <c r="V128" s="123"/>
      <c r="W128" s="123"/>
      <c r="X128" s="123"/>
      <c r="Y128" s="123"/>
      <c r="Z128" s="123"/>
    </row>
    <row r="129" spans="3:26">
      <c r="C129" s="123"/>
      <c r="D129" s="123"/>
      <c r="E129" s="123"/>
      <c r="F129" s="123"/>
      <c r="G129" s="123"/>
      <c r="H129" s="128"/>
      <c r="I129" s="123"/>
      <c r="J129" s="123"/>
      <c r="K129" s="123"/>
      <c r="L129" s="123"/>
      <c r="M129" s="123"/>
      <c r="N129" s="123"/>
      <c r="O129" s="123"/>
      <c r="P129" s="128"/>
      <c r="Q129" s="128"/>
      <c r="R129" s="178"/>
      <c r="S129" s="178"/>
      <c r="T129" s="123"/>
      <c r="U129" s="123"/>
      <c r="V129" s="123"/>
      <c r="W129" s="123"/>
      <c r="X129" s="123"/>
      <c r="Y129" s="123"/>
      <c r="Z129" s="123"/>
    </row>
    <row r="130" spans="3:26">
      <c r="C130" s="123"/>
      <c r="D130" s="123"/>
      <c r="E130" s="123"/>
      <c r="F130" s="123"/>
      <c r="G130" s="123"/>
      <c r="H130" s="128"/>
      <c r="I130" s="123"/>
      <c r="J130" s="123"/>
      <c r="K130" s="123"/>
      <c r="L130" s="123"/>
      <c r="M130" s="123"/>
      <c r="N130" s="123"/>
      <c r="O130" s="123"/>
      <c r="P130" s="128"/>
      <c r="Q130" s="128"/>
      <c r="R130" s="178"/>
      <c r="S130" s="178"/>
      <c r="T130" s="123"/>
      <c r="U130" s="123"/>
      <c r="V130" s="123"/>
      <c r="W130" s="123"/>
      <c r="X130" s="123"/>
      <c r="Y130" s="123"/>
      <c r="Z130" s="123"/>
    </row>
    <row r="131" spans="3:26">
      <c r="C131" s="123"/>
      <c r="D131" s="123"/>
      <c r="E131" s="123"/>
      <c r="F131" s="123"/>
      <c r="G131" s="123"/>
      <c r="H131" s="128"/>
      <c r="I131" s="123"/>
      <c r="J131" s="123"/>
      <c r="K131" s="123"/>
      <c r="L131" s="123"/>
      <c r="M131" s="123"/>
      <c r="N131" s="123"/>
      <c r="O131" s="123"/>
      <c r="P131" s="128"/>
      <c r="Q131" s="128"/>
      <c r="R131" s="178"/>
      <c r="S131" s="178"/>
      <c r="T131" s="123"/>
      <c r="U131" s="123"/>
      <c r="V131" s="123"/>
      <c r="W131" s="123"/>
      <c r="X131" s="123"/>
      <c r="Y131" s="123"/>
      <c r="Z131" s="123"/>
    </row>
    <row r="132" spans="3:26">
      <c r="C132" s="123"/>
      <c r="D132" s="123"/>
      <c r="E132" s="123"/>
      <c r="F132" s="123"/>
      <c r="G132" s="123"/>
      <c r="H132" s="128"/>
      <c r="I132" s="123"/>
      <c r="J132" s="123"/>
      <c r="K132" s="123"/>
      <c r="L132" s="123"/>
      <c r="M132" s="123"/>
      <c r="N132" s="123"/>
      <c r="O132" s="123"/>
      <c r="P132" s="128"/>
      <c r="Q132" s="128"/>
      <c r="R132" s="178"/>
      <c r="S132" s="178"/>
      <c r="T132" s="123"/>
      <c r="U132" s="123"/>
      <c r="V132" s="123"/>
      <c r="W132" s="123"/>
      <c r="X132" s="123"/>
      <c r="Y132" s="123"/>
      <c r="Z132" s="123"/>
    </row>
    <row r="133" spans="3:26">
      <c r="C133" s="123"/>
      <c r="D133" s="123"/>
      <c r="E133" s="123"/>
      <c r="F133" s="123"/>
      <c r="G133" s="123"/>
      <c r="H133" s="128"/>
      <c r="I133" s="123"/>
      <c r="J133" s="123"/>
      <c r="K133" s="123"/>
      <c r="L133" s="123"/>
      <c r="M133" s="123"/>
      <c r="N133" s="123"/>
      <c r="O133" s="123"/>
      <c r="P133" s="128"/>
      <c r="Q133" s="128"/>
      <c r="R133" s="178"/>
      <c r="S133" s="178"/>
      <c r="T133" s="123"/>
      <c r="U133" s="123"/>
      <c r="V133" s="123"/>
      <c r="W133" s="123"/>
      <c r="X133" s="123"/>
      <c r="Y133" s="123"/>
      <c r="Z133" s="123"/>
    </row>
    <row r="134" spans="3:26">
      <c r="C134" s="123"/>
      <c r="D134" s="123"/>
      <c r="E134" s="123"/>
      <c r="F134" s="123"/>
      <c r="G134" s="123"/>
      <c r="H134" s="128"/>
      <c r="I134" s="123"/>
      <c r="J134" s="123"/>
      <c r="K134" s="123"/>
      <c r="L134" s="123"/>
      <c r="M134" s="123"/>
      <c r="N134" s="123"/>
      <c r="O134" s="123"/>
      <c r="P134" s="128"/>
      <c r="Q134" s="128"/>
      <c r="R134" s="178"/>
      <c r="S134" s="178"/>
      <c r="T134" s="123"/>
      <c r="U134" s="123"/>
      <c r="V134" s="123"/>
      <c r="W134" s="123"/>
      <c r="X134" s="123"/>
      <c r="Y134" s="123"/>
      <c r="Z134" s="123"/>
    </row>
    <row r="135" spans="3:26">
      <c r="C135" s="123"/>
      <c r="D135" s="123"/>
      <c r="E135" s="123"/>
      <c r="F135" s="123"/>
      <c r="G135" s="123"/>
      <c r="H135" s="128"/>
      <c r="I135" s="123"/>
      <c r="J135" s="123"/>
      <c r="K135" s="123"/>
      <c r="L135" s="123"/>
      <c r="M135" s="123"/>
      <c r="N135" s="123"/>
      <c r="O135" s="123"/>
      <c r="P135" s="128"/>
      <c r="Q135" s="128"/>
      <c r="R135" s="178"/>
      <c r="S135" s="178"/>
      <c r="T135" s="123"/>
      <c r="U135" s="123"/>
      <c r="V135" s="123"/>
      <c r="W135" s="123"/>
      <c r="X135" s="123"/>
      <c r="Y135" s="123"/>
      <c r="Z135" s="123"/>
    </row>
    <row r="136" spans="3:26">
      <c r="C136" s="123"/>
      <c r="D136" s="123"/>
      <c r="E136" s="123"/>
      <c r="F136" s="123"/>
      <c r="G136" s="123"/>
      <c r="H136" s="128"/>
      <c r="I136" s="123"/>
      <c r="J136" s="123"/>
      <c r="K136" s="123"/>
      <c r="L136" s="123"/>
      <c r="M136" s="123"/>
      <c r="N136" s="123"/>
      <c r="O136" s="123"/>
      <c r="P136" s="128"/>
      <c r="Q136" s="128"/>
      <c r="R136" s="178"/>
      <c r="S136" s="178"/>
      <c r="T136" s="123"/>
      <c r="U136" s="123"/>
      <c r="V136" s="123"/>
      <c r="W136" s="123"/>
      <c r="X136" s="123"/>
      <c r="Y136" s="123"/>
      <c r="Z136" s="123"/>
    </row>
    <row r="137" spans="3:26">
      <c r="C137" s="123"/>
      <c r="D137" s="123"/>
      <c r="E137" s="123"/>
      <c r="F137" s="128"/>
      <c r="G137" s="123"/>
      <c r="H137" s="128"/>
      <c r="I137" s="123"/>
      <c r="J137" s="123"/>
      <c r="K137" s="123"/>
      <c r="L137" s="123"/>
      <c r="M137" s="123"/>
      <c r="N137" s="123"/>
      <c r="O137" s="123"/>
      <c r="P137" s="128"/>
      <c r="Q137" s="128"/>
      <c r="R137" s="178"/>
      <c r="S137" s="178"/>
      <c r="T137" s="123"/>
      <c r="U137" s="123"/>
      <c r="V137" s="123"/>
      <c r="W137" s="123"/>
      <c r="X137" s="123"/>
      <c r="Y137" s="123"/>
      <c r="Z137" s="123"/>
    </row>
    <row r="138" spans="3:26">
      <c r="C138" s="123"/>
      <c r="D138" s="123"/>
      <c r="E138" s="123"/>
      <c r="F138" s="123"/>
      <c r="G138" s="123"/>
      <c r="H138" s="128"/>
      <c r="I138" s="123"/>
      <c r="J138" s="123"/>
      <c r="K138" s="123"/>
      <c r="L138" s="123"/>
      <c r="M138" s="123"/>
      <c r="N138" s="123"/>
      <c r="O138" s="123"/>
      <c r="P138" s="128"/>
      <c r="Q138" s="128"/>
      <c r="R138" s="178"/>
      <c r="S138" s="178"/>
      <c r="T138" s="123"/>
      <c r="U138" s="123"/>
      <c r="V138" s="123"/>
      <c r="W138" s="123"/>
      <c r="X138" s="123"/>
      <c r="Y138" s="123"/>
      <c r="Z138" s="123"/>
    </row>
    <row r="139" spans="3:26">
      <c r="C139" s="123"/>
      <c r="D139" s="123"/>
      <c r="E139" s="123"/>
      <c r="F139" s="123"/>
      <c r="G139" s="123"/>
      <c r="H139" s="128"/>
      <c r="I139" s="123"/>
      <c r="J139" s="123"/>
      <c r="K139" s="123"/>
      <c r="L139" s="123"/>
      <c r="M139" s="123"/>
      <c r="N139" s="123"/>
      <c r="O139" s="123"/>
      <c r="P139" s="128"/>
      <c r="Q139" s="123"/>
      <c r="R139" s="123"/>
      <c r="S139" s="123"/>
      <c r="T139" s="123"/>
      <c r="U139" s="123"/>
      <c r="V139" s="123"/>
      <c r="W139" s="123"/>
      <c r="X139" s="123"/>
      <c r="Y139" s="123"/>
      <c r="Z139" s="123"/>
    </row>
    <row r="140" spans="3:26">
      <c r="C140" s="120"/>
      <c r="D140" s="123"/>
      <c r="E140" s="123"/>
      <c r="F140" s="123"/>
      <c r="G140" s="123"/>
      <c r="H140" s="128"/>
      <c r="I140" s="123"/>
      <c r="J140" s="123"/>
      <c r="K140" s="123"/>
      <c r="L140" s="123"/>
      <c r="M140" s="123"/>
      <c r="N140" s="123"/>
      <c r="O140" s="123"/>
      <c r="P140" s="128"/>
      <c r="Q140" s="128"/>
      <c r="R140" s="123"/>
      <c r="S140" s="123"/>
      <c r="T140" s="123"/>
      <c r="U140" s="123"/>
      <c r="V140" s="123"/>
      <c r="W140" s="123"/>
      <c r="X140" s="123"/>
      <c r="Y140" s="123"/>
      <c r="Z140" s="123"/>
    </row>
    <row r="141" spans="3:26">
      <c r="C141" s="120"/>
      <c r="D141" s="123"/>
      <c r="E141" s="123"/>
      <c r="F141" s="123"/>
      <c r="G141" s="123"/>
      <c r="H141" s="128"/>
      <c r="I141" s="123"/>
      <c r="J141" s="123"/>
      <c r="K141" s="123"/>
      <c r="L141" s="123"/>
      <c r="M141" s="123"/>
      <c r="N141" s="123"/>
      <c r="O141" s="123"/>
      <c r="P141" s="128"/>
      <c r="Q141" s="128"/>
      <c r="R141" s="123"/>
      <c r="S141" s="123"/>
      <c r="T141" s="123"/>
      <c r="U141" s="123"/>
      <c r="V141" s="123"/>
      <c r="W141" s="123"/>
      <c r="X141" s="123"/>
      <c r="Y141" s="123"/>
      <c r="Z141" s="123"/>
    </row>
    <row r="142" spans="3:26">
      <c r="C142" s="120"/>
      <c r="D142" s="123"/>
      <c r="E142" s="123"/>
      <c r="F142" s="123"/>
      <c r="G142" s="123"/>
      <c r="H142" s="128"/>
      <c r="I142" s="123"/>
      <c r="J142" s="123"/>
      <c r="K142" s="123"/>
      <c r="L142" s="123"/>
      <c r="M142" s="123"/>
      <c r="N142" s="123"/>
      <c r="O142" s="123"/>
      <c r="P142" s="128"/>
      <c r="Q142" s="128"/>
      <c r="R142" s="123"/>
      <c r="S142" s="123"/>
      <c r="T142" s="123"/>
      <c r="U142" s="123"/>
      <c r="V142" s="123"/>
      <c r="W142" s="123"/>
      <c r="X142" s="123"/>
      <c r="Y142" s="123"/>
      <c r="Z142" s="123"/>
    </row>
    <row r="143" spans="3:26">
      <c r="C143" s="120"/>
      <c r="D143" s="123"/>
      <c r="E143" s="123"/>
      <c r="F143" s="123"/>
      <c r="G143" s="123"/>
      <c r="H143" s="128"/>
      <c r="I143" s="123"/>
      <c r="J143" s="123"/>
      <c r="K143" s="123"/>
      <c r="L143" s="123"/>
      <c r="M143" s="123"/>
      <c r="N143" s="123"/>
      <c r="O143" s="123"/>
      <c r="P143" s="128"/>
      <c r="Q143" s="128"/>
      <c r="R143" s="123"/>
      <c r="S143" s="123"/>
      <c r="T143" s="123"/>
      <c r="U143" s="123"/>
      <c r="V143" s="123"/>
      <c r="W143" s="123"/>
      <c r="X143" s="123"/>
      <c r="Y143" s="123"/>
      <c r="Z143" s="123"/>
    </row>
    <row r="144" spans="3:26">
      <c r="C144" s="120"/>
      <c r="D144" s="123"/>
      <c r="E144" s="123"/>
      <c r="F144" s="123"/>
      <c r="G144" s="123"/>
      <c r="H144" s="128"/>
      <c r="I144" s="123"/>
      <c r="J144" s="123"/>
      <c r="K144" s="123"/>
      <c r="L144" s="123"/>
      <c r="M144" s="123"/>
      <c r="N144" s="123"/>
      <c r="O144" s="123"/>
      <c r="P144" s="128"/>
      <c r="Q144" s="128"/>
      <c r="R144" s="123"/>
      <c r="S144" s="123"/>
      <c r="T144" s="123"/>
      <c r="U144" s="123"/>
      <c r="V144" s="123"/>
      <c r="W144" s="123"/>
      <c r="X144" s="123"/>
      <c r="Y144" s="123"/>
      <c r="Z144" s="123"/>
    </row>
    <row r="145" spans="3:26">
      <c r="C145" s="120"/>
      <c r="D145" s="123"/>
      <c r="E145" s="123"/>
      <c r="F145" s="123"/>
      <c r="G145" s="123"/>
      <c r="H145" s="128"/>
      <c r="I145" s="123"/>
      <c r="J145" s="123"/>
      <c r="K145" s="123"/>
      <c r="L145" s="123"/>
      <c r="M145" s="123"/>
      <c r="N145" s="123"/>
      <c r="O145" s="123"/>
      <c r="P145" s="128"/>
      <c r="Q145" s="128"/>
      <c r="R145" s="123"/>
      <c r="S145" s="123"/>
      <c r="T145" s="123"/>
      <c r="U145" s="123"/>
      <c r="V145" s="123"/>
      <c r="W145" s="123"/>
      <c r="X145" s="123"/>
      <c r="Y145" s="123"/>
      <c r="Z145" s="123"/>
    </row>
    <row r="146" spans="3:26">
      <c r="C146" s="120"/>
      <c r="D146" s="123"/>
      <c r="E146" s="123"/>
      <c r="F146" s="123"/>
      <c r="G146" s="123"/>
      <c r="H146" s="128"/>
      <c r="I146" s="123"/>
      <c r="J146" s="123"/>
      <c r="K146" s="123"/>
      <c r="L146" s="123"/>
      <c r="M146" s="123"/>
      <c r="N146" s="123"/>
      <c r="O146" s="123"/>
      <c r="P146" s="128"/>
      <c r="Q146" s="128"/>
      <c r="R146" s="123"/>
      <c r="S146" s="123"/>
      <c r="T146" s="123"/>
      <c r="U146" s="123"/>
      <c r="V146" s="123"/>
      <c r="W146" s="123"/>
      <c r="X146" s="123"/>
      <c r="Y146" s="123"/>
      <c r="Z146" s="123"/>
    </row>
    <row r="147" spans="3:26">
      <c r="C147" s="120"/>
      <c r="D147" s="123"/>
      <c r="E147" s="123"/>
      <c r="F147" s="123"/>
      <c r="G147" s="123"/>
      <c r="H147" s="128"/>
      <c r="I147" s="123"/>
      <c r="J147" s="123"/>
      <c r="K147" s="123"/>
      <c r="L147" s="123"/>
      <c r="M147" s="123"/>
      <c r="N147" s="123"/>
      <c r="O147" s="123"/>
      <c r="P147" s="128"/>
      <c r="Q147" s="128"/>
      <c r="R147" s="123"/>
      <c r="S147" s="123"/>
      <c r="T147" s="123"/>
      <c r="U147" s="123"/>
      <c r="V147" s="123"/>
      <c r="W147" s="123"/>
      <c r="X147" s="123"/>
      <c r="Y147" s="123"/>
      <c r="Z147" s="123"/>
    </row>
    <row r="148" spans="3:26">
      <c r="C148" s="123"/>
      <c r="D148" s="123"/>
      <c r="E148" s="123"/>
      <c r="F148" s="123"/>
      <c r="G148" s="123"/>
      <c r="H148" s="128"/>
      <c r="I148" s="123"/>
      <c r="J148" s="123"/>
      <c r="K148" s="123"/>
      <c r="L148" s="123"/>
      <c r="M148" s="123"/>
      <c r="N148" s="123"/>
      <c r="O148" s="123"/>
      <c r="P148" s="128"/>
      <c r="Q148" s="128"/>
      <c r="R148" s="178"/>
      <c r="S148" s="178"/>
      <c r="T148" s="123"/>
      <c r="U148" s="123"/>
      <c r="V148" s="123"/>
      <c r="W148" s="123"/>
      <c r="X148" s="123"/>
      <c r="Y148" s="123"/>
      <c r="Z148" s="123"/>
    </row>
    <row r="149" spans="3:26">
      <c r="C149" s="123"/>
      <c r="D149" s="123"/>
      <c r="E149" s="123"/>
      <c r="F149" s="123"/>
      <c r="G149" s="123"/>
      <c r="H149" s="128"/>
      <c r="I149" s="123"/>
      <c r="J149" s="123"/>
      <c r="K149" s="123"/>
      <c r="L149" s="123"/>
      <c r="M149" s="123"/>
      <c r="N149" s="123"/>
      <c r="O149" s="123"/>
      <c r="P149" s="128"/>
      <c r="Q149" s="123"/>
      <c r="R149" s="123"/>
      <c r="S149" s="123"/>
      <c r="T149" s="123"/>
      <c r="U149" s="123"/>
      <c r="V149" s="123"/>
      <c r="W149" s="123"/>
      <c r="X149" s="123"/>
      <c r="Y149" s="123"/>
      <c r="Z149" s="123"/>
    </row>
    <row r="150" spans="3:26">
      <c r="C150" s="123"/>
      <c r="D150" s="123"/>
      <c r="E150" s="123"/>
      <c r="F150" s="123"/>
      <c r="G150" s="122"/>
      <c r="H150" s="123"/>
      <c r="I150" s="123"/>
      <c r="J150" s="123"/>
      <c r="K150" s="123"/>
      <c r="L150" s="123"/>
      <c r="M150" s="123"/>
      <c r="N150" s="123"/>
      <c r="O150" s="123"/>
      <c r="P150" s="123"/>
      <c r="Q150" s="123"/>
      <c r="R150" s="124"/>
      <c r="S150" s="124"/>
      <c r="T150" s="123"/>
      <c r="U150" s="123"/>
      <c r="V150" s="123"/>
      <c r="W150" s="123"/>
      <c r="X150" s="123"/>
      <c r="Y150" s="123"/>
      <c r="Z150" s="123"/>
    </row>
    <row r="151" spans="3:26">
      <c r="C151" s="123"/>
      <c r="D151" s="123"/>
      <c r="E151" s="123"/>
      <c r="F151" s="123"/>
      <c r="G151" s="122"/>
      <c r="H151" s="123"/>
      <c r="I151" s="123"/>
      <c r="J151" s="123"/>
      <c r="K151" s="123"/>
      <c r="L151" s="123"/>
      <c r="M151" s="123"/>
      <c r="N151" s="123"/>
      <c r="O151" s="123"/>
      <c r="P151" s="123"/>
      <c r="Q151" s="123"/>
      <c r="R151" s="124"/>
      <c r="S151" s="124"/>
      <c r="T151" s="123"/>
      <c r="U151" s="123"/>
      <c r="V151" s="123"/>
      <c r="W151" s="123"/>
      <c r="X151" s="123"/>
      <c r="Y151" s="123"/>
      <c r="Z151" s="123"/>
    </row>
    <row r="152" spans="3:26">
      <c r="C152" s="123"/>
      <c r="D152" s="123"/>
      <c r="E152" s="123"/>
      <c r="F152" s="123"/>
      <c r="G152" s="122"/>
      <c r="H152" s="123"/>
      <c r="I152" s="123"/>
      <c r="J152" s="123"/>
      <c r="K152" s="123"/>
      <c r="L152" s="123"/>
      <c r="M152" s="123"/>
      <c r="N152" s="123"/>
      <c r="O152" s="123"/>
      <c r="P152" s="123"/>
      <c r="Q152" s="123"/>
      <c r="R152" s="124"/>
      <c r="S152" s="124"/>
      <c r="T152" s="123"/>
      <c r="U152" s="123"/>
      <c r="V152" s="123"/>
      <c r="W152" s="123"/>
      <c r="X152" s="123"/>
      <c r="Y152" s="123"/>
      <c r="Z152" s="123"/>
    </row>
    <row r="153" spans="3:26">
      <c r="C153" s="123"/>
      <c r="D153" s="123"/>
      <c r="E153" s="123"/>
      <c r="F153" s="123"/>
      <c r="G153" s="122"/>
      <c r="H153" s="123"/>
      <c r="I153" s="123"/>
      <c r="J153" s="123"/>
      <c r="K153" s="123"/>
      <c r="L153" s="123"/>
      <c r="M153" s="123"/>
      <c r="N153" s="123"/>
      <c r="O153" s="123"/>
      <c r="P153" s="123"/>
      <c r="Q153" s="123"/>
      <c r="R153" s="124"/>
      <c r="S153" s="124"/>
      <c r="T153" s="123"/>
      <c r="U153" s="123"/>
      <c r="V153" s="123"/>
      <c r="W153" s="123"/>
      <c r="X153" s="123"/>
      <c r="Y153" s="123"/>
      <c r="Z153" s="123"/>
    </row>
    <row r="154" spans="3:26">
      <c r="C154" s="123"/>
      <c r="D154" s="123"/>
      <c r="E154" s="123"/>
      <c r="F154" s="123"/>
      <c r="G154" s="122"/>
      <c r="H154" s="123"/>
      <c r="I154" s="123"/>
      <c r="J154" s="123"/>
      <c r="K154" s="123"/>
      <c r="L154" s="123"/>
      <c r="M154" s="123"/>
      <c r="N154" s="123"/>
      <c r="O154" s="123"/>
      <c r="P154" s="123"/>
      <c r="Q154" s="123"/>
      <c r="R154" s="124"/>
      <c r="S154" s="124"/>
      <c r="T154" s="123"/>
      <c r="U154" s="123"/>
      <c r="V154" s="123"/>
      <c r="W154" s="123"/>
      <c r="X154" s="123"/>
      <c r="Y154" s="123"/>
      <c r="Z154" s="123"/>
    </row>
    <row r="155" spans="3:26">
      <c r="C155" s="123"/>
      <c r="D155" s="123"/>
      <c r="E155" s="123"/>
      <c r="F155" s="123"/>
      <c r="G155" s="122"/>
      <c r="H155" s="123"/>
      <c r="I155" s="123"/>
      <c r="J155" s="123"/>
      <c r="K155" s="123"/>
      <c r="L155" s="123"/>
      <c r="M155" s="123"/>
      <c r="N155" s="123"/>
      <c r="O155" s="123"/>
      <c r="P155" s="123"/>
      <c r="Q155" s="123"/>
      <c r="R155" s="124"/>
      <c r="S155" s="124"/>
      <c r="T155" s="123"/>
      <c r="U155" s="123"/>
      <c r="V155" s="123"/>
      <c r="W155" s="123"/>
      <c r="X155" s="123"/>
      <c r="Y155" s="123"/>
      <c r="Z155" s="123"/>
    </row>
    <row r="156" spans="3:26">
      <c r="C156" s="123"/>
      <c r="D156" s="123"/>
      <c r="E156" s="123"/>
      <c r="F156" s="123"/>
      <c r="G156" s="122"/>
      <c r="H156" s="123"/>
      <c r="I156" s="123"/>
      <c r="J156" s="123"/>
      <c r="K156" s="123"/>
      <c r="L156" s="123"/>
      <c r="M156" s="123"/>
      <c r="N156" s="123"/>
      <c r="O156" s="123"/>
      <c r="P156" s="123"/>
      <c r="Q156" s="123"/>
      <c r="R156" s="124"/>
      <c r="S156" s="124"/>
      <c r="T156" s="123"/>
      <c r="U156" s="123"/>
      <c r="V156" s="123"/>
      <c r="W156" s="123"/>
      <c r="X156" s="123"/>
      <c r="Y156" s="123"/>
      <c r="Z156" s="123"/>
    </row>
    <row r="157" spans="3:26">
      <c r="C157" s="123"/>
      <c r="D157" s="123"/>
      <c r="E157" s="123"/>
      <c r="F157" s="123"/>
      <c r="G157" s="122"/>
      <c r="H157" s="123"/>
      <c r="I157" s="123"/>
      <c r="J157" s="123"/>
      <c r="K157" s="123"/>
      <c r="L157" s="123"/>
      <c r="M157" s="123"/>
      <c r="N157" s="123"/>
      <c r="O157" s="123"/>
      <c r="P157" s="123"/>
      <c r="Q157" s="123"/>
      <c r="R157" s="124"/>
      <c r="S157" s="124"/>
      <c r="T157" s="123"/>
      <c r="U157" s="123"/>
      <c r="V157" s="123"/>
      <c r="W157" s="123"/>
      <c r="X157" s="123"/>
      <c r="Y157" s="123"/>
      <c r="Z157" s="123"/>
    </row>
    <row r="158" spans="3:26">
      <c r="C158" s="123"/>
      <c r="D158" s="123"/>
      <c r="E158" s="123"/>
      <c r="F158" s="123"/>
      <c r="G158" s="122"/>
      <c r="H158" s="123"/>
      <c r="I158" s="123"/>
      <c r="J158" s="123"/>
      <c r="K158" s="123"/>
      <c r="L158" s="123"/>
      <c r="M158" s="123"/>
      <c r="N158" s="123"/>
      <c r="O158" s="123"/>
      <c r="P158" s="123"/>
      <c r="Q158" s="123"/>
      <c r="R158" s="124"/>
      <c r="S158" s="124"/>
      <c r="T158" s="123"/>
      <c r="U158" s="123"/>
      <c r="V158" s="123"/>
      <c r="W158" s="123"/>
      <c r="X158" s="123"/>
      <c r="Y158" s="123"/>
      <c r="Z158" s="123"/>
    </row>
    <row r="159" spans="3:26">
      <c r="C159" s="123"/>
      <c r="D159" s="120"/>
      <c r="E159" s="123"/>
      <c r="F159" s="123"/>
      <c r="G159" s="123"/>
      <c r="H159" s="128"/>
      <c r="I159" s="123"/>
      <c r="J159" s="123"/>
      <c r="K159" s="123"/>
      <c r="L159" s="123"/>
      <c r="M159" s="123"/>
      <c r="N159" s="123"/>
      <c r="O159" s="123"/>
      <c r="P159" s="128"/>
      <c r="Q159" s="128"/>
      <c r="R159" s="178"/>
      <c r="S159" s="178"/>
      <c r="T159" s="123"/>
      <c r="U159" s="123"/>
      <c r="V159" s="123"/>
      <c r="W159" s="123"/>
      <c r="X159" s="123"/>
      <c r="Y159" s="123"/>
      <c r="Z159" s="123"/>
    </row>
    <row r="160" spans="3:26">
      <c r="C160" s="123"/>
      <c r="D160" s="120"/>
      <c r="E160" s="123"/>
      <c r="F160" s="123"/>
      <c r="G160" s="123"/>
      <c r="H160" s="128"/>
      <c r="I160" s="123"/>
      <c r="J160" s="123"/>
      <c r="K160" s="123"/>
      <c r="L160" s="123"/>
      <c r="M160" s="123"/>
      <c r="N160" s="123"/>
      <c r="O160" s="123"/>
      <c r="P160" s="128"/>
      <c r="Q160" s="128"/>
      <c r="R160" s="178"/>
      <c r="S160" s="178"/>
      <c r="T160" s="123"/>
      <c r="U160" s="123"/>
      <c r="V160" s="123"/>
      <c r="W160" s="123"/>
      <c r="X160" s="123"/>
      <c r="Y160" s="123"/>
      <c r="Z160" s="123"/>
    </row>
    <row r="161" spans="3:26">
      <c r="C161" s="123"/>
      <c r="D161" s="120"/>
      <c r="E161" s="123"/>
      <c r="F161" s="123"/>
      <c r="G161" s="123"/>
      <c r="H161" s="128"/>
      <c r="I161" s="123"/>
      <c r="J161" s="123"/>
      <c r="K161" s="123"/>
      <c r="L161" s="123"/>
      <c r="M161" s="123"/>
      <c r="N161" s="123"/>
      <c r="O161" s="123"/>
      <c r="P161" s="128"/>
      <c r="Q161" s="128"/>
      <c r="R161" s="178"/>
      <c r="S161" s="178"/>
      <c r="T161" s="123"/>
      <c r="U161" s="123"/>
      <c r="V161" s="123"/>
      <c r="W161" s="123"/>
      <c r="X161" s="123"/>
      <c r="Y161" s="123"/>
      <c r="Z161" s="123"/>
    </row>
    <row r="162" spans="3:26">
      <c r="C162" s="123"/>
      <c r="D162" s="120"/>
      <c r="E162" s="123"/>
      <c r="F162" s="123"/>
      <c r="G162" s="123"/>
      <c r="H162" s="128"/>
      <c r="I162" s="123"/>
      <c r="J162" s="123"/>
      <c r="K162" s="123"/>
      <c r="L162" s="123"/>
      <c r="M162" s="123"/>
      <c r="N162" s="123"/>
      <c r="O162" s="123"/>
      <c r="P162" s="128"/>
      <c r="Q162" s="128"/>
      <c r="R162" s="178"/>
      <c r="S162" s="178"/>
      <c r="T162" s="123"/>
      <c r="U162" s="123"/>
      <c r="V162" s="123"/>
      <c r="W162" s="123"/>
      <c r="X162" s="123"/>
      <c r="Y162" s="123"/>
      <c r="Z162" s="123"/>
    </row>
    <row r="163" spans="3:26">
      <c r="C163" s="123"/>
      <c r="D163" s="120"/>
      <c r="E163" s="123"/>
      <c r="F163" s="123"/>
      <c r="G163" s="123"/>
      <c r="H163" s="128"/>
      <c r="I163" s="123"/>
      <c r="J163" s="123"/>
      <c r="K163" s="123"/>
      <c r="L163" s="123"/>
      <c r="M163" s="123"/>
      <c r="N163" s="123"/>
      <c r="O163" s="123"/>
      <c r="P163" s="128"/>
      <c r="Q163" s="128"/>
      <c r="R163" s="178"/>
      <c r="S163" s="178"/>
      <c r="T163" s="123"/>
      <c r="U163" s="123"/>
      <c r="V163" s="123"/>
      <c r="W163" s="123"/>
      <c r="X163" s="123"/>
      <c r="Y163" s="123"/>
      <c r="Z163" s="123"/>
    </row>
    <row r="164" spans="3:26">
      <c r="C164" s="123"/>
      <c r="D164" s="120"/>
      <c r="E164" s="123"/>
      <c r="F164" s="123"/>
      <c r="G164" s="123"/>
      <c r="H164" s="128"/>
      <c r="I164" s="123"/>
      <c r="J164" s="123"/>
      <c r="K164" s="123"/>
      <c r="L164" s="123"/>
      <c r="M164" s="123"/>
      <c r="N164" s="123"/>
      <c r="O164" s="123"/>
      <c r="P164" s="128"/>
      <c r="Q164" s="128"/>
      <c r="R164" s="178"/>
      <c r="S164" s="178"/>
      <c r="T164" s="123"/>
      <c r="U164" s="123"/>
      <c r="V164" s="123"/>
      <c r="W164" s="123"/>
      <c r="X164" s="123"/>
      <c r="Y164" s="123"/>
      <c r="Z164" s="123"/>
    </row>
    <row r="165" spans="3:26">
      <c r="C165" s="123"/>
      <c r="D165" s="120"/>
      <c r="E165" s="123"/>
      <c r="F165" s="123"/>
      <c r="G165" s="123"/>
      <c r="H165" s="128"/>
      <c r="I165" s="123"/>
      <c r="J165" s="123"/>
      <c r="K165" s="123"/>
      <c r="L165" s="123"/>
      <c r="M165" s="123"/>
      <c r="N165" s="123"/>
      <c r="O165" s="123"/>
      <c r="P165" s="128"/>
      <c r="Q165" s="128"/>
      <c r="R165" s="178"/>
      <c r="S165" s="178"/>
      <c r="T165" s="123"/>
      <c r="U165" s="123"/>
      <c r="V165" s="123"/>
      <c r="W165" s="123"/>
      <c r="X165" s="123"/>
      <c r="Y165" s="123"/>
      <c r="Z165" s="123"/>
    </row>
    <row r="166" spans="3:26">
      <c r="C166" s="123"/>
      <c r="D166" s="120"/>
      <c r="E166" s="123"/>
      <c r="F166" s="123"/>
      <c r="G166" s="123"/>
      <c r="H166" s="128"/>
      <c r="I166" s="123"/>
      <c r="J166" s="123"/>
      <c r="K166" s="123"/>
      <c r="L166" s="123"/>
      <c r="M166" s="123"/>
      <c r="N166" s="123"/>
      <c r="O166" s="123"/>
      <c r="P166" s="128"/>
      <c r="Q166" s="128"/>
      <c r="R166" s="178"/>
      <c r="S166" s="178"/>
      <c r="T166" s="123"/>
      <c r="U166" s="123"/>
      <c r="V166" s="123"/>
      <c r="W166" s="123"/>
      <c r="X166" s="123"/>
      <c r="Y166" s="123"/>
      <c r="Z166" s="123"/>
    </row>
    <row r="167" spans="3:26">
      <c r="C167" s="123"/>
      <c r="D167" s="120"/>
      <c r="E167" s="123"/>
      <c r="F167" s="123"/>
      <c r="G167" s="123"/>
      <c r="H167" s="128"/>
      <c r="I167" s="123"/>
      <c r="J167" s="123"/>
      <c r="K167" s="123"/>
      <c r="L167" s="123"/>
      <c r="M167" s="123"/>
      <c r="N167" s="123"/>
      <c r="O167" s="123"/>
      <c r="P167" s="128"/>
      <c r="Q167" s="128"/>
      <c r="R167" s="178"/>
      <c r="S167" s="178"/>
      <c r="T167" s="123"/>
      <c r="U167" s="123"/>
      <c r="V167" s="123"/>
      <c r="W167" s="123"/>
      <c r="X167" s="123"/>
      <c r="Y167" s="123"/>
      <c r="Z167" s="123"/>
    </row>
    <row r="168" spans="3:26">
      <c r="C168" s="123"/>
      <c r="D168" s="120"/>
      <c r="E168" s="123"/>
      <c r="F168" s="123"/>
      <c r="G168" s="123"/>
      <c r="H168" s="128"/>
      <c r="I168" s="123"/>
      <c r="J168" s="123"/>
      <c r="K168" s="123"/>
      <c r="L168" s="123"/>
      <c r="M168" s="123"/>
      <c r="N168" s="123"/>
      <c r="O168" s="123"/>
      <c r="P168" s="128"/>
      <c r="Q168" s="128"/>
      <c r="R168" s="178"/>
      <c r="S168" s="178"/>
      <c r="T168" s="123"/>
      <c r="U168" s="123"/>
      <c r="V168" s="123"/>
      <c r="W168" s="123"/>
      <c r="X168" s="123"/>
      <c r="Y168" s="123"/>
      <c r="Z168" s="123"/>
    </row>
    <row r="169" spans="3:26">
      <c r="C169" s="123"/>
      <c r="D169" s="120"/>
      <c r="E169" s="123"/>
      <c r="F169" s="123"/>
      <c r="G169" s="123"/>
      <c r="H169" s="128"/>
      <c r="I169" s="123"/>
      <c r="J169" s="123"/>
      <c r="K169" s="123"/>
      <c r="L169" s="123"/>
      <c r="M169" s="123"/>
      <c r="N169" s="123"/>
      <c r="O169" s="123"/>
      <c r="P169" s="128"/>
      <c r="Q169" s="128"/>
      <c r="R169" s="178"/>
      <c r="S169" s="178"/>
      <c r="T169" s="123"/>
      <c r="U169" s="123"/>
      <c r="V169" s="123"/>
      <c r="W169" s="123"/>
      <c r="X169" s="123"/>
      <c r="Y169" s="123"/>
      <c r="Z169" s="123"/>
    </row>
    <row r="170" spans="3:26">
      <c r="C170" s="123"/>
      <c r="D170" s="120"/>
      <c r="E170" s="123"/>
      <c r="F170" s="123"/>
      <c r="G170" s="123"/>
      <c r="H170" s="128"/>
      <c r="I170" s="123"/>
      <c r="J170" s="123"/>
      <c r="K170" s="123"/>
      <c r="L170" s="123"/>
      <c r="M170" s="123"/>
      <c r="N170" s="123"/>
      <c r="O170" s="123"/>
      <c r="P170" s="128"/>
      <c r="Q170" s="128"/>
      <c r="R170" s="178"/>
      <c r="S170" s="178"/>
      <c r="T170" s="123"/>
      <c r="U170" s="123"/>
      <c r="V170" s="123"/>
      <c r="W170" s="123"/>
      <c r="X170" s="123"/>
      <c r="Y170" s="123"/>
      <c r="Z170" s="123"/>
    </row>
    <row r="171" spans="3:26">
      <c r="C171" s="123"/>
      <c r="D171" s="120"/>
      <c r="E171" s="123"/>
      <c r="F171" s="123"/>
      <c r="G171" s="123"/>
      <c r="H171" s="128"/>
      <c r="I171" s="123"/>
      <c r="J171" s="123"/>
      <c r="K171" s="123"/>
      <c r="L171" s="123"/>
      <c r="M171" s="123"/>
      <c r="N171" s="123"/>
      <c r="O171" s="123"/>
      <c r="P171" s="128"/>
      <c r="Q171" s="128"/>
      <c r="R171" s="178"/>
      <c r="S171" s="178"/>
      <c r="T171" s="123"/>
      <c r="U171" s="123"/>
      <c r="V171" s="123"/>
      <c r="W171" s="123"/>
      <c r="X171" s="123"/>
      <c r="Y171" s="123"/>
      <c r="Z171" s="123"/>
    </row>
    <row r="172" spans="3:26">
      <c r="C172" s="123"/>
      <c r="D172" s="120"/>
      <c r="E172" s="123"/>
      <c r="F172" s="123"/>
      <c r="G172" s="123"/>
      <c r="H172" s="128"/>
      <c r="I172" s="123"/>
      <c r="J172" s="123"/>
      <c r="K172" s="123"/>
      <c r="L172" s="123"/>
      <c r="M172" s="123"/>
      <c r="N172" s="123"/>
      <c r="O172" s="123"/>
      <c r="P172" s="128"/>
      <c r="Q172" s="128"/>
      <c r="R172" s="178"/>
      <c r="S172" s="178"/>
      <c r="T172" s="123"/>
      <c r="U172" s="123"/>
      <c r="V172" s="123"/>
      <c r="W172" s="123"/>
      <c r="X172" s="123"/>
      <c r="Y172" s="123"/>
      <c r="Z172" s="123"/>
    </row>
    <row r="173" spans="3:26">
      <c r="C173" s="123"/>
      <c r="D173" s="120"/>
      <c r="E173" s="123"/>
      <c r="F173" s="123"/>
      <c r="G173" s="123"/>
      <c r="H173" s="128"/>
      <c r="I173" s="123"/>
      <c r="J173" s="123"/>
      <c r="K173" s="123"/>
      <c r="L173" s="123"/>
      <c r="M173" s="123"/>
      <c r="N173" s="123"/>
      <c r="O173" s="123"/>
      <c r="P173" s="128"/>
      <c r="Q173" s="128"/>
      <c r="R173" s="178"/>
      <c r="S173" s="178"/>
      <c r="T173" s="123"/>
      <c r="U173" s="123"/>
      <c r="V173" s="123"/>
      <c r="W173" s="123"/>
      <c r="X173" s="123"/>
      <c r="Y173" s="123"/>
      <c r="Z173" s="123"/>
    </row>
    <row r="174" spans="3:26">
      <c r="C174" s="123"/>
      <c r="D174" s="120"/>
      <c r="E174" s="123"/>
      <c r="F174" s="123"/>
      <c r="G174" s="123"/>
      <c r="H174" s="128"/>
      <c r="I174" s="123"/>
      <c r="J174" s="123"/>
      <c r="K174" s="123"/>
      <c r="L174" s="123"/>
      <c r="M174" s="123"/>
      <c r="N174" s="123"/>
      <c r="O174" s="123"/>
      <c r="P174" s="128"/>
      <c r="Q174" s="128"/>
      <c r="R174" s="178"/>
      <c r="S174" s="178"/>
      <c r="T174" s="123"/>
      <c r="U174" s="123"/>
      <c r="V174" s="123"/>
      <c r="W174" s="123"/>
      <c r="X174" s="123"/>
      <c r="Y174" s="123"/>
      <c r="Z174" s="123"/>
    </row>
    <row r="175" spans="3:26">
      <c r="C175" s="123"/>
      <c r="D175" s="120"/>
      <c r="E175" s="123"/>
      <c r="F175" s="123"/>
      <c r="G175" s="123"/>
      <c r="H175" s="128"/>
      <c r="I175" s="123"/>
      <c r="J175" s="123"/>
      <c r="K175" s="123"/>
      <c r="L175" s="123"/>
      <c r="M175" s="123"/>
      <c r="N175" s="123"/>
      <c r="O175" s="123"/>
      <c r="P175" s="128"/>
      <c r="Q175" s="128"/>
      <c r="R175" s="178"/>
      <c r="S175" s="178"/>
      <c r="T175" s="123"/>
      <c r="U175" s="123"/>
      <c r="V175" s="123"/>
      <c r="W175" s="123"/>
      <c r="X175" s="123"/>
      <c r="Y175" s="123"/>
      <c r="Z175" s="123"/>
    </row>
    <row r="176" spans="3:26">
      <c r="C176" s="123"/>
      <c r="D176" s="120"/>
      <c r="E176" s="123"/>
      <c r="F176" s="123"/>
      <c r="G176" s="123"/>
      <c r="H176" s="128"/>
      <c r="I176" s="123"/>
      <c r="J176" s="123"/>
      <c r="K176" s="123"/>
      <c r="L176" s="123"/>
      <c r="M176" s="123"/>
      <c r="N176" s="123"/>
      <c r="O176" s="123"/>
      <c r="P176" s="128"/>
      <c r="Q176" s="128"/>
      <c r="R176" s="178"/>
      <c r="S176" s="178"/>
      <c r="T176" s="123"/>
      <c r="U176" s="123"/>
      <c r="V176" s="123"/>
      <c r="W176" s="123"/>
      <c r="X176" s="123"/>
      <c r="Y176" s="123"/>
      <c r="Z176" s="123"/>
    </row>
    <row r="177" spans="3:26">
      <c r="C177" s="123"/>
      <c r="D177" s="120"/>
      <c r="E177" s="123"/>
      <c r="F177" s="123"/>
      <c r="G177" s="123"/>
      <c r="H177" s="128"/>
      <c r="I177" s="123"/>
      <c r="J177" s="123"/>
      <c r="K177" s="123"/>
      <c r="L177" s="123"/>
      <c r="M177" s="123"/>
      <c r="N177" s="123"/>
      <c r="O177" s="123"/>
      <c r="P177" s="128"/>
      <c r="Q177" s="128"/>
      <c r="R177" s="178"/>
      <c r="S177" s="178"/>
      <c r="T177" s="123"/>
      <c r="U177" s="123"/>
      <c r="V177" s="123"/>
      <c r="W177" s="123"/>
      <c r="X177" s="123"/>
      <c r="Y177" s="123"/>
      <c r="Z177" s="123"/>
    </row>
    <row r="178" spans="3:26">
      <c r="C178" s="123"/>
      <c r="D178" s="120"/>
      <c r="E178" s="123"/>
      <c r="F178" s="123"/>
      <c r="G178" s="123"/>
      <c r="H178" s="128"/>
      <c r="I178" s="123"/>
      <c r="J178" s="123"/>
      <c r="K178" s="123"/>
      <c r="L178" s="123"/>
      <c r="M178" s="123"/>
      <c r="N178" s="123"/>
      <c r="O178" s="123"/>
      <c r="P178" s="128"/>
      <c r="Q178" s="128"/>
      <c r="R178" s="178"/>
      <c r="S178" s="178"/>
      <c r="T178" s="123"/>
      <c r="U178" s="123"/>
      <c r="V178" s="123"/>
      <c r="W178" s="123"/>
      <c r="X178" s="123"/>
      <c r="Y178" s="123"/>
      <c r="Z178" s="123"/>
    </row>
    <row r="179" spans="3:26">
      <c r="C179" s="123"/>
      <c r="D179" s="120"/>
      <c r="E179" s="123"/>
      <c r="F179" s="123"/>
      <c r="G179" s="123"/>
      <c r="H179" s="128"/>
      <c r="I179" s="123"/>
      <c r="J179" s="123"/>
      <c r="K179" s="123"/>
      <c r="L179" s="123"/>
      <c r="M179" s="123"/>
      <c r="N179" s="123"/>
      <c r="O179" s="123"/>
      <c r="P179" s="128"/>
      <c r="Q179" s="128"/>
      <c r="R179" s="178"/>
      <c r="S179" s="178"/>
      <c r="T179" s="123"/>
      <c r="U179" s="123"/>
      <c r="V179" s="123"/>
      <c r="W179" s="123"/>
      <c r="X179" s="123"/>
      <c r="Y179" s="123"/>
      <c r="Z179" s="123"/>
    </row>
    <row r="180" spans="3:26">
      <c r="C180" s="123"/>
      <c r="D180" s="120"/>
      <c r="E180" s="123"/>
      <c r="F180" s="123"/>
      <c r="G180" s="123"/>
      <c r="H180" s="128"/>
      <c r="I180" s="123"/>
      <c r="J180" s="123"/>
      <c r="K180" s="123"/>
      <c r="L180" s="123"/>
      <c r="M180" s="123"/>
      <c r="N180" s="123"/>
      <c r="O180" s="123"/>
      <c r="P180" s="128"/>
      <c r="Q180" s="128"/>
      <c r="R180" s="178"/>
      <c r="S180" s="178"/>
      <c r="T180" s="123"/>
      <c r="U180" s="123"/>
      <c r="V180" s="123"/>
      <c r="W180" s="123"/>
      <c r="X180" s="123"/>
      <c r="Y180" s="123"/>
      <c r="Z180" s="123"/>
    </row>
    <row r="181" spans="3:26">
      <c r="C181" s="123"/>
      <c r="D181" s="120"/>
      <c r="E181" s="123"/>
      <c r="F181" s="123"/>
      <c r="G181" s="123"/>
      <c r="H181" s="128"/>
      <c r="I181" s="123"/>
      <c r="J181" s="123"/>
      <c r="K181" s="123"/>
      <c r="L181" s="123"/>
      <c r="M181" s="123"/>
      <c r="N181" s="123"/>
      <c r="O181" s="123"/>
      <c r="P181" s="128"/>
      <c r="Q181" s="128"/>
      <c r="R181" s="178"/>
      <c r="S181" s="178"/>
      <c r="T181" s="123"/>
      <c r="U181" s="123"/>
      <c r="V181" s="123"/>
      <c r="W181" s="123"/>
      <c r="X181" s="123"/>
      <c r="Y181" s="123"/>
      <c r="Z181" s="123"/>
    </row>
    <row r="182" spans="3:26">
      <c r="C182" s="123"/>
      <c r="D182" s="120"/>
      <c r="E182" s="123"/>
      <c r="F182" s="123"/>
      <c r="G182" s="123"/>
      <c r="H182" s="128"/>
      <c r="I182" s="123"/>
      <c r="J182" s="123"/>
      <c r="K182" s="123"/>
      <c r="L182" s="123"/>
      <c r="M182" s="123"/>
      <c r="N182" s="123"/>
      <c r="O182" s="123"/>
      <c r="P182" s="128"/>
      <c r="Q182" s="128"/>
      <c r="R182" s="178"/>
      <c r="S182" s="178"/>
      <c r="T182" s="123"/>
      <c r="U182" s="123"/>
      <c r="V182" s="123"/>
      <c r="W182" s="123"/>
      <c r="X182" s="123"/>
      <c r="Y182" s="123"/>
      <c r="Z182" s="123"/>
    </row>
    <row r="183" spans="3:26">
      <c r="C183" s="123"/>
      <c r="D183" s="120"/>
      <c r="E183" s="123"/>
      <c r="F183" s="123"/>
      <c r="G183" s="123"/>
      <c r="H183" s="128"/>
      <c r="I183" s="123"/>
      <c r="J183" s="123"/>
      <c r="K183" s="123"/>
      <c r="L183" s="123"/>
      <c r="M183" s="123"/>
      <c r="N183" s="123"/>
      <c r="O183" s="123"/>
      <c r="P183" s="128"/>
      <c r="Q183" s="128"/>
      <c r="R183" s="178"/>
      <c r="S183" s="178"/>
      <c r="T183" s="123"/>
      <c r="U183" s="123"/>
      <c r="V183" s="123"/>
      <c r="W183" s="123"/>
      <c r="X183" s="123"/>
      <c r="Y183" s="123"/>
      <c r="Z183" s="123"/>
    </row>
    <row r="184" spans="3:26">
      <c r="C184" s="123"/>
      <c r="D184" s="120"/>
      <c r="E184" s="123"/>
      <c r="F184" s="123"/>
      <c r="G184" s="123"/>
      <c r="H184" s="128"/>
      <c r="I184" s="123"/>
      <c r="J184" s="123"/>
      <c r="K184" s="123"/>
      <c r="L184" s="123"/>
      <c r="M184" s="123"/>
      <c r="N184" s="123"/>
      <c r="O184" s="123"/>
      <c r="P184" s="128"/>
      <c r="Q184" s="128"/>
      <c r="R184" s="178"/>
      <c r="S184" s="178"/>
      <c r="T184" s="123"/>
      <c r="U184" s="123"/>
      <c r="V184" s="123"/>
      <c r="W184" s="123"/>
      <c r="X184" s="123"/>
      <c r="Y184" s="123"/>
      <c r="Z184" s="123"/>
    </row>
    <row r="185" spans="3:26">
      <c r="C185" s="123"/>
      <c r="D185" s="120"/>
      <c r="E185" s="123"/>
      <c r="F185" s="123"/>
      <c r="G185" s="123"/>
      <c r="H185" s="128"/>
      <c r="I185" s="123"/>
      <c r="J185" s="123"/>
      <c r="K185" s="123"/>
      <c r="L185" s="123"/>
      <c r="M185" s="123"/>
      <c r="N185" s="123"/>
      <c r="O185" s="123"/>
      <c r="P185" s="128"/>
      <c r="Q185" s="128"/>
      <c r="R185" s="178"/>
      <c r="S185" s="178"/>
      <c r="T185" s="123"/>
      <c r="U185" s="123"/>
      <c r="V185" s="123"/>
      <c r="W185" s="123"/>
      <c r="X185" s="123"/>
      <c r="Y185" s="123"/>
      <c r="Z185" s="123"/>
    </row>
    <row r="186" spans="3:26">
      <c r="C186" s="123"/>
      <c r="D186" s="120"/>
      <c r="E186" s="123"/>
      <c r="F186" s="123"/>
      <c r="G186" s="123"/>
      <c r="H186" s="128"/>
      <c r="I186" s="123"/>
      <c r="J186" s="123"/>
      <c r="K186" s="123"/>
      <c r="L186" s="123"/>
      <c r="M186" s="123"/>
      <c r="N186" s="123"/>
      <c r="O186" s="123"/>
      <c r="P186" s="128"/>
      <c r="Q186" s="128"/>
      <c r="R186" s="178"/>
      <c r="S186" s="178"/>
      <c r="T186" s="123"/>
      <c r="U186" s="123"/>
      <c r="V186" s="123"/>
      <c r="W186" s="123"/>
      <c r="X186" s="123"/>
      <c r="Y186" s="123"/>
      <c r="Z186" s="123"/>
    </row>
    <row r="187" spans="3:26">
      <c r="C187" s="123"/>
      <c r="D187" s="120"/>
      <c r="E187" s="123"/>
      <c r="F187" s="123"/>
      <c r="G187" s="123"/>
      <c r="H187" s="128"/>
      <c r="I187" s="123"/>
      <c r="J187" s="123"/>
      <c r="K187" s="123"/>
      <c r="L187" s="123"/>
      <c r="M187" s="123"/>
      <c r="N187" s="123"/>
      <c r="O187" s="123"/>
      <c r="P187" s="128"/>
      <c r="Q187" s="128"/>
      <c r="R187" s="178"/>
      <c r="S187" s="178"/>
      <c r="T187" s="123"/>
      <c r="U187" s="123"/>
      <c r="V187" s="123"/>
      <c r="W187" s="123"/>
      <c r="X187" s="123"/>
      <c r="Y187" s="123"/>
      <c r="Z187" s="123"/>
    </row>
    <row r="188" spans="3:26">
      <c r="C188" s="123"/>
      <c r="D188" s="120"/>
      <c r="E188" s="123"/>
      <c r="F188" s="123"/>
      <c r="G188" s="123"/>
      <c r="H188" s="128"/>
      <c r="I188" s="123"/>
      <c r="J188" s="123"/>
      <c r="K188" s="123"/>
      <c r="L188" s="123"/>
      <c r="M188" s="123"/>
      <c r="N188" s="123"/>
      <c r="O188" s="123"/>
      <c r="P188" s="128"/>
      <c r="Q188" s="128"/>
      <c r="R188" s="178"/>
      <c r="S188" s="178"/>
      <c r="T188" s="123"/>
      <c r="U188" s="123"/>
      <c r="V188" s="123"/>
      <c r="W188" s="123"/>
      <c r="X188" s="123"/>
      <c r="Y188" s="123"/>
      <c r="Z188" s="123"/>
    </row>
    <row r="189" spans="3:26">
      <c r="C189" s="123"/>
      <c r="D189" s="120"/>
      <c r="E189" s="123"/>
      <c r="F189" s="123"/>
      <c r="G189" s="123"/>
      <c r="H189" s="128"/>
      <c r="I189" s="123"/>
      <c r="J189" s="123"/>
      <c r="K189" s="123"/>
      <c r="L189" s="123"/>
      <c r="M189" s="123"/>
      <c r="N189" s="123"/>
      <c r="O189" s="123"/>
      <c r="P189" s="128"/>
      <c r="Q189" s="128"/>
      <c r="R189" s="178"/>
      <c r="S189" s="178"/>
      <c r="T189" s="123"/>
      <c r="U189" s="123"/>
      <c r="V189" s="123"/>
      <c r="W189" s="123"/>
      <c r="X189" s="123"/>
      <c r="Y189" s="123"/>
      <c r="Z189" s="123"/>
    </row>
    <row r="190" spans="3:26">
      <c r="C190" s="123"/>
      <c r="D190" s="120"/>
      <c r="E190" s="123"/>
      <c r="F190" s="123"/>
      <c r="G190" s="123"/>
      <c r="H190" s="128"/>
      <c r="I190" s="123"/>
      <c r="J190" s="123"/>
      <c r="K190" s="123"/>
      <c r="L190" s="123"/>
      <c r="M190" s="123"/>
      <c r="N190" s="123"/>
      <c r="O190" s="123"/>
      <c r="P190" s="128"/>
      <c r="Q190" s="128"/>
      <c r="R190" s="178"/>
      <c r="S190" s="178"/>
      <c r="T190" s="123"/>
      <c r="U190" s="123"/>
      <c r="V190" s="123"/>
      <c r="W190" s="123"/>
      <c r="X190" s="123"/>
      <c r="Y190" s="123"/>
      <c r="Z190" s="123"/>
    </row>
    <row r="191" spans="3:26">
      <c r="C191" s="123"/>
      <c r="D191" s="120"/>
      <c r="E191" s="123"/>
      <c r="F191" s="123"/>
      <c r="G191" s="123"/>
      <c r="H191" s="128"/>
      <c r="I191" s="123"/>
      <c r="J191" s="123"/>
      <c r="K191" s="123"/>
      <c r="L191" s="123"/>
      <c r="M191" s="123"/>
      <c r="N191" s="123"/>
      <c r="O191" s="123"/>
      <c r="P191" s="128"/>
      <c r="Q191" s="128"/>
      <c r="R191" s="178"/>
      <c r="S191" s="178"/>
      <c r="T191" s="123"/>
      <c r="U191" s="123"/>
      <c r="V191" s="123"/>
      <c r="W191" s="123"/>
      <c r="X191" s="123"/>
      <c r="Y191" s="123"/>
      <c r="Z191" s="123"/>
    </row>
    <row r="192" spans="3:26">
      <c r="C192" s="123"/>
      <c r="D192" s="120"/>
      <c r="E192" s="123"/>
      <c r="F192" s="123"/>
      <c r="G192" s="123"/>
      <c r="H192" s="128"/>
      <c r="I192" s="123"/>
      <c r="J192" s="123"/>
      <c r="K192" s="123"/>
      <c r="L192" s="123"/>
      <c r="M192" s="123"/>
      <c r="N192" s="123"/>
      <c r="O192" s="123"/>
      <c r="P192" s="128"/>
      <c r="Q192" s="128"/>
      <c r="R192" s="178"/>
      <c r="S192" s="178"/>
      <c r="T192" s="123"/>
      <c r="U192" s="123"/>
      <c r="V192" s="123"/>
      <c r="W192" s="123"/>
      <c r="X192" s="123"/>
      <c r="Y192" s="123"/>
      <c r="Z192" s="123"/>
    </row>
    <row r="193" spans="1:26">
      <c r="C193" s="123"/>
      <c r="D193" s="120"/>
      <c r="E193" s="123"/>
      <c r="F193" s="123"/>
      <c r="G193" s="123"/>
      <c r="H193" s="128"/>
      <c r="I193" s="123"/>
      <c r="J193" s="123"/>
      <c r="K193" s="123"/>
      <c r="L193" s="123"/>
      <c r="M193" s="123"/>
      <c r="N193" s="123"/>
      <c r="O193" s="123"/>
      <c r="P193" s="128"/>
      <c r="Q193" s="128"/>
      <c r="R193" s="178"/>
      <c r="S193" s="178"/>
      <c r="T193" s="123"/>
      <c r="U193" s="123"/>
      <c r="V193" s="123"/>
      <c r="W193" s="123"/>
      <c r="X193" s="123"/>
      <c r="Y193" s="123"/>
      <c r="Z193" s="123"/>
    </row>
    <row r="194" spans="1:26">
      <c r="C194" s="123"/>
      <c r="D194" s="120"/>
      <c r="E194" s="123"/>
      <c r="F194" s="123"/>
      <c r="G194" s="123"/>
      <c r="H194" s="128"/>
      <c r="I194" s="123"/>
      <c r="J194" s="123"/>
      <c r="K194" s="123"/>
      <c r="L194" s="123"/>
      <c r="M194" s="123"/>
      <c r="N194" s="123"/>
      <c r="O194" s="123"/>
      <c r="P194" s="128"/>
      <c r="Q194" s="128"/>
      <c r="R194" s="178"/>
      <c r="S194" s="178"/>
      <c r="T194" s="123"/>
      <c r="U194" s="123"/>
      <c r="V194" s="123"/>
      <c r="W194" s="123"/>
      <c r="X194" s="123"/>
      <c r="Y194" s="123"/>
      <c r="Z194" s="123"/>
    </row>
    <row r="195" spans="1:26">
      <c r="C195" s="123"/>
      <c r="D195" s="120"/>
      <c r="E195" s="123"/>
      <c r="F195" s="123"/>
      <c r="G195" s="123"/>
      <c r="H195" s="128"/>
      <c r="I195" s="123"/>
      <c r="J195" s="123"/>
      <c r="K195" s="123"/>
      <c r="L195" s="123"/>
      <c r="M195" s="123"/>
      <c r="N195" s="123"/>
      <c r="O195" s="123"/>
      <c r="P195" s="128"/>
      <c r="Q195" s="123"/>
      <c r="R195" s="123"/>
      <c r="S195" s="123"/>
      <c r="T195" s="123"/>
      <c r="U195" s="123"/>
      <c r="V195" s="123"/>
      <c r="W195" s="123"/>
      <c r="X195" s="123"/>
      <c r="Y195" s="123"/>
      <c r="Z195" s="123"/>
    </row>
    <row r="196" spans="1:26">
      <c r="C196" s="123"/>
      <c r="D196" s="120"/>
      <c r="E196" s="123"/>
      <c r="F196" s="123"/>
      <c r="G196" s="123"/>
      <c r="H196" s="128"/>
      <c r="I196" s="123"/>
      <c r="J196" s="123"/>
      <c r="K196" s="123"/>
      <c r="L196" s="123"/>
      <c r="M196" s="123"/>
      <c r="N196" s="123"/>
      <c r="O196" s="123"/>
      <c r="P196" s="128"/>
      <c r="Q196" s="128"/>
      <c r="R196" s="178"/>
      <c r="S196" s="178"/>
      <c r="T196" s="123"/>
      <c r="U196" s="123"/>
      <c r="V196" s="123"/>
      <c r="W196" s="123"/>
      <c r="X196" s="123"/>
      <c r="Y196" s="123"/>
      <c r="Z196" s="123"/>
    </row>
    <row r="197" spans="1:26">
      <c r="C197" s="123"/>
      <c r="D197" s="120"/>
      <c r="E197" s="123"/>
      <c r="F197" s="123"/>
      <c r="G197" s="123"/>
      <c r="H197" s="128"/>
      <c r="I197" s="123"/>
      <c r="J197" s="123"/>
      <c r="K197" s="123"/>
      <c r="L197" s="123"/>
      <c r="M197" s="123"/>
      <c r="N197" s="123"/>
      <c r="O197" s="123"/>
      <c r="P197" s="128"/>
      <c r="Q197" s="128"/>
      <c r="R197" s="178"/>
      <c r="S197" s="178"/>
      <c r="T197" s="123"/>
      <c r="U197" s="123"/>
      <c r="V197" s="123"/>
      <c r="W197" s="123"/>
      <c r="X197" s="123"/>
      <c r="Y197" s="123"/>
      <c r="Z197" s="123"/>
    </row>
    <row r="198" spans="1:26">
      <c r="C198" s="123"/>
      <c r="D198" s="120"/>
      <c r="E198" s="123"/>
      <c r="F198" s="128"/>
      <c r="G198" s="123"/>
      <c r="H198" s="128"/>
      <c r="I198" s="123"/>
      <c r="J198" s="123"/>
      <c r="K198" s="123"/>
      <c r="L198" s="123"/>
      <c r="M198" s="123"/>
      <c r="N198" s="123"/>
      <c r="O198" s="123"/>
      <c r="P198" s="128"/>
      <c r="Q198" s="128"/>
      <c r="R198" s="178"/>
      <c r="S198" s="178"/>
      <c r="T198" s="123"/>
      <c r="U198" s="123"/>
      <c r="V198" s="123"/>
      <c r="W198" s="123"/>
      <c r="X198" s="123"/>
      <c r="Y198" s="123"/>
      <c r="Z198" s="123"/>
    </row>
    <row r="199" spans="1:26">
      <c r="C199" s="123"/>
      <c r="D199" s="120"/>
      <c r="E199" s="123"/>
      <c r="F199" s="128"/>
      <c r="G199" s="123"/>
      <c r="H199" s="128"/>
      <c r="I199" s="123"/>
      <c r="J199" s="123"/>
      <c r="K199" s="123"/>
      <c r="L199" s="123"/>
      <c r="M199" s="123"/>
      <c r="N199" s="123"/>
      <c r="O199" s="123"/>
      <c r="P199" s="128"/>
      <c r="Q199" s="128"/>
      <c r="R199" s="178"/>
      <c r="S199" s="178"/>
      <c r="T199" s="123"/>
      <c r="U199" s="123"/>
      <c r="V199" s="123"/>
      <c r="W199" s="123"/>
      <c r="X199" s="123"/>
      <c r="Y199" s="123"/>
      <c r="Z199" s="123"/>
    </row>
    <row r="200" spans="1:26">
      <c r="C200" s="123"/>
      <c r="D200" s="120"/>
      <c r="E200" s="123"/>
      <c r="F200" s="123"/>
      <c r="G200" s="123"/>
      <c r="H200" s="128"/>
      <c r="I200" s="123"/>
      <c r="J200" s="123"/>
      <c r="K200" s="123"/>
      <c r="L200" s="123"/>
      <c r="M200" s="123"/>
      <c r="N200" s="123"/>
      <c r="O200" s="123"/>
      <c r="P200" s="128"/>
      <c r="Q200" s="128"/>
      <c r="R200" s="178"/>
      <c r="S200" s="178"/>
      <c r="T200" s="123"/>
      <c r="U200" s="123"/>
      <c r="V200" s="123"/>
      <c r="W200" s="123"/>
      <c r="X200" s="123"/>
      <c r="Y200" s="123"/>
      <c r="Z200" s="123"/>
    </row>
    <row r="201" spans="1:26">
      <c r="C201" s="123"/>
      <c r="D201" s="120"/>
      <c r="E201" s="123"/>
      <c r="F201" s="123"/>
      <c r="G201" s="123"/>
      <c r="H201" s="128"/>
      <c r="I201" s="123"/>
      <c r="J201" s="123"/>
      <c r="K201" s="123"/>
      <c r="L201" s="123"/>
      <c r="M201" s="123"/>
      <c r="N201" s="123"/>
      <c r="O201" s="123"/>
      <c r="P201" s="128"/>
      <c r="Q201" s="128"/>
      <c r="R201" s="178"/>
      <c r="S201" s="178"/>
      <c r="T201" s="123"/>
      <c r="U201" s="123"/>
      <c r="V201" s="123"/>
      <c r="W201" s="123"/>
      <c r="X201" s="123"/>
      <c r="Y201" s="123"/>
      <c r="Z201" s="123"/>
    </row>
    <row r="202" spans="1:26">
      <c r="A202" s="22"/>
      <c r="B202" s="74"/>
      <c r="C202" s="123"/>
      <c r="D202" s="120"/>
      <c r="E202" s="123"/>
      <c r="F202" s="123"/>
      <c r="G202" s="123"/>
      <c r="H202" s="128"/>
      <c r="I202" s="123"/>
      <c r="J202" s="123"/>
      <c r="K202" s="123"/>
      <c r="L202" s="123"/>
      <c r="M202" s="123"/>
      <c r="N202" s="123"/>
      <c r="O202" s="123"/>
      <c r="P202" s="128"/>
      <c r="Q202" s="128"/>
      <c r="R202" s="178"/>
      <c r="S202" s="178"/>
      <c r="T202" s="123"/>
      <c r="U202" s="123"/>
      <c r="V202" s="123"/>
      <c r="W202" s="123"/>
      <c r="X202" s="123"/>
      <c r="Y202" s="123"/>
      <c r="Z202" s="123"/>
    </row>
    <row r="203" spans="1:26">
      <c r="A203" s="22"/>
      <c r="B203" s="74"/>
      <c r="C203" s="123"/>
      <c r="D203" s="120"/>
      <c r="E203" s="123"/>
      <c r="F203" s="123"/>
      <c r="G203" s="123"/>
      <c r="H203" s="128"/>
      <c r="I203" s="123"/>
      <c r="J203" s="123"/>
      <c r="K203" s="123"/>
      <c r="L203" s="123"/>
      <c r="M203" s="123"/>
      <c r="N203" s="123"/>
      <c r="O203" s="123"/>
      <c r="P203" s="128"/>
      <c r="Q203" s="128"/>
      <c r="R203" s="178"/>
      <c r="S203" s="178"/>
      <c r="T203" s="123"/>
      <c r="U203" s="123"/>
      <c r="V203" s="123"/>
      <c r="W203" s="123"/>
      <c r="X203" s="123"/>
      <c r="Y203" s="123"/>
      <c r="Z203" s="123"/>
    </row>
    <row r="204" spans="1:26">
      <c r="A204" s="22"/>
      <c r="B204" s="74"/>
      <c r="C204" s="123"/>
      <c r="D204" s="120"/>
      <c r="E204" s="123"/>
      <c r="F204" s="123"/>
      <c r="G204" s="123"/>
      <c r="H204" s="128"/>
      <c r="I204" s="123"/>
      <c r="J204" s="123"/>
      <c r="K204" s="123"/>
      <c r="L204" s="123"/>
      <c r="M204" s="123"/>
      <c r="N204" s="123"/>
      <c r="O204" s="123"/>
      <c r="P204" s="128"/>
      <c r="Q204" s="128"/>
      <c r="R204" s="178"/>
      <c r="S204" s="178"/>
      <c r="T204" s="123"/>
      <c r="U204" s="123"/>
      <c r="V204" s="123"/>
      <c r="W204" s="123"/>
      <c r="X204" s="123"/>
      <c r="Y204" s="123"/>
      <c r="Z204" s="123"/>
    </row>
    <row r="205" spans="1:26">
      <c r="A205" s="55"/>
      <c r="B205" s="56"/>
      <c r="C205" s="123"/>
      <c r="D205" s="120"/>
      <c r="E205" s="123"/>
      <c r="F205" s="123"/>
      <c r="G205" s="123"/>
      <c r="H205" s="128"/>
      <c r="I205" s="123"/>
      <c r="J205" s="123"/>
      <c r="K205" s="123"/>
      <c r="L205" s="123"/>
      <c r="M205" s="123"/>
      <c r="N205" s="123"/>
      <c r="O205" s="123"/>
      <c r="P205" s="128"/>
      <c r="Q205" s="128"/>
      <c r="R205" s="178"/>
      <c r="S205" s="178"/>
      <c r="T205" s="123"/>
      <c r="U205" s="123"/>
      <c r="V205" s="123"/>
      <c r="W205" s="123"/>
      <c r="X205" s="123"/>
      <c r="Y205" s="123"/>
      <c r="Z205" s="123"/>
    </row>
    <row r="206" spans="1:26">
      <c r="A206" s="55"/>
      <c r="B206" s="56"/>
      <c r="C206" s="123"/>
      <c r="D206" s="120"/>
      <c r="E206" s="123"/>
      <c r="F206" s="123"/>
      <c r="G206" s="123"/>
      <c r="H206" s="128"/>
      <c r="I206" s="123"/>
      <c r="J206" s="123"/>
      <c r="K206" s="123"/>
      <c r="L206" s="123"/>
      <c r="M206" s="123"/>
      <c r="N206" s="123"/>
      <c r="O206" s="123"/>
      <c r="P206" s="128"/>
      <c r="Q206" s="128"/>
      <c r="R206" s="178"/>
      <c r="S206" s="178"/>
      <c r="T206" s="123"/>
      <c r="U206" s="123"/>
      <c r="V206" s="123"/>
      <c r="W206" s="123"/>
      <c r="X206" s="123"/>
      <c r="Y206" s="123"/>
      <c r="Z206" s="123"/>
    </row>
    <row r="207" spans="1:26">
      <c r="A207" s="22"/>
      <c r="B207" s="74"/>
      <c r="C207" s="123"/>
      <c r="D207" s="120"/>
      <c r="E207" s="123"/>
      <c r="F207" s="123"/>
      <c r="G207" s="123"/>
      <c r="H207" s="128"/>
      <c r="I207" s="123"/>
      <c r="J207" s="123"/>
      <c r="K207" s="123"/>
      <c r="L207" s="123"/>
      <c r="M207" s="123"/>
      <c r="N207" s="123"/>
      <c r="O207" s="123"/>
      <c r="P207" s="128"/>
      <c r="Q207" s="128"/>
      <c r="R207" s="178"/>
      <c r="S207" s="178"/>
      <c r="T207" s="123"/>
      <c r="U207" s="123"/>
      <c r="V207" s="123"/>
      <c r="W207" s="123"/>
      <c r="X207" s="123"/>
      <c r="Y207" s="123"/>
      <c r="Z207" s="123"/>
    </row>
    <row r="208" spans="1:26">
      <c r="A208" s="22"/>
      <c r="B208" s="74"/>
    </row>
    <row r="209" spans="1:2">
      <c r="A209" s="22"/>
      <c r="B209" s="74"/>
    </row>
    <row r="210" spans="1:2">
      <c r="A210" s="22"/>
      <c r="B210" s="74"/>
    </row>
    <row r="211" spans="1:2">
      <c r="A211" s="55"/>
      <c r="B211" s="56"/>
    </row>
    <row r="212" spans="1:2">
      <c r="A212" s="55"/>
      <c r="B212" s="56"/>
    </row>
    <row r="213" spans="1:2">
      <c r="A213" s="55"/>
      <c r="B213" s="56"/>
    </row>
    <row r="214" spans="1:2">
      <c r="A214" s="22"/>
      <c r="B214" s="22"/>
    </row>
  </sheetData>
  <phoneticPr fontId="0" type="noConversion"/>
  <pageMargins left="0.75" right="0.75" top="1" bottom="1" header="0.5" footer="0.5"/>
  <pageSetup orientation="landscape" horizontalDpi="300" verticalDpi="300" r:id="rId1"/>
  <headerFooter alignWithMargins="0"/>
  <legacyDrawing r:id="rId2"/>
</worksheet>
</file>

<file path=xl/worksheets/sheet43.xml><?xml version="1.0" encoding="utf-8"?>
<worksheet xmlns="http://schemas.openxmlformats.org/spreadsheetml/2006/main" xmlns:r="http://schemas.openxmlformats.org/officeDocument/2006/relationships">
  <sheetPr codeName="Sheet5631"/>
  <dimension ref="A1:Z106"/>
  <sheetViews>
    <sheetView zoomScale="75" workbookViewId="0">
      <selection activeCell="D4" sqref="D4"/>
    </sheetView>
  </sheetViews>
  <sheetFormatPr defaultColWidth="11.42578125" defaultRowHeight="12.75"/>
  <cols>
    <col min="1" max="1" width="14.7109375" customWidth="1"/>
    <col min="2" max="2" width="13.5703125" customWidth="1"/>
    <col min="3" max="3" width="36.42578125" customWidth="1"/>
    <col min="4" max="4" width="10.85546875" customWidth="1"/>
    <col min="5" max="6" width="9.7109375" bestFit="1" customWidth="1"/>
  </cols>
  <sheetData>
    <row r="1" spans="1:23" ht="18">
      <c r="A1" s="10" t="s">
        <v>234</v>
      </c>
      <c r="D1" t="s">
        <v>250</v>
      </c>
    </row>
    <row r="2" spans="1:23" s="22" customFormat="1" ht="18">
      <c r="A2" s="83"/>
      <c r="D2" s="245"/>
      <c r="E2" s="74"/>
      <c r="F2" s="74"/>
      <c r="G2" s="74"/>
      <c r="H2" s="74"/>
      <c r="J2" s="56"/>
    </row>
    <row r="3" spans="1:23" ht="18">
      <c r="A3" s="10"/>
      <c r="B3" s="16"/>
      <c r="C3" s="17"/>
      <c r="D3" s="245"/>
      <c r="P3" s="18">
        <v>1</v>
      </c>
      <c r="Q3" t="s">
        <v>666</v>
      </c>
    </row>
    <row r="4" spans="1:23" ht="18">
      <c r="B4" s="131" t="s">
        <v>594</v>
      </c>
      <c r="C4" s="98"/>
      <c r="D4" s="252" t="str">
        <f>"~FI_T: "&amp;Region&amp;"~EUR10"</f>
        <v>~FI_T: FIM~EUR10</v>
      </c>
      <c r="E4" s="4"/>
      <c r="S4" s="4"/>
      <c r="T4" s="4"/>
    </row>
    <row r="5" spans="1:23" ht="39"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tr">
        <f ca="1">J5&amp;"~"&amp;AuxYear</f>
        <v>EFF~2017</v>
      </c>
      <c r="L5" s="52" t="s">
        <v>758</v>
      </c>
      <c r="M5" s="52" t="s">
        <v>661</v>
      </c>
      <c r="N5" s="52" t="s">
        <v>662</v>
      </c>
      <c r="O5" s="52" t="s">
        <v>88</v>
      </c>
      <c r="P5" s="52" t="s">
        <v>541</v>
      </c>
      <c r="Q5" s="52" t="str">
        <f ca="1">P5&amp;"~"&amp;AuxYear</f>
        <v>RESID~2017</v>
      </c>
      <c r="R5" s="52" t="str">
        <f ca="1">"RESID~"&amp;CEILING(AuxYear+9,5)</f>
        <v>RESID~2030</v>
      </c>
      <c r="S5" s="52" t="str">
        <f ca="1">"RESID~"&amp;CEILING(AuxYear+19,5)</f>
        <v>RESID~2040</v>
      </c>
      <c r="T5" s="52" t="str">
        <f ca="1">"RESID~"&amp;CEILING(AuxYear+29,5)</f>
        <v>RESID~2050</v>
      </c>
      <c r="U5" s="52" t="s">
        <v>537</v>
      </c>
      <c r="V5" s="52" t="str">
        <f ca="1">"CF~"&amp;CEILING(AuxYear+2,5)</f>
        <v>CF~2020</v>
      </c>
      <c r="W5" s="257" t="s">
        <v>381</v>
      </c>
    </row>
    <row r="6" spans="1:23" ht="21" customHeight="1">
      <c r="B6" s="76" t="s">
        <v>113</v>
      </c>
      <c r="C6" s="441" t="s">
        <v>7</v>
      </c>
      <c r="D6" s="36" t="str">
        <f ca="1">IEAData2!H99</f>
        <v>COMNGA</v>
      </c>
      <c r="E6" s="85">
        <f ca="1">IEAData2!D172</f>
        <v>5.8319999999999997E-2</v>
      </c>
      <c r="F6" s="85">
        <f ca="1">AuxData2!D172</f>
        <v>5.8319999999999997E-2</v>
      </c>
      <c r="G6" s="87">
        <v>0.8</v>
      </c>
      <c r="H6" s="343" t="str">
        <f t="shared" ref="H6:H16" si="0">RIGHT(D6,3)</f>
        <v>NGA</v>
      </c>
      <c r="I6" s="81">
        <v>1.01</v>
      </c>
      <c r="J6" s="6">
        <f t="shared" ref="J6:J16" si="1">G6</f>
        <v>0.8</v>
      </c>
      <c r="K6" s="6">
        <f t="shared" ref="K6:K16" si="2">J6^IF(J6&gt;1,I6,1/I6)</f>
        <v>0.80176942758945924</v>
      </c>
      <c r="L6" s="38">
        <f ca="1">F6*K6</f>
        <v>4.675919301701726E-2</v>
      </c>
      <c r="M6" s="19">
        <v>1</v>
      </c>
      <c r="N6" s="89">
        <v>0.1</v>
      </c>
      <c r="O6" s="32">
        <v>15</v>
      </c>
      <c r="P6" s="161">
        <f t="shared" ref="P6:P16" ca="1" si="3">J6*E6/$N6</f>
        <v>0.46656000000000003</v>
      </c>
      <c r="Q6" s="104">
        <f ca="1">F6*K6/$N6</f>
        <v>0.46759193017017259</v>
      </c>
      <c r="R6" s="104"/>
      <c r="S6" s="185">
        <f ca="1">MIN(Q6,P6*0.2)</f>
        <v>9.3312000000000006E-2</v>
      </c>
      <c r="T6" s="40"/>
      <c r="U6" s="40"/>
      <c r="V6" s="40">
        <f t="shared" ref="V6:V16" si="4">N6*$I$25</f>
        <v>0.1</v>
      </c>
      <c r="W6" s="258">
        <f t="shared" ref="W6:W16" ca="1" si="5">IF($E$17=0,0,E6/$E$17)</f>
        <v>1.7356393072977469E-2</v>
      </c>
    </row>
    <row r="7" spans="1:23" ht="21" customHeight="1">
      <c r="B7" s="76" t="s">
        <v>114</v>
      </c>
      <c r="C7" s="402" t="s">
        <v>8</v>
      </c>
      <c r="D7" s="36" t="str">
        <f ca="1">IEAData2!H100</f>
        <v>COMDST</v>
      </c>
      <c r="E7" s="64">
        <f ca="1">IEAData2!D173</f>
        <v>9.3401331003528557E-2</v>
      </c>
      <c r="F7" s="64">
        <f ca="1">AuxData2!D173</f>
        <v>0.12100136304309578</v>
      </c>
      <c r="G7" s="88">
        <v>0.75</v>
      </c>
      <c r="H7" s="343" t="str">
        <f t="shared" si="0"/>
        <v>DST</v>
      </c>
      <c r="I7" s="81">
        <v>1.01</v>
      </c>
      <c r="J7" s="6">
        <f t="shared" si="1"/>
        <v>0.75</v>
      </c>
      <c r="K7" s="6">
        <f t="shared" si="2"/>
        <v>0.75213929828851755</v>
      </c>
      <c r="L7" s="38">
        <f t="shared" ref="L7:L16" ca="1" si="6">F7*K7</f>
        <v>9.1009880291188214E-2</v>
      </c>
      <c r="M7" s="19">
        <v>1</v>
      </c>
      <c r="N7" s="81">
        <v>0.1</v>
      </c>
      <c r="O7" s="32">
        <v>15</v>
      </c>
      <c r="P7" s="161">
        <f t="shared" ca="1" si="3"/>
        <v>0.70050998252646413</v>
      </c>
      <c r="Q7" s="104">
        <f t="shared" ref="Q7:Q16" ca="1" si="7">F7*K7/$N7</f>
        <v>0.91009880291188205</v>
      </c>
      <c r="R7" s="104"/>
      <c r="S7" s="185">
        <f t="shared" ref="S7:S13" ca="1" si="8">MIN(Q7,P7*0.2)</f>
        <v>0.14010199650529284</v>
      </c>
      <c r="T7" s="40"/>
      <c r="U7" s="40"/>
      <c r="V7" s="40">
        <f t="shared" si="4"/>
        <v>0.1</v>
      </c>
      <c r="W7" s="258">
        <f t="shared" ca="1" si="5"/>
        <v>2.7796814376483518E-2</v>
      </c>
    </row>
    <row r="8" spans="1:23" ht="21" customHeight="1">
      <c r="B8" s="76" t="s">
        <v>340</v>
      </c>
      <c r="C8" s="402" t="s">
        <v>9</v>
      </c>
      <c r="D8" s="36" t="s">
        <v>597</v>
      </c>
      <c r="E8" s="64">
        <f ca="1">IEAData2!D175</f>
        <v>0</v>
      </c>
      <c r="F8" s="64">
        <f ca="1">AuxData2!D175</f>
        <v>0</v>
      </c>
      <c r="G8" s="88">
        <v>0.65</v>
      </c>
      <c r="H8" s="343" t="str">
        <f t="shared" si="0"/>
        <v>KER</v>
      </c>
      <c r="I8" s="81">
        <v>1.01</v>
      </c>
      <c r="J8" s="6">
        <f t="shared" si="1"/>
        <v>0.65</v>
      </c>
      <c r="K8" s="6">
        <f t="shared" si="2"/>
        <v>0.65277828603114285</v>
      </c>
      <c r="L8" s="38">
        <f t="shared" ca="1" si="6"/>
        <v>0</v>
      </c>
      <c r="M8" s="19">
        <v>1</v>
      </c>
      <c r="N8" s="81">
        <v>0.1</v>
      </c>
      <c r="O8" s="32">
        <v>15</v>
      </c>
      <c r="P8" s="161">
        <f t="shared" ca="1" si="3"/>
        <v>0</v>
      </c>
      <c r="Q8" s="104">
        <f t="shared" ca="1" si="7"/>
        <v>0</v>
      </c>
      <c r="R8" s="104"/>
      <c r="S8" s="185">
        <f t="shared" ca="1" si="8"/>
        <v>0</v>
      </c>
      <c r="T8" s="40"/>
      <c r="U8" s="40"/>
      <c r="V8" s="40">
        <f t="shared" si="4"/>
        <v>0.1</v>
      </c>
      <c r="W8" s="258">
        <f t="shared" ca="1" si="5"/>
        <v>0</v>
      </c>
    </row>
    <row r="9" spans="1:23" ht="21" customHeight="1">
      <c r="B9" s="76" t="s">
        <v>341</v>
      </c>
      <c r="C9" s="402" t="s">
        <v>10</v>
      </c>
      <c r="D9" s="36" t="s">
        <v>596</v>
      </c>
      <c r="E9" s="64">
        <f ca="1">IEAData2!D174</f>
        <v>0</v>
      </c>
      <c r="F9" s="64">
        <f ca="1">AuxData2!D174</f>
        <v>0</v>
      </c>
      <c r="G9" s="88">
        <v>0.7</v>
      </c>
      <c r="H9" s="343" t="str">
        <f t="shared" si="0"/>
        <v>HFO</v>
      </c>
      <c r="I9" s="81">
        <v>1.01</v>
      </c>
      <c r="J9" s="6">
        <f t="shared" si="1"/>
        <v>0.7</v>
      </c>
      <c r="K9" s="6">
        <f t="shared" si="2"/>
        <v>0.70247637456639089</v>
      </c>
      <c r="L9" s="38">
        <f t="shared" ca="1" si="6"/>
        <v>0</v>
      </c>
      <c r="M9" s="19">
        <v>1</v>
      </c>
      <c r="N9" s="81">
        <v>0.1</v>
      </c>
      <c r="O9" s="32">
        <v>15</v>
      </c>
      <c r="P9" s="161">
        <f t="shared" ca="1" si="3"/>
        <v>0</v>
      </c>
      <c r="Q9" s="104">
        <f t="shared" ca="1" si="7"/>
        <v>0</v>
      </c>
      <c r="R9" s="104"/>
      <c r="S9" s="185">
        <f t="shared" ca="1" si="8"/>
        <v>0</v>
      </c>
      <c r="T9" s="40"/>
      <c r="U9" s="40"/>
      <c r="V9" s="40">
        <f t="shared" si="4"/>
        <v>0.1</v>
      </c>
      <c r="W9" s="258">
        <f t="shared" ca="1" si="5"/>
        <v>0</v>
      </c>
    </row>
    <row r="10" spans="1:23" ht="21" customHeight="1">
      <c r="B10" s="76" t="s">
        <v>1031</v>
      </c>
      <c r="C10" s="402" t="s">
        <v>1038</v>
      </c>
      <c r="D10" s="36" t="str">
        <f ca="1">IEAData2!H103</f>
        <v>COMCOP</v>
      </c>
      <c r="E10" s="64">
        <f ca="1">IEAData2!D176</f>
        <v>0</v>
      </c>
      <c r="F10" s="64">
        <f ca="1">AuxData2!D176</f>
        <v>0</v>
      </c>
      <c r="G10" s="88">
        <v>0.64</v>
      </c>
      <c r="H10" s="343" t="str">
        <f t="shared" si="0"/>
        <v>COP</v>
      </c>
      <c r="I10" s="81">
        <v>1.01</v>
      </c>
      <c r="J10" s="6">
        <f t="shared" si="1"/>
        <v>0.64</v>
      </c>
      <c r="K10" s="6">
        <f t="shared" si="2"/>
        <v>0.64283421501712912</v>
      </c>
      <c r="L10" s="38">
        <f t="shared" ca="1" si="6"/>
        <v>0</v>
      </c>
      <c r="M10" s="19">
        <v>1</v>
      </c>
      <c r="N10" s="81">
        <v>0.1</v>
      </c>
      <c r="O10" s="32">
        <v>15</v>
      </c>
      <c r="P10" s="161">
        <f t="shared" ca="1" si="3"/>
        <v>0</v>
      </c>
      <c r="Q10" s="104">
        <f t="shared" ca="1" si="7"/>
        <v>0</v>
      </c>
      <c r="R10" s="104"/>
      <c r="S10" s="185">
        <f t="shared" ca="1" si="8"/>
        <v>0</v>
      </c>
      <c r="T10" s="40"/>
      <c r="U10" s="40"/>
      <c r="V10" s="40">
        <f t="shared" si="4"/>
        <v>0.1</v>
      </c>
      <c r="W10" s="258">
        <f t="shared" ca="1" si="5"/>
        <v>0</v>
      </c>
    </row>
    <row r="11" spans="1:23" ht="21" customHeight="1">
      <c r="B11" s="76" t="s">
        <v>143</v>
      </c>
      <c r="C11" s="402" t="s">
        <v>674</v>
      </c>
      <c r="D11" s="36" t="str">
        <f ca="1">IEAData2!H104</f>
        <v>COMLPG</v>
      </c>
      <c r="E11" s="90">
        <f ca="1">IEAData2!D177</f>
        <v>0</v>
      </c>
      <c r="F11" s="90">
        <f ca="1">AuxData2!D177</f>
        <v>0</v>
      </c>
      <c r="G11" s="88">
        <v>0.75</v>
      </c>
      <c r="H11" s="343" t="str">
        <f t="shared" si="0"/>
        <v>LPG</v>
      </c>
      <c r="I11" s="81">
        <v>1.01</v>
      </c>
      <c r="J11" s="6">
        <f t="shared" si="1"/>
        <v>0.75</v>
      </c>
      <c r="K11" s="6">
        <f t="shared" si="2"/>
        <v>0.75213929828851755</v>
      </c>
      <c r="L11" s="38">
        <f t="shared" ca="1" si="6"/>
        <v>0</v>
      </c>
      <c r="M11" s="19">
        <v>1</v>
      </c>
      <c r="N11" s="81">
        <v>0.1</v>
      </c>
      <c r="O11" s="32">
        <v>15</v>
      </c>
      <c r="P11" s="161">
        <f t="shared" ca="1" si="3"/>
        <v>0</v>
      </c>
      <c r="Q11" s="104">
        <f t="shared" ca="1" si="7"/>
        <v>0</v>
      </c>
      <c r="R11" s="104"/>
      <c r="S11" s="185">
        <f t="shared" ca="1" si="8"/>
        <v>0</v>
      </c>
      <c r="T11" s="40"/>
      <c r="U11" s="40"/>
      <c r="V11" s="40">
        <f t="shared" si="4"/>
        <v>0.1</v>
      </c>
      <c r="W11" s="258">
        <f t="shared" ca="1" si="5"/>
        <v>0</v>
      </c>
    </row>
    <row r="12" spans="1:23" ht="21" customHeight="1">
      <c r="B12" s="91" t="s">
        <v>622</v>
      </c>
      <c r="C12" s="442" t="s">
        <v>623</v>
      </c>
      <c r="D12" s="36" t="str">
        <f ca="1">IEAData2!H105</f>
        <v>COMBIO</v>
      </c>
      <c r="E12" s="90">
        <f ca="1">IEAData2!D178</f>
        <v>0</v>
      </c>
      <c r="F12" s="90">
        <f ca="1">AuxData2!D178</f>
        <v>0</v>
      </c>
      <c r="G12" s="30">
        <f ca="1">0.69*CalibData2!$N$131</f>
        <v>0.621</v>
      </c>
      <c r="H12" s="343" t="str">
        <f t="shared" si="0"/>
        <v>BIO</v>
      </c>
      <c r="I12" s="81">
        <v>1.01</v>
      </c>
      <c r="J12" s="6">
        <f t="shared" ca="1" si="1"/>
        <v>0.621</v>
      </c>
      <c r="K12" s="6">
        <f t="shared" ca="1" si="2"/>
        <v>0.62393622098854917</v>
      </c>
      <c r="L12" s="38">
        <f t="shared" ca="1" si="6"/>
        <v>0</v>
      </c>
      <c r="M12" s="19">
        <v>1</v>
      </c>
      <c r="N12" s="81">
        <v>0.1</v>
      </c>
      <c r="O12" s="32">
        <v>15</v>
      </c>
      <c r="P12" s="161">
        <f t="shared" ca="1" si="3"/>
        <v>0</v>
      </c>
      <c r="Q12" s="104">
        <f t="shared" ca="1" si="7"/>
        <v>0</v>
      </c>
      <c r="R12" s="104"/>
      <c r="S12" s="185">
        <f t="shared" ca="1" si="8"/>
        <v>0</v>
      </c>
      <c r="T12" s="40"/>
      <c r="U12" s="40"/>
      <c r="V12" s="40">
        <f t="shared" si="4"/>
        <v>0.1</v>
      </c>
      <c r="W12" s="258">
        <f t="shared" ca="1" si="5"/>
        <v>0</v>
      </c>
    </row>
    <row r="13" spans="1:23" ht="21" customHeight="1">
      <c r="B13" s="265" t="s">
        <v>144</v>
      </c>
      <c r="C13" s="402" t="s">
        <v>675</v>
      </c>
      <c r="D13" s="36" t="s">
        <v>844</v>
      </c>
      <c r="E13" s="64">
        <f ca="1">IEAData2!D179</f>
        <v>0.1497918186704329</v>
      </c>
      <c r="F13" s="64">
        <f ca="1">AuxData2!D179</f>
        <v>0.16156609576559269</v>
      </c>
      <c r="G13" s="53">
        <v>0.94</v>
      </c>
      <c r="H13" s="343" t="str">
        <f t="shared" si="0"/>
        <v>ELC</v>
      </c>
      <c r="I13" s="81">
        <v>1.01</v>
      </c>
      <c r="J13" s="6">
        <f t="shared" si="1"/>
        <v>0.94</v>
      </c>
      <c r="K13" s="6">
        <f t="shared" si="2"/>
        <v>0.94057604652704008</v>
      </c>
      <c r="L13" s="38">
        <f t="shared" ca="1" si="6"/>
        <v>0.15196519960801033</v>
      </c>
      <c r="M13" s="57">
        <v>1</v>
      </c>
      <c r="N13" s="81">
        <v>0.1</v>
      </c>
      <c r="O13" s="66">
        <v>15</v>
      </c>
      <c r="P13" s="161">
        <f t="shared" ca="1" si="3"/>
        <v>1.4080430955020691</v>
      </c>
      <c r="Q13" s="104">
        <f t="shared" ca="1" si="7"/>
        <v>1.5196519960801032</v>
      </c>
      <c r="R13" s="118"/>
      <c r="S13" s="185">
        <f t="shared" ca="1" si="8"/>
        <v>0.28160861910041385</v>
      </c>
      <c r="T13" s="53"/>
      <c r="U13" s="53"/>
      <c r="V13" s="40">
        <f t="shared" si="4"/>
        <v>0.1</v>
      </c>
      <c r="W13" s="258">
        <f t="shared" ca="1" si="5"/>
        <v>4.4578972633062389E-2</v>
      </c>
    </row>
    <row r="14" spans="1:23" ht="21" customHeight="1">
      <c r="B14" s="271" t="s">
        <v>565</v>
      </c>
      <c r="C14" s="432" t="s">
        <v>566</v>
      </c>
      <c r="D14" s="36" t="str">
        <f ca="1">IEAData2!H107</f>
        <v>COMHET</v>
      </c>
      <c r="E14" s="64">
        <f ca="1">IEAData2!D180</f>
        <v>3.0586320000000007</v>
      </c>
      <c r="F14" s="64">
        <f ca="1">AuxData2!D180</f>
        <v>2.5831439999999999</v>
      </c>
      <c r="G14" s="69">
        <v>0.95</v>
      </c>
      <c r="H14" s="343" t="str">
        <f t="shared" si="0"/>
        <v>HET</v>
      </c>
      <c r="I14" s="81">
        <v>1.01</v>
      </c>
      <c r="J14" s="6">
        <f t="shared" si="1"/>
        <v>0.95</v>
      </c>
      <c r="K14" s="6">
        <f t="shared" si="2"/>
        <v>0.95048258421076803</v>
      </c>
      <c r="L14" s="38">
        <f t="shared" ca="1" si="6"/>
        <v>2.4552333845085399</v>
      </c>
      <c r="M14" s="57">
        <v>1</v>
      </c>
      <c r="N14" s="81">
        <v>0.25</v>
      </c>
      <c r="O14" s="81">
        <v>15</v>
      </c>
      <c r="P14" s="161">
        <f t="shared" ca="1" si="3"/>
        <v>11.622801600000003</v>
      </c>
      <c r="Q14" s="104">
        <f t="shared" ca="1" si="7"/>
        <v>9.8209335380341596</v>
      </c>
      <c r="R14" s="118">
        <f ca="1">Q14*0.75</f>
        <v>7.3657001535256192</v>
      </c>
      <c r="S14" s="351">
        <f ca="1">R14*0.5</f>
        <v>3.6828500767628096</v>
      </c>
      <c r="T14" s="53"/>
      <c r="U14" s="53"/>
      <c r="V14" s="40">
        <f t="shared" si="4"/>
        <v>0.25</v>
      </c>
      <c r="W14" s="258">
        <f t="shared" ca="1" si="5"/>
        <v>0.91026781991747663</v>
      </c>
    </row>
    <row r="15" spans="1:23" ht="21" customHeight="1">
      <c r="B15" s="271" t="s">
        <v>563</v>
      </c>
      <c r="C15" s="432" t="s">
        <v>564</v>
      </c>
      <c r="D15" s="36" t="str">
        <f ca="1">IEAData2!H108</f>
        <v>COMGEO</v>
      </c>
      <c r="E15" s="64">
        <f ca="1">IEAData2!D181</f>
        <v>0</v>
      </c>
      <c r="F15" s="64">
        <f ca="1">AuxData2!D181</f>
        <v>0</v>
      </c>
      <c r="G15" s="69">
        <v>0.95</v>
      </c>
      <c r="H15" s="343" t="str">
        <f t="shared" si="0"/>
        <v>GEO</v>
      </c>
      <c r="I15" s="81">
        <v>1.01</v>
      </c>
      <c r="J15" s="6">
        <f t="shared" si="1"/>
        <v>0.95</v>
      </c>
      <c r="K15" s="6">
        <f t="shared" si="2"/>
        <v>0.95048258421076803</v>
      </c>
      <c r="L15" s="38">
        <f t="shared" ca="1" si="6"/>
        <v>0</v>
      </c>
      <c r="M15" s="57">
        <v>1</v>
      </c>
      <c r="N15" s="81">
        <v>0.25</v>
      </c>
      <c r="O15" s="81">
        <v>15</v>
      </c>
      <c r="P15" s="161">
        <f t="shared" ca="1" si="3"/>
        <v>0</v>
      </c>
      <c r="Q15" s="104">
        <f t="shared" ca="1" si="7"/>
        <v>0</v>
      </c>
      <c r="R15" s="118"/>
      <c r="S15" s="53">
        <f ca="1">P15*0.4</f>
        <v>0</v>
      </c>
      <c r="T15" s="53"/>
      <c r="U15" s="53"/>
      <c r="V15" s="40">
        <f t="shared" si="4"/>
        <v>0.25</v>
      </c>
      <c r="W15" s="258">
        <f t="shared" ca="1" si="5"/>
        <v>0</v>
      </c>
    </row>
    <row r="16" spans="1:23" ht="21" customHeight="1" thickBot="1">
      <c r="A16" s="11"/>
      <c r="B16" s="266" t="s">
        <v>154</v>
      </c>
      <c r="C16" s="403" t="s">
        <v>676</v>
      </c>
      <c r="D16" s="24" t="str">
        <f ca="1">IEAData2!H109</f>
        <v>COMSOL</v>
      </c>
      <c r="E16" s="34">
        <f ca="1">IEAData2!D182</f>
        <v>0</v>
      </c>
      <c r="F16" s="34">
        <f ca="1">AuxData2!D182</f>
        <v>0</v>
      </c>
      <c r="G16" s="71">
        <v>0.95</v>
      </c>
      <c r="H16" s="343" t="str">
        <f t="shared" si="0"/>
        <v>SOL</v>
      </c>
      <c r="I16" s="81">
        <v>1.01</v>
      </c>
      <c r="J16" s="6">
        <f t="shared" si="1"/>
        <v>0.95</v>
      </c>
      <c r="K16" s="6">
        <f t="shared" si="2"/>
        <v>0.95048258421076803</v>
      </c>
      <c r="L16" s="38">
        <f t="shared" ca="1" si="6"/>
        <v>0</v>
      </c>
      <c r="M16" s="73">
        <v>1</v>
      </c>
      <c r="N16" s="20">
        <v>0.1</v>
      </c>
      <c r="O16" s="20">
        <v>15</v>
      </c>
      <c r="P16" s="162">
        <f t="shared" ca="1" si="3"/>
        <v>0</v>
      </c>
      <c r="Q16" s="104">
        <f t="shared" ca="1" si="7"/>
        <v>0</v>
      </c>
      <c r="R16" s="117"/>
      <c r="S16" s="54">
        <f ca="1">P16*0.4</f>
        <v>0</v>
      </c>
      <c r="T16" s="54"/>
      <c r="U16" s="54"/>
      <c r="V16" s="53">
        <f t="shared" si="4"/>
        <v>0.1</v>
      </c>
      <c r="W16" s="258">
        <f t="shared" ca="1" si="5"/>
        <v>0</v>
      </c>
    </row>
    <row r="17" spans="1:23" ht="14.25">
      <c r="B17" s="434" t="s">
        <v>999</v>
      </c>
      <c r="C17" s="190" t="s">
        <v>235</v>
      </c>
      <c r="D17" s="190"/>
      <c r="E17" s="191">
        <f ca="1">SUM(E6:E16)</f>
        <v>3.3601451496739623</v>
      </c>
      <c r="F17" s="191">
        <f ca="1">SUM(F6:F16)</f>
        <v>2.9240314588086882</v>
      </c>
      <c r="G17" s="191"/>
      <c r="H17" s="191">
        <f ca="1">SUMPRODUCT(E$6:E16,J$6:J16)</f>
        <v>3.1632117078028541</v>
      </c>
      <c r="I17" s="190"/>
      <c r="J17" s="193"/>
      <c r="K17" s="191">
        <f ca="1">SUMPRODUCT(F6:F16,K6:K16)</f>
        <v>2.7449676574247555</v>
      </c>
      <c r="L17" s="191">
        <f ca="1">SUM(L6:L16)</f>
        <v>2.7449676574247555</v>
      </c>
      <c r="M17" s="190"/>
      <c r="N17" s="190"/>
      <c r="O17" s="191"/>
      <c r="P17" s="192">
        <f ca="1">SUM(P6:P16)</f>
        <v>14.197914678028535</v>
      </c>
      <c r="Q17" s="190"/>
      <c r="R17" s="190"/>
      <c r="S17" s="192"/>
      <c r="T17" s="190"/>
      <c r="U17" s="190"/>
      <c r="V17" s="190"/>
      <c r="W17" s="259">
        <f ca="1">SUM(W6:W16)</f>
        <v>1</v>
      </c>
    </row>
    <row r="18" spans="1:23">
      <c r="B18" s="123"/>
      <c r="C18" s="55"/>
      <c r="D18" s="55"/>
      <c r="E18" s="57"/>
      <c r="G18" s="57"/>
      <c r="H18" s="57"/>
      <c r="I18" s="55"/>
      <c r="J18" s="254"/>
      <c r="L18" s="57"/>
      <c r="M18" s="55"/>
      <c r="N18" s="55"/>
      <c r="O18" s="57"/>
      <c r="P18" s="161"/>
      <c r="Q18" s="55"/>
      <c r="R18" s="55"/>
      <c r="S18" s="161"/>
      <c r="T18" s="55"/>
      <c r="U18" s="55"/>
      <c r="V18" s="55"/>
    </row>
    <row r="19" spans="1:23">
      <c r="B19" s="123"/>
      <c r="C19" s="55"/>
      <c r="D19" s="55"/>
      <c r="E19" s="57"/>
      <c r="G19" s="57"/>
      <c r="H19" s="57"/>
      <c r="I19" s="55"/>
      <c r="J19" s="254"/>
      <c r="L19" s="57"/>
      <c r="M19" s="55"/>
      <c r="N19" s="55"/>
      <c r="O19" s="57"/>
      <c r="P19" s="161"/>
      <c r="Q19" s="55"/>
      <c r="R19" s="55"/>
      <c r="S19" s="161"/>
      <c r="T19" s="55"/>
      <c r="U19" s="55"/>
      <c r="V19" s="55"/>
    </row>
    <row r="20" spans="1:23">
      <c r="B20" s="123"/>
      <c r="C20" s="55"/>
      <c r="D20" s="256"/>
      <c r="E20" s="57"/>
      <c r="F20" s="57"/>
      <c r="G20" s="57"/>
      <c r="H20" s="55"/>
      <c r="I20" s="254"/>
      <c r="J20" s="57"/>
      <c r="K20" s="255"/>
      <c r="L20" s="55"/>
      <c r="M20" s="55"/>
      <c r="N20" s="57"/>
      <c r="O20" s="161"/>
      <c r="P20" s="55"/>
      <c r="Q20" s="55"/>
      <c r="R20" s="161"/>
      <c r="S20" s="55"/>
      <c r="T20" s="55"/>
      <c r="U20" s="55"/>
      <c r="V20" s="55"/>
    </row>
    <row r="21" spans="1:23" ht="18">
      <c r="B21" s="155" t="s">
        <v>592</v>
      </c>
      <c r="C21" s="156"/>
      <c r="D21" s="252" t="str">
        <f>"~FI_T: "&amp;Region</f>
        <v>~FI_T: FIM</v>
      </c>
      <c r="J21" s="57"/>
      <c r="K21" s="255"/>
    </row>
    <row r="22" spans="1:23" ht="13.5" thickBot="1">
      <c r="B22" s="27" t="s">
        <v>384</v>
      </c>
      <c r="C22" s="27" t="s">
        <v>385</v>
      </c>
      <c r="D22" s="27" t="s">
        <v>243</v>
      </c>
      <c r="E22" s="344" t="s">
        <v>942</v>
      </c>
      <c r="F22" s="344" t="s">
        <v>379</v>
      </c>
      <c r="G22" s="344" t="str">
        <f ca="1">F22&amp;"~"&amp;AuxYear</f>
        <v>DEMAND~2017</v>
      </c>
      <c r="H22" s="386" t="s">
        <v>974</v>
      </c>
      <c r="I22" s="386" t="s">
        <v>974</v>
      </c>
      <c r="J22" s="57"/>
      <c r="K22" s="255"/>
    </row>
    <row r="23" spans="1:23" ht="13.5" customHeight="1">
      <c r="A23" s="7"/>
      <c r="B23" s="58" t="s">
        <v>237</v>
      </c>
      <c r="C23" s="58" t="s">
        <v>1226</v>
      </c>
      <c r="D23" s="95" t="s">
        <v>249</v>
      </c>
      <c r="E23" s="63"/>
      <c r="F23" s="63">
        <v>0</v>
      </c>
      <c r="G23" s="63">
        <v>0</v>
      </c>
      <c r="H23" s="367"/>
      <c r="I23" s="367"/>
      <c r="J23" s="57"/>
      <c r="K23" s="255"/>
    </row>
    <row r="24" spans="1:23" ht="13.5" customHeight="1">
      <c r="B24" s="58" t="s">
        <v>238</v>
      </c>
      <c r="C24" s="58" t="s">
        <v>1227</v>
      </c>
      <c r="D24" s="95" t="s">
        <v>249</v>
      </c>
      <c r="E24" s="63"/>
      <c r="F24" s="63">
        <v>0</v>
      </c>
      <c r="G24" s="63">
        <v>0</v>
      </c>
      <c r="H24" s="367"/>
      <c r="I24" s="367"/>
      <c r="J24" s="57"/>
      <c r="K24" s="255"/>
    </row>
    <row r="25" spans="1:23" ht="13.5" customHeight="1">
      <c r="B25" s="80" t="s">
        <v>235</v>
      </c>
      <c r="C25" s="28" t="s">
        <v>234</v>
      </c>
      <c r="D25" s="95" t="s">
        <v>249</v>
      </c>
      <c r="E25" s="63">
        <f ca="1">H17</f>
        <v>3.1632117078028541</v>
      </c>
      <c r="F25" s="63">
        <v>0</v>
      </c>
      <c r="G25" s="63">
        <v>0</v>
      </c>
      <c r="H25" s="395">
        <f ca="1">IF(E25&gt;0,L17/E25,1)</f>
        <v>0.86777867275010556</v>
      </c>
      <c r="I25" s="542">
        <v>1</v>
      </c>
      <c r="J25" s="57"/>
      <c r="K25" s="255"/>
    </row>
    <row r="26" spans="1:23" ht="13.5" customHeight="1">
      <c r="B26" s="80" t="s">
        <v>1131</v>
      </c>
      <c r="C26" s="28" t="s">
        <v>234</v>
      </c>
      <c r="D26" s="95" t="s">
        <v>249</v>
      </c>
      <c r="E26" s="63"/>
      <c r="F26" s="63">
        <v>1</v>
      </c>
      <c r="G26" s="63">
        <v>1</v>
      </c>
      <c r="H26" s="395"/>
      <c r="I26" s="367"/>
      <c r="J26" s="57"/>
      <c r="K26" s="255"/>
    </row>
    <row r="27" spans="1:23" ht="13.5" customHeight="1">
      <c r="B27" s="80" t="s">
        <v>1130</v>
      </c>
      <c r="C27" s="28" t="str">
        <f>CONCATENATE("Commercial Space Heat - ","1")</f>
        <v>Commercial Space Heat - 1</v>
      </c>
      <c r="D27" s="95" t="s">
        <v>249</v>
      </c>
      <c r="E27" s="63"/>
      <c r="F27" s="63">
        <v>1</v>
      </c>
      <c r="G27" s="63">
        <v>1</v>
      </c>
      <c r="H27" s="395"/>
      <c r="I27" s="367"/>
      <c r="J27" s="57"/>
      <c r="K27" s="255"/>
    </row>
    <row r="28" spans="1:23">
      <c r="J28" s="57"/>
      <c r="K28" s="255"/>
    </row>
    <row r="51" spans="3:26">
      <c r="C51" s="125"/>
      <c r="D51" s="123"/>
      <c r="E51" s="123"/>
      <c r="F51" s="123"/>
      <c r="G51" s="123"/>
      <c r="H51" s="128"/>
      <c r="I51" s="123"/>
      <c r="J51" s="123"/>
      <c r="K51" s="123"/>
      <c r="L51" s="123"/>
      <c r="M51" s="123"/>
      <c r="N51" s="123"/>
      <c r="O51" s="123"/>
      <c r="P51" s="128"/>
      <c r="Q51" s="123"/>
      <c r="R51" s="123"/>
      <c r="S51" s="123"/>
      <c r="T51" s="123"/>
      <c r="U51" s="123"/>
      <c r="V51" s="123"/>
      <c r="W51" s="123"/>
      <c r="X51" s="123"/>
      <c r="Y51" s="123"/>
      <c r="Z51" s="123"/>
    </row>
    <row r="52" spans="3:26">
      <c r="C52" s="123"/>
      <c r="D52" s="120"/>
      <c r="E52" s="123"/>
      <c r="F52" s="123"/>
      <c r="G52" s="123"/>
      <c r="H52" s="128"/>
      <c r="I52" s="123"/>
      <c r="J52" s="123"/>
      <c r="K52" s="123"/>
      <c r="L52" s="123"/>
      <c r="M52" s="123"/>
      <c r="N52" s="123"/>
      <c r="O52" s="123"/>
      <c r="P52" s="128"/>
      <c r="Q52" s="123"/>
      <c r="R52" s="123"/>
      <c r="S52" s="123"/>
      <c r="T52" s="123"/>
      <c r="U52" s="123"/>
      <c r="V52" s="123"/>
      <c r="W52" s="123"/>
      <c r="X52" s="123"/>
      <c r="Y52" s="123"/>
      <c r="Z52" s="123"/>
    </row>
    <row r="53" spans="3:26">
      <c r="C53" s="123"/>
      <c r="D53" s="120"/>
      <c r="E53" s="123"/>
      <c r="F53" s="123"/>
      <c r="G53" s="123"/>
      <c r="H53" s="128"/>
      <c r="I53" s="123"/>
      <c r="J53" s="123"/>
      <c r="K53" s="123"/>
      <c r="L53" s="123"/>
      <c r="M53" s="123"/>
      <c r="N53" s="123"/>
      <c r="O53" s="123"/>
      <c r="P53" s="128"/>
      <c r="Q53" s="123"/>
      <c r="R53" s="123"/>
      <c r="S53" s="123"/>
      <c r="T53" s="123"/>
      <c r="U53" s="123"/>
      <c r="V53" s="123"/>
      <c r="W53" s="123"/>
      <c r="X53" s="123"/>
      <c r="Y53" s="123"/>
      <c r="Z53" s="123"/>
    </row>
    <row r="54" spans="3:26">
      <c r="C54" s="123"/>
      <c r="D54" s="120"/>
      <c r="E54" s="123"/>
      <c r="F54" s="123"/>
      <c r="G54" s="123"/>
      <c r="H54" s="128"/>
      <c r="I54" s="123"/>
      <c r="J54" s="123"/>
      <c r="K54" s="123"/>
      <c r="L54" s="123"/>
      <c r="M54" s="123"/>
      <c r="N54" s="123"/>
      <c r="O54" s="123"/>
      <c r="P54" s="128"/>
      <c r="Q54" s="123"/>
      <c r="R54" s="123"/>
      <c r="S54" s="123"/>
      <c r="T54" s="123"/>
      <c r="U54" s="123"/>
      <c r="V54" s="123"/>
      <c r="W54" s="123"/>
      <c r="X54" s="123"/>
      <c r="Y54" s="123"/>
      <c r="Z54" s="123"/>
    </row>
    <row r="55" spans="3:26">
      <c r="C55" s="123"/>
      <c r="D55" s="120"/>
      <c r="E55" s="123"/>
      <c r="F55" s="123"/>
      <c r="G55" s="123"/>
      <c r="H55" s="128"/>
      <c r="I55" s="123"/>
      <c r="J55" s="123"/>
      <c r="K55" s="123"/>
      <c r="L55" s="123"/>
      <c r="M55" s="123"/>
      <c r="N55" s="123"/>
      <c r="O55" s="123"/>
      <c r="P55" s="128"/>
      <c r="Q55" s="123"/>
      <c r="R55" s="123"/>
      <c r="S55" s="123"/>
      <c r="T55" s="123"/>
      <c r="U55" s="123"/>
      <c r="V55" s="123"/>
      <c r="W55" s="123"/>
      <c r="X55" s="123"/>
      <c r="Y55" s="123"/>
      <c r="Z55" s="123"/>
    </row>
    <row r="56" spans="3:26">
      <c r="C56" s="123"/>
      <c r="D56" s="120"/>
      <c r="E56" s="123"/>
      <c r="F56" s="123"/>
      <c r="G56" s="123"/>
      <c r="H56" s="128"/>
      <c r="I56" s="123"/>
      <c r="J56" s="123"/>
      <c r="K56" s="123"/>
      <c r="L56" s="123"/>
      <c r="M56" s="123"/>
      <c r="N56" s="123"/>
      <c r="O56" s="123"/>
      <c r="P56" s="128"/>
      <c r="Q56" s="123"/>
      <c r="R56" s="123"/>
      <c r="S56" s="123"/>
      <c r="T56" s="123"/>
      <c r="U56" s="123"/>
      <c r="V56" s="123"/>
      <c r="W56" s="123"/>
      <c r="X56" s="123"/>
      <c r="Y56" s="123"/>
      <c r="Z56" s="123"/>
    </row>
    <row r="57" spans="3:26">
      <c r="C57" s="123"/>
      <c r="D57" s="120"/>
      <c r="E57" s="123"/>
      <c r="F57" s="123"/>
      <c r="G57" s="123"/>
      <c r="H57" s="128"/>
      <c r="I57" s="123"/>
      <c r="J57" s="123"/>
      <c r="K57" s="123"/>
      <c r="L57" s="123"/>
      <c r="M57" s="123"/>
      <c r="N57" s="123"/>
      <c r="O57" s="123"/>
      <c r="P57" s="128"/>
      <c r="Q57" s="123"/>
      <c r="R57" s="123"/>
      <c r="S57" s="123"/>
      <c r="T57" s="123"/>
      <c r="U57" s="123"/>
      <c r="V57" s="123"/>
      <c r="W57" s="123"/>
      <c r="X57" s="123"/>
      <c r="Y57" s="123"/>
      <c r="Z57" s="123"/>
    </row>
    <row r="58" spans="3:26">
      <c r="C58" s="123"/>
      <c r="D58" s="120"/>
      <c r="E58" s="123"/>
      <c r="F58" s="123"/>
      <c r="G58" s="123"/>
      <c r="H58" s="128"/>
      <c r="I58" s="123"/>
      <c r="J58" s="123"/>
      <c r="K58" s="123"/>
      <c r="L58" s="123"/>
      <c r="M58" s="123"/>
      <c r="N58" s="123"/>
      <c r="O58" s="123"/>
      <c r="P58" s="128"/>
      <c r="Q58" s="123"/>
      <c r="R58" s="123"/>
      <c r="S58" s="123"/>
      <c r="T58" s="123"/>
      <c r="U58" s="123"/>
      <c r="V58" s="123"/>
      <c r="W58" s="123"/>
      <c r="X58" s="123"/>
      <c r="Y58" s="123"/>
      <c r="Z58" s="123"/>
    </row>
    <row r="59" spans="3:26">
      <c r="C59" s="123"/>
      <c r="D59" s="120"/>
      <c r="E59" s="123"/>
      <c r="F59" s="123"/>
      <c r="G59" s="123"/>
      <c r="H59" s="128"/>
      <c r="I59" s="123"/>
      <c r="J59" s="123"/>
      <c r="K59" s="123"/>
      <c r="L59" s="123"/>
      <c r="M59" s="123"/>
      <c r="N59" s="123"/>
      <c r="O59" s="123"/>
      <c r="P59" s="128"/>
      <c r="Q59" s="123"/>
      <c r="R59" s="123"/>
      <c r="S59" s="123"/>
      <c r="T59" s="123"/>
      <c r="U59" s="123"/>
      <c r="V59" s="123"/>
      <c r="W59" s="123"/>
      <c r="X59" s="123"/>
      <c r="Y59" s="123"/>
      <c r="Z59" s="123"/>
    </row>
    <row r="60" spans="3:26">
      <c r="C60" s="123"/>
      <c r="D60" s="120"/>
      <c r="E60" s="123"/>
      <c r="F60" s="123"/>
      <c r="G60" s="123"/>
      <c r="H60" s="128"/>
      <c r="I60" s="123"/>
      <c r="J60" s="123"/>
      <c r="K60" s="123"/>
      <c r="L60" s="123"/>
      <c r="M60" s="123"/>
      <c r="N60" s="123"/>
      <c r="O60" s="123"/>
      <c r="P60" s="128"/>
      <c r="Q60" s="123"/>
      <c r="R60" s="123"/>
      <c r="S60" s="123"/>
      <c r="T60" s="123"/>
      <c r="U60" s="123"/>
      <c r="V60" s="123"/>
      <c r="W60" s="123"/>
      <c r="X60" s="123"/>
      <c r="Y60" s="123"/>
      <c r="Z60" s="123"/>
    </row>
    <row r="61" spans="3:26">
      <c r="C61" s="123"/>
      <c r="D61" s="120"/>
      <c r="E61" s="123"/>
      <c r="F61" s="123"/>
      <c r="G61" s="123"/>
      <c r="H61" s="128"/>
      <c r="I61" s="123"/>
      <c r="J61" s="123"/>
      <c r="K61" s="123"/>
      <c r="L61" s="123"/>
      <c r="M61" s="123"/>
      <c r="N61" s="123"/>
      <c r="O61" s="123"/>
      <c r="P61" s="128"/>
      <c r="Q61" s="123"/>
      <c r="R61" s="123"/>
      <c r="S61" s="123"/>
      <c r="T61" s="123"/>
      <c r="U61" s="123"/>
      <c r="V61" s="123"/>
      <c r="W61" s="123"/>
      <c r="X61" s="123"/>
      <c r="Y61" s="123"/>
      <c r="Z61" s="123"/>
    </row>
    <row r="62" spans="3:26">
      <c r="C62" s="123"/>
      <c r="D62" s="120"/>
      <c r="E62" s="123"/>
      <c r="F62" s="123"/>
      <c r="G62" s="123"/>
      <c r="H62" s="128"/>
      <c r="I62" s="123"/>
      <c r="J62" s="123"/>
      <c r="K62" s="123"/>
      <c r="L62" s="123"/>
      <c r="M62" s="123"/>
      <c r="N62" s="123"/>
      <c r="O62" s="123"/>
      <c r="P62" s="128"/>
      <c r="Q62" s="123"/>
      <c r="R62" s="123"/>
      <c r="S62" s="123"/>
      <c r="T62" s="123"/>
      <c r="U62" s="123"/>
      <c r="V62" s="123"/>
      <c r="W62" s="123"/>
      <c r="X62" s="123"/>
      <c r="Y62" s="123"/>
      <c r="Z62" s="123"/>
    </row>
    <row r="63" spans="3:26">
      <c r="C63" s="123"/>
      <c r="D63" s="120"/>
      <c r="E63" s="123"/>
      <c r="F63" s="123"/>
      <c r="G63" s="123"/>
      <c r="H63" s="128"/>
      <c r="I63" s="123"/>
      <c r="J63" s="123"/>
      <c r="K63" s="123"/>
      <c r="L63" s="123"/>
      <c r="M63" s="123"/>
      <c r="N63" s="123"/>
      <c r="O63" s="123"/>
      <c r="P63" s="128"/>
      <c r="Q63" s="123"/>
      <c r="R63" s="123"/>
      <c r="S63" s="123"/>
      <c r="T63" s="123"/>
      <c r="U63" s="123"/>
      <c r="V63" s="123"/>
      <c r="W63" s="123"/>
      <c r="X63" s="123"/>
      <c r="Y63" s="123"/>
      <c r="Z63" s="123"/>
    </row>
    <row r="64" spans="3:26">
      <c r="C64" s="123"/>
      <c r="D64" s="120"/>
      <c r="E64" s="123"/>
      <c r="F64" s="123"/>
      <c r="G64" s="123"/>
      <c r="H64" s="128"/>
      <c r="I64" s="123"/>
      <c r="J64" s="123"/>
      <c r="K64" s="123"/>
      <c r="L64" s="123"/>
      <c r="M64" s="123"/>
      <c r="N64" s="123"/>
      <c r="O64" s="123"/>
      <c r="P64" s="128"/>
      <c r="Q64" s="123"/>
      <c r="R64" s="123"/>
      <c r="S64" s="123"/>
      <c r="T64" s="123"/>
      <c r="U64" s="123"/>
      <c r="V64" s="123"/>
      <c r="W64" s="123"/>
      <c r="X64" s="123"/>
      <c r="Y64" s="123"/>
      <c r="Z64" s="123"/>
    </row>
    <row r="65" spans="3:26">
      <c r="C65" s="123"/>
      <c r="D65" s="123"/>
      <c r="E65" s="123"/>
      <c r="F65" s="120"/>
      <c r="G65" s="123"/>
      <c r="H65" s="128"/>
      <c r="I65" s="123"/>
      <c r="J65" s="123"/>
      <c r="K65" s="123"/>
      <c r="L65" s="123"/>
      <c r="M65" s="123"/>
      <c r="N65" s="123"/>
      <c r="O65" s="123"/>
      <c r="P65" s="128"/>
      <c r="Q65" s="123"/>
      <c r="R65" s="123"/>
      <c r="S65" s="123"/>
      <c r="T65" s="123"/>
      <c r="U65" s="123"/>
      <c r="V65" s="123"/>
      <c r="W65" s="123"/>
      <c r="X65" s="123"/>
      <c r="Y65" s="123"/>
      <c r="Z65" s="123"/>
    </row>
    <row r="66" spans="3:26">
      <c r="C66" s="123"/>
      <c r="D66" s="123"/>
      <c r="E66" s="123"/>
      <c r="F66" s="123"/>
      <c r="G66" s="123"/>
      <c r="H66" s="128"/>
      <c r="I66" s="123"/>
      <c r="J66" s="123"/>
      <c r="K66" s="123"/>
      <c r="L66" s="123"/>
      <c r="M66" s="123"/>
      <c r="N66" s="123"/>
      <c r="O66" s="123"/>
      <c r="P66" s="128"/>
      <c r="Q66" s="123"/>
      <c r="R66" s="123"/>
      <c r="S66" s="123"/>
      <c r="T66" s="123"/>
      <c r="U66" s="123"/>
      <c r="V66" s="123"/>
      <c r="W66" s="123"/>
      <c r="X66" s="123"/>
      <c r="Y66" s="123"/>
      <c r="Z66" s="123"/>
    </row>
    <row r="67" spans="3:26">
      <c r="C67" s="123"/>
      <c r="D67" s="123"/>
      <c r="E67" s="123"/>
      <c r="F67" s="120"/>
      <c r="G67" s="123"/>
      <c r="H67" s="128"/>
      <c r="I67" s="123"/>
      <c r="J67" s="123"/>
      <c r="K67" s="123"/>
      <c r="L67" s="123"/>
      <c r="M67" s="123"/>
      <c r="N67" s="123"/>
      <c r="O67" s="123"/>
      <c r="P67" s="128"/>
      <c r="Q67" s="123"/>
      <c r="R67" s="123"/>
      <c r="S67" s="123"/>
      <c r="T67" s="123"/>
      <c r="U67" s="123"/>
      <c r="V67" s="123"/>
      <c r="W67" s="123"/>
      <c r="X67" s="123"/>
      <c r="Y67" s="123"/>
      <c r="Z67" s="123"/>
    </row>
    <row r="68" spans="3:26">
      <c r="C68" s="123"/>
      <c r="D68" s="123"/>
      <c r="E68" s="123"/>
      <c r="F68" s="123"/>
      <c r="G68" s="123"/>
      <c r="H68" s="128"/>
      <c r="I68" s="123"/>
      <c r="J68" s="123"/>
      <c r="K68" s="123"/>
      <c r="L68" s="123"/>
      <c r="M68" s="123"/>
      <c r="N68" s="123"/>
      <c r="O68" s="123"/>
      <c r="P68" s="128"/>
      <c r="Q68" s="123"/>
      <c r="R68" s="123"/>
      <c r="S68" s="123"/>
      <c r="T68" s="123"/>
      <c r="U68" s="123"/>
      <c r="V68" s="123"/>
      <c r="W68" s="123"/>
      <c r="X68" s="123"/>
      <c r="Y68" s="123"/>
      <c r="Z68" s="123"/>
    </row>
    <row r="69" spans="3:26">
      <c r="C69" s="123"/>
      <c r="D69" s="123"/>
      <c r="E69" s="123"/>
      <c r="F69" s="123"/>
      <c r="G69" s="123"/>
      <c r="H69" s="128"/>
      <c r="I69" s="123"/>
      <c r="J69" s="123"/>
      <c r="K69" s="123"/>
      <c r="L69" s="123"/>
      <c r="M69" s="123"/>
      <c r="N69" s="123"/>
      <c r="O69" s="123"/>
      <c r="P69" s="128"/>
      <c r="Q69" s="123"/>
      <c r="R69" s="123"/>
      <c r="S69" s="123"/>
      <c r="T69" s="123"/>
      <c r="U69" s="123"/>
      <c r="V69" s="123"/>
      <c r="W69" s="123"/>
      <c r="X69" s="123"/>
      <c r="Y69" s="123"/>
      <c r="Z69" s="123"/>
    </row>
    <row r="70" spans="3:26">
      <c r="C70" s="123"/>
      <c r="D70" s="123"/>
      <c r="E70" s="123"/>
      <c r="F70" s="123"/>
      <c r="G70" s="123"/>
      <c r="H70" s="123"/>
      <c r="I70" s="123"/>
      <c r="J70" s="123"/>
      <c r="K70" s="123"/>
      <c r="L70" s="123"/>
      <c r="M70" s="123"/>
      <c r="N70" s="123"/>
      <c r="O70" s="123"/>
      <c r="P70" s="123"/>
      <c r="Q70" s="123"/>
      <c r="R70" s="124"/>
      <c r="S70" s="124"/>
      <c r="T70" s="123"/>
      <c r="U70" s="123"/>
      <c r="V70" s="123"/>
      <c r="W70" s="123"/>
      <c r="X70" s="123"/>
      <c r="Y70" s="123"/>
      <c r="Z70" s="123"/>
    </row>
    <row r="71" spans="3:26">
      <c r="C71" s="123"/>
      <c r="D71" s="123"/>
      <c r="E71" s="123"/>
      <c r="F71" s="123"/>
      <c r="G71" s="123"/>
      <c r="H71" s="123"/>
      <c r="I71" s="123"/>
      <c r="J71" s="123"/>
      <c r="K71" s="123"/>
      <c r="L71" s="123"/>
      <c r="M71" s="123"/>
      <c r="N71" s="123"/>
      <c r="O71" s="123"/>
      <c r="P71" s="123"/>
      <c r="Q71" s="123"/>
      <c r="R71" s="124"/>
      <c r="S71" s="124"/>
      <c r="T71" s="123"/>
      <c r="U71" s="123"/>
      <c r="V71" s="123"/>
      <c r="W71" s="123"/>
      <c r="X71" s="123"/>
      <c r="Y71" s="123"/>
      <c r="Z71" s="123"/>
    </row>
    <row r="72" spans="3:26">
      <c r="C72" s="123"/>
      <c r="D72" s="123"/>
      <c r="E72" s="123"/>
      <c r="F72" s="123"/>
      <c r="G72" s="123"/>
      <c r="H72" s="123"/>
      <c r="I72" s="123"/>
      <c r="J72" s="123"/>
      <c r="K72" s="123"/>
      <c r="L72" s="123"/>
      <c r="M72" s="123"/>
      <c r="N72" s="123"/>
      <c r="O72" s="123"/>
      <c r="P72" s="123"/>
      <c r="Q72" s="123"/>
      <c r="R72" s="124"/>
      <c r="S72" s="124"/>
      <c r="T72" s="123"/>
      <c r="U72" s="123"/>
      <c r="V72" s="123"/>
      <c r="W72" s="123"/>
      <c r="X72" s="123"/>
      <c r="Y72" s="123"/>
      <c r="Z72" s="123"/>
    </row>
    <row r="73" spans="3:26">
      <c r="C73" s="125"/>
      <c r="D73" s="123"/>
      <c r="E73" s="123"/>
      <c r="F73" s="123"/>
      <c r="G73" s="123"/>
      <c r="H73" s="128"/>
      <c r="I73" s="123"/>
      <c r="J73" s="123"/>
      <c r="K73" s="123"/>
      <c r="L73" s="123"/>
      <c r="M73" s="123"/>
      <c r="N73" s="123"/>
      <c r="O73" s="123"/>
      <c r="P73" s="128"/>
      <c r="Q73" s="123"/>
      <c r="R73" s="123"/>
      <c r="S73" s="123"/>
      <c r="T73" s="123"/>
      <c r="U73" s="123"/>
      <c r="V73" s="123"/>
      <c r="W73" s="123"/>
      <c r="X73" s="123"/>
      <c r="Y73" s="123"/>
      <c r="Z73" s="123"/>
    </row>
    <row r="74" spans="3:26">
      <c r="C74" s="125"/>
      <c r="D74" s="123"/>
      <c r="E74" s="123"/>
      <c r="F74" s="123"/>
      <c r="G74" s="123"/>
      <c r="H74" s="128"/>
      <c r="I74" s="123"/>
      <c r="J74" s="123"/>
      <c r="K74" s="123"/>
      <c r="L74" s="123"/>
      <c r="M74" s="123"/>
      <c r="N74" s="123"/>
      <c r="O74" s="123"/>
      <c r="P74" s="128"/>
      <c r="Q74" s="123"/>
      <c r="R74" s="123"/>
      <c r="S74" s="123"/>
      <c r="T74" s="123"/>
      <c r="U74" s="123"/>
      <c r="V74" s="123"/>
      <c r="W74" s="123"/>
      <c r="X74" s="123"/>
      <c r="Y74" s="123"/>
      <c r="Z74" s="123"/>
    </row>
    <row r="75" spans="3:26">
      <c r="C75" s="125"/>
      <c r="D75" s="123"/>
      <c r="E75" s="123"/>
      <c r="F75" s="123"/>
      <c r="G75" s="123"/>
      <c r="H75" s="128"/>
      <c r="I75" s="123"/>
      <c r="J75" s="123"/>
      <c r="K75" s="123"/>
      <c r="L75" s="123"/>
      <c r="M75" s="123"/>
      <c r="N75" s="123"/>
      <c r="O75" s="123"/>
      <c r="P75" s="128"/>
      <c r="Q75" s="123"/>
      <c r="R75" s="123"/>
      <c r="S75" s="123"/>
      <c r="T75" s="123"/>
      <c r="U75" s="123"/>
      <c r="V75" s="123"/>
      <c r="W75" s="123"/>
      <c r="X75" s="123"/>
      <c r="Y75" s="123"/>
      <c r="Z75" s="123"/>
    </row>
    <row r="76" spans="3:26">
      <c r="C76" s="123"/>
      <c r="D76" s="123"/>
      <c r="E76" s="123"/>
      <c r="F76" s="123"/>
      <c r="G76" s="123"/>
      <c r="H76" s="123"/>
      <c r="I76" s="123"/>
      <c r="J76" s="123"/>
      <c r="K76" s="123"/>
      <c r="L76" s="123"/>
      <c r="M76" s="123"/>
      <c r="N76" s="123"/>
      <c r="O76" s="123"/>
      <c r="P76" s="123"/>
      <c r="Q76" s="123"/>
      <c r="R76" s="124"/>
      <c r="S76" s="124"/>
      <c r="T76" s="123"/>
      <c r="U76" s="123"/>
      <c r="V76" s="123"/>
      <c r="W76" s="123"/>
      <c r="X76" s="123"/>
      <c r="Y76" s="123"/>
      <c r="Z76" s="123"/>
    </row>
    <row r="77" spans="3:26">
      <c r="C77" s="123"/>
      <c r="D77" s="123"/>
      <c r="E77" s="123"/>
      <c r="F77" s="123"/>
      <c r="G77" s="123"/>
      <c r="H77" s="123"/>
      <c r="I77" s="123"/>
      <c r="J77" s="123"/>
      <c r="K77" s="123"/>
      <c r="L77" s="123"/>
      <c r="M77" s="123"/>
      <c r="N77" s="123"/>
      <c r="O77" s="123"/>
      <c r="P77" s="123"/>
      <c r="Q77" s="123"/>
      <c r="R77" s="124"/>
      <c r="S77" s="124"/>
      <c r="T77" s="123"/>
      <c r="U77" s="123"/>
      <c r="V77" s="123"/>
      <c r="W77" s="123"/>
      <c r="X77" s="123"/>
      <c r="Y77" s="123"/>
      <c r="Z77" s="123"/>
    </row>
    <row r="78" spans="3:26">
      <c r="C78" s="123"/>
      <c r="D78" s="123"/>
      <c r="E78" s="123"/>
      <c r="F78" s="123"/>
      <c r="G78" s="123"/>
      <c r="H78" s="123"/>
      <c r="I78" s="123"/>
      <c r="J78" s="123"/>
      <c r="K78" s="123"/>
      <c r="L78" s="123"/>
      <c r="M78" s="123"/>
      <c r="N78" s="123"/>
      <c r="O78" s="123"/>
      <c r="P78" s="123"/>
      <c r="Q78" s="123"/>
      <c r="R78" s="124"/>
      <c r="S78" s="124"/>
      <c r="T78" s="123"/>
      <c r="U78" s="123"/>
      <c r="V78" s="123"/>
      <c r="W78" s="123"/>
      <c r="X78" s="123"/>
      <c r="Y78" s="123"/>
      <c r="Z78" s="123"/>
    </row>
    <row r="79" spans="3:26">
      <c r="C79" s="125"/>
      <c r="D79" s="123"/>
      <c r="E79" s="123"/>
      <c r="F79" s="123"/>
      <c r="G79" s="123"/>
      <c r="H79" s="128"/>
      <c r="I79" s="123"/>
      <c r="J79" s="123"/>
      <c r="K79" s="123"/>
      <c r="L79" s="123"/>
      <c r="M79" s="123"/>
      <c r="N79" s="123"/>
      <c r="O79" s="123"/>
      <c r="P79" s="128"/>
      <c r="Q79" s="123"/>
      <c r="R79" s="123"/>
      <c r="S79" s="123"/>
      <c r="T79" s="123"/>
      <c r="U79" s="123"/>
      <c r="V79" s="123"/>
      <c r="W79" s="123"/>
      <c r="X79" s="123"/>
      <c r="Y79" s="123"/>
      <c r="Z79" s="123"/>
    </row>
    <row r="80" spans="3:26">
      <c r="C80" s="125"/>
      <c r="D80" s="123"/>
      <c r="E80" s="123"/>
      <c r="F80" s="123"/>
      <c r="G80" s="123"/>
      <c r="H80" s="128"/>
      <c r="I80" s="123"/>
      <c r="J80" s="123"/>
      <c r="K80" s="123"/>
      <c r="L80" s="123"/>
      <c r="M80" s="123"/>
      <c r="N80" s="123"/>
      <c r="O80" s="123"/>
      <c r="P80" s="128"/>
      <c r="Q80" s="123"/>
      <c r="R80" s="123"/>
      <c r="S80" s="123"/>
      <c r="T80" s="123"/>
      <c r="U80" s="123"/>
      <c r="V80" s="123"/>
      <c r="W80" s="123"/>
      <c r="X80" s="123"/>
      <c r="Y80" s="123"/>
      <c r="Z80" s="123"/>
    </row>
    <row r="81" spans="3:26">
      <c r="C81" s="125"/>
      <c r="D81" s="123"/>
      <c r="E81" s="123"/>
      <c r="F81" s="123"/>
      <c r="G81" s="123"/>
      <c r="H81" s="128"/>
      <c r="I81" s="123"/>
      <c r="J81" s="123"/>
      <c r="K81" s="123"/>
      <c r="L81" s="123"/>
      <c r="M81" s="123"/>
      <c r="N81" s="123"/>
      <c r="O81" s="123"/>
      <c r="P81" s="128"/>
      <c r="Q81" s="123"/>
      <c r="R81" s="123"/>
      <c r="S81" s="123"/>
      <c r="T81" s="123"/>
      <c r="U81" s="123"/>
      <c r="V81" s="123"/>
      <c r="W81" s="123"/>
      <c r="X81" s="123"/>
      <c r="Y81" s="123"/>
      <c r="Z81" s="123"/>
    </row>
    <row r="82" spans="3:26">
      <c r="C82" s="123"/>
      <c r="D82" s="120"/>
      <c r="E82" s="123"/>
      <c r="F82" s="123"/>
      <c r="G82" s="123"/>
      <c r="H82" s="123"/>
      <c r="I82" s="123"/>
      <c r="J82" s="123"/>
      <c r="K82" s="123"/>
      <c r="L82" s="123"/>
      <c r="M82" s="123"/>
      <c r="N82" s="123"/>
      <c r="O82" s="123"/>
      <c r="P82" s="123"/>
      <c r="Q82" s="123"/>
      <c r="R82" s="124"/>
      <c r="S82" s="124"/>
      <c r="T82" s="123"/>
      <c r="U82" s="123"/>
      <c r="V82" s="123"/>
      <c r="W82" s="123"/>
      <c r="X82" s="123"/>
      <c r="Y82" s="123"/>
      <c r="Z82" s="123"/>
    </row>
    <row r="83" spans="3:26">
      <c r="C83" s="123"/>
      <c r="D83" s="120"/>
      <c r="E83" s="123"/>
      <c r="F83" s="123"/>
      <c r="G83" s="123"/>
      <c r="H83" s="123"/>
      <c r="I83" s="123"/>
      <c r="J83" s="123"/>
      <c r="K83" s="123"/>
      <c r="L83" s="123"/>
      <c r="M83" s="123"/>
      <c r="N83" s="123"/>
      <c r="O83" s="123"/>
      <c r="P83" s="123"/>
      <c r="Q83" s="123"/>
      <c r="R83" s="124"/>
      <c r="S83" s="124"/>
      <c r="T83" s="123"/>
      <c r="U83" s="123"/>
      <c r="V83" s="123"/>
      <c r="W83" s="123"/>
      <c r="X83" s="123"/>
      <c r="Y83" s="123"/>
      <c r="Z83" s="123"/>
    </row>
    <row r="84" spans="3:26">
      <c r="C84" s="123"/>
      <c r="D84" s="120"/>
      <c r="E84" s="123"/>
      <c r="F84" s="123"/>
      <c r="G84" s="123"/>
      <c r="H84" s="123"/>
      <c r="I84" s="123"/>
      <c r="J84" s="123"/>
      <c r="K84" s="123"/>
      <c r="L84" s="123"/>
      <c r="M84" s="123"/>
      <c r="N84" s="123"/>
      <c r="O84" s="123"/>
      <c r="P84" s="123"/>
      <c r="Q84" s="123"/>
      <c r="R84" s="124"/>
      <c r="S84" s="124"/>
      <c r="T84" s="123"/>
      <c r="U84" s="123"/>
      <c r="V84" s="123"/>
      <c r="W84" s="123"/>
      <c r="X84" s="123"/>
      <c r="Y84" s="123"/>
      <c r="Z84" s="123"/>
    </row>
    <row r="85" spans="3:26">
      <c r="C85" s="123"/>
      <c r="D85" s="120"/>
      <c r="E85" s="123"/>
      <c r="F85" s="123"/>
      <c r="G85" s="123"/>
      <c r="H85" s="123"/>
      <c r="I85" s="123"/>
      <c r="J85" s="123"/>
      <c r="K85" s="123"/>
      <c r="L85" s="123"/>
      <c r="M85" s="123"/>
      <c r="N85" s="123"/>
      <c r="O85" s="123"/>
      <c r="P85" s="123"/>
      <c r="Q85" s="123"/>
      <c r="R85" s="124"/>
      <c r="S85" s="124"/>
      <c r="T85" s="123"/>
      <c r="U85" s="123"/>
      <c r="V85" s="123"/>
      <c r="W85" s="123"/>
      <c r="X85" s="123"/>
      <c r="Y85" s="123"/>
      <c r="Z85" s="123"/>
    </row>
    <row r="86" spans="3:26">
      <c r="C86" s="123"/>
      <c r="D86" s="120"/>
      <c r="E86" s="123"/>
      <c r="F86" s="123"/>
      <c r="G86" s="123"/>
      <c r="H86" s="128"/>
      <c r="I86" s="123"/>
      <c r="J86" s="123"/>
      <c r="K86" s="123"/>
      <c r="L86" s="123"/>
      <c r="M86" s="123"/>
      <c r="N86" s="123"/>
      <c r="O86" s="123"/>
      <c r="P86" s="128"/>
      <c r="Q86" s="123"/>
      <c r="R86" s="123"/>
      <c r="S86" s="123"/>
      <c r="T86" s="123"/>
      <c r="U86" s="123"/>
      <c r="V86" s="123"/>
      <c r="W86" s="123"/>
      <c r="X86" s="123"/>
      <c r="Y86" s="123"/>
      <c r="Z86" s="123"/>
    </row>
    <row r="87" spans="3:26">
      <c r="C87" s="123"/>
      <c r="D87" s="120"/>
      <c r="E87" s="123"/>
      <c r="F87" s="123"/>
      <c r="G87" s="123"/>
      <c r="H87" s="128"/>
      <c r="I87" s="123"/>
      <c r="J87" s="123"/>
      <c r="K87" s="123"/>
      <c r="L87" s="123"/>
      <c r="M87" s="123"/>
      <c r="N87" s="123"/>
      <c r="O87" s="123"/>
      <c r="P87" s="128"/>
      <c r="Q87" s="123"/>
      <c r="R87" s="123"/>
      <c r="S87" s="123"/>
      <c r="T87" s="123"/>
      <c r="U87" s="123"/>
      <c r="V87" s="123"/>
      <c r="W87" s="123"/>
      <c r="X87" s="123"/>
      <c r="Y87" s="123"/>
      <c r="Z87" s="123"/>
    </row>
    <row r="88" spans="3:26">
      <c r="C88" s="123"/>
      <c r="D88" s="120"/>
      <c r="E88" s="123"/>
      <c r="F88" s="123"/>
      <c r="G88" s="123"/>
      <c r="H88" s="128"/>
      <c r="I88" s="123"/>
      <c r="J88" s="123"/>
      <c r="K88" s="123"/>
      <c r="L88" s="123"/>
      <c r="M88" s="123"/>
      <c r="N88" s="123"/>
      <c r="O88" s="123"/>
      <c r="P88" s="128"/>
      <c r="Q88" s="123"/>
      <c r="R88" s="123"/>
      <c r="S88" s="123"/>
      <c r="T88" s="123"/>
      <c r="U88" s="123"/>
      <c r="V88" s="123"/>
      <c r="W88" s="123"/>
      <c r="X88" s="123"/>
      <c r="Y88" s="123"/>
      <c r="Z88" s="123"/>
    </row>
    <row r="89" spans="3:26">
      <c r="C89" s="123"/>
      <c r="D89" s="120"/>
      <c r="E89" s="123"/>
      <c r="F89" s="123"/>
      <c r="G89" s="123"/>
      <c r="H89" s="128"/>
      <c r="I89" s="123"/>
      <c r="J89" s="123"/>
      <c r="K89" s="123"/>
      <c r="L89" s="123"/>
      <c r="M89" s="123"/>
      <c r="N89" s="123"/>
      <c r="O89" s="123"/>
      <c r="P89" s="128"/>
      <c r="Q89" s="123"/>
      <c r="R89" s="123"/>
      <c r="S89" s="123"/>
      <c r="T89" s="123"/>
      <c r="U89" s="123"/>
      <c r="V89" s="123"/>
      <c r="W89" s="123"/>
      <c r="X89" s="123"/>
      <c r="Y89" s="123"/>
      <c r="Z89" s="123"/>
    </row>
    <row r="90" spans="3:26">
      <c r="C90" s="123"/>
      <c r="D90" s="120"/>
      <c r="E90" s="123"/>
      <c r="F90" s="123"/>
      <c r="G90" s="123"/>
      <c r="H90" s="128"/>
      <c r="I90" s="123"/>
      <c r="J90" s="123"/>
      <c r="K90" s="123"/>
      <c r="L90" s="123"/>
      <c r="M90" s="123"/>
      <c r="N90" s="123"/>
      <c r="O90" s="123"/>
      <c r="P90" s="128"/>
      <c r="Q90" s="123"/>
      <c r="R90" s="123"/>
      <c r="S90" s="123"/>
      <c r="T90" s="123"/>
      <c r="U90" s="123"/>
      <c r="V90" s="123"/>
      <c r="W90" s="123"/>
      <c r="X90" s="123"/>
      <c r="Y90" s="123"/>
      <c r="Z90" s="123"/>
    </row>
    <row r="91" spans="3:26">
      <c r="C91" s="123"/>
      <c r="D91" s="120"/>
      <c r="E91" s="123"/>
      <c r="F91" s="123"/>
      <c r="G91" s="123"/>
      <c r="H91" s="128"/>
      <c r="I91" s="123"/>
      <c r="J91" s="123"/>
      <c r="K91" s="123"/>
      <c r="L91" s="123"/>
      <c r="M91" s="123"/>
      <c r="N91" s="123"/>
      <c r="O91" s="123"/>
      <c r="P91" s="128"/>
      <c r="Q91" s="123"/>
      <c r="R91" s="123"/>
      <c r="S91" s="123"/>
      <c r="T91" s="123"/>
      <c r="U91" s="123"/>
      <c r="V91" s="123"/>
      <c r="W91" s="123"/>
      <c r="X91" s="123"/>
      <c r="Y91" s="123"/>
      <c r="Z91" s="123"/>
    </row>
    <row r="92" spans="3:26">
      <c r="C92" s="123"/>
      <c r="D92" s="120"/>
      <c r="E92" s="123"/>
      <c r="F92" s="123"/>
      <c r="G92" s="123"/>
      <c r="H92" s="128"/>
      <c r="I92" s="123"/>
      <c r="J92" s="123"/>
      <c r="K92" s="123"/>
      <c r="L92" s="123"/>
      <c r="M92" s="123"/>
      <c r="N92" s="123"/>
      <c r="O92" s="123"/>
      <c r="P92" s="128"/>
      <c r="Q92" s="123"/>
      <c r="R92" s="123"/>
      <c r="S92" s="123"/>
      <c r="T92" s="123"/>
      <c r="U92" s="123"/>
      <c r="V92" s="123"/>
      <c r="W92" s="123"/>
      <c r="X92" s="123"/>
      <c r="Y92" s="123"/>
      <c r="Z92" s="123"/>
    </row>
    <row r="93" spans="3:26">
      <c r="C93" s="123"/>
      <c r="D93" s="120"/>
      <c r="E93" s="123"/>
      <c r="F93" s="123"/>
      <c r="G93" s="123"/>
      <c r="H93" s="128"/>
      <c r="I93" s="123"/>
      <c r="J93" s="123"/>
      <c r="K93" s="123"/>
      <c r="L93" s="123"/>
      <c r="M93" s="123"/>
      <c r="N93" s="123"/>
      <c r="O93" s="123"/>
      <c r="P93" s="128"/>
      <c r="Q93" s="123"/>
      <c r="R93" s="123"/>
      <c r="S93" s="123"/>
      <c r="T93" s="123"/>
      <c r="U93" s="123"/>
      <c r="V93" s="123"/>
      <c r="W93" s="123"/>
      <c r="X93" s="123"/>
      <c r="Y93" s="123"/>
      <c r="Z93" s="123"/>
    </row>
    <row r="94" spans="3:26">
      <c r="C94" s="123"/>
      <c r="D94" s="120"/>
      <c r="E94" s="123"/>
      <c r="F94" s="123"/>
      <c r="G94" s="123"/>
      <c r="H94" s="128"/>
      <c r="I94" s="123"/>
      <c r="J94" s="123"/>
      <c r="K94" s="123"/>
      <c r="L94" s="123"/>
      <c r="M94" s="123"/>
      <c r="N94" s="123"/>
      <c r="O94" s="123"/>
      <c r="P94" s="128"/>
      <c r="Q94" s="123"/>
      <c r="R94" s="123"/>
      <c r="S94" s="123"/>
      <c r="T94" s="123"/>
      <c r="U94" s="123"/>
      <c r="V94" s="123"/>
      <c r="W94" s="123"/>
      <c r="X94" s="123"/>
      <c r="Y94" s="123"/>
      <c r="Z94" s="123"/>
    </row>
    <row r="95" spans="3:26">
      <c r="C95" s="123"/>
      <c r="D95" s="120"/>
      <c r="E95" s="123"/>
      <c r="F95" s="123"/>
      <c r="G95" s="123"/>
      <c r="H95" s="128"/>
      <c r="I95" s="123"/>
      <c r="J95" s="123"/>
      <c r="K95" s="123"/>
      <c r="L95" s="123"/>
      <c r="M95" s="123"/>
      <c r="N95" s="123"/>
      <c r="O95" s="123"/>
      <c r="P95" s="128"/>
      <c r="Q95" s="123"/>
      <c r="R95" s="123"/>
      <c r="S95" s="123"/>
      <c r="T95" s="123"/>
      <c r="U95" s="123"/>
      <c r="V95" s="123"/>
      <c r="W95" s="123"/>
      <c r="X95" s="123"/>
      <c r="Y95" s="123"/>
      <c r="Z95" s="123"/>
    </row>
    <row r="96" spans="3:26">
      <c r="C96" s="123"/>
      <c r="D96" s="120"/>
      <c r="E96" s="123"/>
      <c r="F96" s="123"/>
      <c r="G96" s="123"/>
      <c r="H96" s="128"/>
      <c r="I96" s="123"/>
      <c r="J96" s="123"/>
      <c r="K96" s="123"/>
      <c r="L96" s="123"/>
      <c r="M96" s="123"/>
      <c r="N96" s="123"/>
      <c r="O96" s="123"/>
      <c r="P96" s="128"/>
      <c r="Q96" s="123"/>
      <c r="R96" s="123"/>
      <c r="S96" s="123"/>
      <c r="T96" s="123"/>
      <c r="U96" s="123"/>
      <c r="V96" s="123"/>
      <c r="W96" s="123"/>
      <c r="X96" s="123"/>
      <c r="Y96" s="123"/>
      <c r="Z96" s="123"/>
    </row>
    <row r="97" spans="3:26">
      <c r="C97" s="123"/>
      <c r="D97" s="120"/>
      <c r="E97" s="123"/>
      <c r="F97" s="123"/>
      <c r="G97" s="123"/>
      <c r="H97" s="128"/>
      <c r="I97" s="123"/>
      <c r="J97" s="123"/>
      <c r="K97" s="123"/>
      <c r="L97" s="123"/>
      <c r="M97" s="123"/>
      <c r="N97" s="123"/>
      <c r="O97" s="123"/>
      <c r="P97" s="128"/>
      <c r="Q97" s="123"/>
      <c r="R97" s="123"/>
      <c r="S97" s="123"/>
      <c r="T97" s="123"/>
      <c r="U97" s="123"/>
      <c r="V97" s="123"/>
      <c r="W97" s="123"/>
      <c r="X97" s="123"/>
      <c r="Y97" s="123"/>
      <c r="Z97" s="123"/>
    </row>
    <row r="98" spans="3:26">
      <c r="C98" s="123"/>
      <c r="D98" s="120"/>
      <c r="E98" s="123"/>
      <c r="F98" s="123"/>
      <c r="G98" s="123"/>
      <c r="H98" s="128"/>
      <c r="I98" s="123"/>
      <c r="J98" s="123"/>
      <c r="K98" s="123"/>
      <c r="L98" s="123"/>
      <c r="M98" s="123"/>
      <c r="N98" s="123"/>
      <c r="O98" s="123"/>
      <c r="P98" s="128"/>
      <c r="Q98" s="123"/>
      <c r="R98" s="123"/>
      <c r="S98" s="123"/>
      <c r="T98" s="123"/>
      <c r="U98" s="123"/>
      <c r="V98" s="123"/>
      <c r="W98" s="123"/>
      <c r="X98" s="123"/>
      <c r="Y98" s="123"/>
      <c r="Z98" s="123"/>
    </row>
    <row r="99" spans="3:26">
      <c r="C99" s="123"/>
      <c r="D99" s="120"/>
      <c r="E99" s="123"/>
      <c r="F99" s="123"/>
      <c r="G99" s="123"/>
      <c r="H99" s="128"/>
      <c r="I99" s="123"/>
      <c r="J99" s="123"/>
      <c r="K99" s="123"/>
      <c r="L99" s="123"/>
      <c r="M99" s="123"/>
      <c r="N99" s="123"/>
      <c r="O99" s="123"/>
      <c r="P99" s="128"/>
      <c r="Q99" s="123"/>
      <c r="R99" s="123"/>
      <c r="S99" s="123"/>
      <c r="T99" s="123"/>
      <c r="U99" s="123"/>
      <c r="V99" s="123"/>
      <c r="W99" s="123"/>
      <c r="X99" s="123"/>
      <c r="Y99" s="123"/>
      <c r="Z99" s="123"/>
    </row>
    <row r="100" spans="3:26">
      <c r="C100" s="125"/>
      <c r="D100" s="120"/>
      <c r="E100" s="123"/>
      <c r="F100" s="123"/>
      <c r="G100" s="123"/>
      <c r="H100" s="128"/>
      <c r="I100" s="123"/>
      <c r="J100" s="123"/>
      <c r="K100" s="123"/>
      <c r="L100" s="123"/>
      <c r="M100" s="123"/>
      <c r="N100" s="123"/>
      <c r="O100" s="123"/>
      <c r="P100" s="128"/>
      <c r="Q100" s="123"/>
      <c r="R100" s="123"/>
      <c r="S100" s="123"/>
      <c r="T100" s="123"/>
      <c r="U100" s="123"/>
      <c r="V100" s="123"/>
      <c r="W100" s="123"/>
      <c r="X100" s="123"/>
      <c r="Y100" s="123"/>
      <c r="Z100" s="123"/>
    </row>
    <row r="101" spans="3:26">
      <c r="C101" s="125"/>
      <c r="D101" s="120"/>
      <c r="E101" s="123"/>
      <c r="F101" s="123"/>
      <c r="G101" s="123"/>
      <c r="H101" s="128"/>
      <c r="I101" s="123"/>
      <c r="J101" s="123"/>
      <c r="K101" s="123"/>
      <c r="L101" s="123"/>
      <c r="M101" s="123"/>
      <c r="N101" s="123"/>
      <c r="O101" s="123"/>
      <c r="P101" s="128"/>
      <c r="Q101" s="123"/>
      <c r="R101" s="123"/>
      <c r="S101" s="123"/>
      <c r="T101" s="123"/>
      <c r="U101" s="123"/>
      <c r="V101" s="123"/>
      <c r="W101" s="123"/>
      <c r="X101" s="123"/>
      <c r="Y101" s="123"/>
      <c r="Z101" s="123"/>
    </row>
    <row r="102" spans="3:26">
      <c r="C102" s="123"/>
      <c r="D102" s="120"/>
      <c r="E102" s="123"/>
      <c r="F102" s="123"/>
      <c r="G102" s="123"/>
      <c r="H102" s="128"/>
      <c r="I102" s="123"/>
      <c r="J102" s="123"/>
      <c r="K102" s="123"/>
      <c r="L102" s="123"/>
      <c r="M102" s="123"/>
      <c r="N102" s="123"/>
      <c r="O102" s="123"/>
      <c r="P102" s="128"/>
      <c r="Q102" s="123"/>
      <c r="R102" s="123"/>
      <c r="S102" s="123"/>
      <c r="T102" s="123"/>
      <c r="U102" s="123"/>
      <c r="V102" s="123"/>
      <c r="W102" s="123"/>
      <c r="X102" s="123"/>
      <c r="Y102" s="123"/>
      <c r="Z102" s="123"/>
    </row>
    <row r="103" spans="3:26">
      <c r="C103" s="123"/>
      <c r="D103" s="120"/>
      <c r="E103" s="123"/>
      <c r="F103" s="123"/>
      <c r="G103" s="123"/>
      <c r="H103" s="128"/>
      <c r="I103" s="123"/>
      <c r="J103" s="123"/>
      <c r="K103" s="123"/>
      <c r="L103" s="123"/>
      <c r="M103" s="123"/>
      <c r="N103" s="123"/>
      <c r="O103" s="123"/>
      <c r="P103" s="128"/>
      <c r="Q103" s="123"/>
      <c r="R103" s="123"/>
      <c r="S103" s="123"/>
      <c r="T103" s="123"/>
      <c r="U103" s="123"/>
      <c r="V103" s="123"/>
      <c r="W103" s="123"/>
      <c r="X103" s="123"/>
      <c r="Y103" s="123"/>
      <c r="Z103" s="123"/>
    </row>
    <row r="104" spans="3:26">
      <c r="C104" s="123"/>
      <c r="D104" s="120"/>
      <c r="E104" s="123"/>
      <c r="F104" s="123"/>
      <c r="G104" s="123"/>
      <c r="H104" s="128"/>
      <c r="I104" s="123"/>
      <c r="J104" s="123"/>
      <c r="K104" s="123"/>
      <c r="L104" s="123"/>
      <c r="M104" s="123"/>
      <c r="N104" s="123"/>
      <c r="O104" s="123"/>
      <c r="P104" s="128"/>
      <c r="Q104" s="123"/>
      <c r="R104" s="123"/>
      <c r="S104" s="123"/>
      <c r="T104" s="123"/>
      <c r="U104" s="123"/>
      <c r="V104" s="123"/>
      <c r="W104" s="123"/>
      <c r="X104" s="123"/>
      <c r="Y104" s="123"/>
      <c r="Z104" s="123"/>
    </row>
    <row r="105" spans="3:26">
      <c r="C105" s="125"/>
      <c r="D105" s="120"/>
      <c r="E105" s="123"/>
      <c r="F105" s="123"/>
      <c r="G105" s="123"/>
      <c r="H105" s="128"/>
      <c r="I105" s="123"/>
      <c r="J105" s="123"/>
      <c r="K105" s="123"/>
      <c r="L105" s="123"/>
      <c r="M105" s="123"/>
      <c r="N105" s="123"/>
      <c r="O105" s="123"/>
      <c r="P105" s="128"/>
      <c r="Q105" s="123"/>
      <c r="R105" s="123"/>
      <c r="S105" s="123"/>
      <c r="T105" s="123"/>
      <c r="U105" s="123"/>
      <c r="V105" s="123"/>
      <c r="W105" s="123"/>
      <c r="X105" s="123"/>
      <c r="Y105" s="123"/>
      <c r="Z105" s="123"/>
    </row>
    <row r="106" spans="3:26">
      <c r="C106" s="125"/>
      <c r="D106" s="120"/>
      <c r="E106" s="123"/>
      <c r="F106" s="123"/>
      <c r="G106" s="123"/>
      <c r="H106" s="128"/>
      <c r="I106" s="123"/>
      <c r="J106" s="123"/>
      <c r="K106" s="123"/>
      <c r="L106" s="123"/>
      <c r="M106" s="123"/>
      <c r="N106" s="123"/>
      <c r="O106" s="123"/>
      <c r="P106" s="128"/>
      <c r="Q106" s="123"/>
      <c r="R106" s="123"/>
      <c r="S106" s="123"/>
      <c r="T106" s="123"/>
      <c r="U106" s="123"/>
      <c r="V106" s="123"/>
      <c r="W106" s="123"/>
      <c r="X106" s="123"/>
      <c r="Y106" s="123"/>
      <c r="Z106"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44.xml><?xml version="1.0" encoding="utf-8"?>
<worksheet xmlns="http://schemas.openxmlformats.org/spreadsheetml/2006/main" xmlns:r="http://schemas.openxmlformats.org/officeDocument/2006/relationships">
  <sheetPr codeName="Sheet564"/>
  <dimension ref="A1:AF74"/>
  <sheetViews>
    <sheetView zoomScale="75" workbookViewId="0">
      <selection activeCell="D3" sqref="D3"/>
    </sheetView>
  </sheetViews>
  <sheetFormatPr defaultColWidth="11.42578125" defaultRowHeight="12.75"/>
  <cols>
    <col min="1" max="1" width="15.85546875" customWidth="1"/>
    <col min="2" max="2" width="13.5703125" customWidth="1"/>
    <col min="3" max="3" width="43" customWidth="1"/>
    <col min="4" max="4" width="12.42578125" customWidth="1"/>
    <col min="5" max="6" width="9.7109375" bestFit="1" customWidth="1"/>
    <col min="7" max="22" width="11.42578125" customWidth="1"/>
    <col min="23" max="23" width="12" customWidth="1"/>
    <col min="24" max="24" width="11.42578125" customWidth="1"/>
    <col min="25" max="25" width="13.140625" customWidth="1"/>
  </cols>
  <sheetData>
    <row r="1" spans="1:26" ht="18">
      <c r="A1" s="10" t="s">
        <v>108</v>
      </c>
      <c r="D1" t="s">
        <v>250</v>
      </c>
    </row>
    <row r="2" spans="1:26" s="22" customFormat="1" ht="18">
      <c r="A2" s="83"/>
      <c r="D2" s="245"/>
      <c r="E2" s="74"/>
      <c r="F2" s="74"/>
      <c r="G2" s="74"/>
      <c r="H2" s="74"/>
      <c r="J2" s="56"/>
      <c r="Y2"/>
    </row>
    <row r="3" spans="1:26" ht="18">
      <c r="B3" s="16"/>
      <c r="C3" s="17"/>
      <c r="D3" s="245"/>
      <c r="O3" s="18">
        <v>1</v>
      </c>
      <c r="P3" t="s">
        <v>666</v>
      </c>
      <c r="Y3" s="10">
        <v>0</v>
      </c>
      <c r="Z3" s="358">
        <v>1</v>
      </c>
    </row>
    <row r="4" spans="1:26" ht="18">
      <c r="B4" s="131" t="s">
        <v>594</v>
      </c>
      <c r="C4" s="98"/>
      <c r="D4" s="252" t="str">
        <f>"~FI_T: "&amp;Region&amp;"~EUR10"</f>
        <v>~FI_T: FIM~EUR10</v>
      </c>
      <c r="E4" s="4"/>
      <c r="R4" s="4"/>
      <c r="S4" s="4"/>
      <c r="Z4" s="294"/>
    </row>
    <row r="5" spans="1:26" ht="52.5" customHeight="1" thickBot="1">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c r="X5" s="427" t="s">
        <v>993</v>
      </c>
      <c r="Y5" s="427" t="s">
        <v>997</v>
      </c>
      <c r="Z5" s="427" t="s">
        <v>998</v>
      </c>
    </row>
    <row r="6" spans="1:26" ht="20.25" customHeight="1">
      <c r="B6" s="434" t="s">
        <v>999</v>
      </c>
      <c r="C6" s="190"/>
      <c r="D6" s="190"/>
      <c r="E6" s="191"/>
      <c r="F6" s="191"/>
      <c r="G6" s="191"/>
      <c r="H6" s="191"/>
      <c r="I6" s="190"/>
      <c r="J6" s="193"/>
      <c r="K6" s="191"/>
      <c r="L6" s="190"/>
      <c r="M6" s="190"/>
      <c r="N6" s="191"/>
      <c r="O6" s="192"/>
      <c r="P6" s="190"/>
      <c r="Q6" s="190"/>
      <c r="R6" s="192"/>
      <c r="S6" s="190"/>
      <c r="T6" s="190"/>
      <c r="U6" s="190"/>
      <c r="V6" s="257"/>
      <c r="X6" s="190"/>
      <c r="Y6" s="190"/>
      <c r="Z6" s="190"/>
    </row>
    <row r="7" spans="1:26" ht="14.25" customHeight="1">
      <c r="B7" s="265" t="s">
        <v>331</v>
      </c>
      <c r="C7" s="408" t="s">
        <v>489</v>
      </c>
      <c r="D7" s="82" t="str">
        <f ca="1">IEAData2!H99</f>
        <v>COMNGA</v>
      </c>
      <c r="E7" s="64">
        <f ca="1">IEAData2!C172*IEAData2!B158</f>
        <v>0</v>
      </c>
      <c r="F7" s="64">
        <f ca="1">AuxData2!C172*AuxData2!B158</f>
        <v>0</v>
      </c>
      <c r="G7" s="88">
        <v>1</v>
      </c>
      <c r="H7" s="343" t="str">
        <f t="shared" ref="H7:H13" si="0">RIGHT(D7,3)</f>
        <v>NGA</v>
      </c>
      <c r="I7" s="81">
        <v>1</v>
      </c>
      <c r="J7" s="6">
        <f>G7*I7</f>
        <v>1</v>
      </c>
      <c r="K7" s="38">
        <f t="shared" ref="K7:K13" ca="1" si="1">F7*J7</f>
        <v>0</v>
      </c>
      <c r="L7" s="19">
        <v>1</v>
      </c>
      <c r="M7" s="81">
        <v>0.13</v>
      </c>
      <c r="N7" s="32">
        <v>20</v>
      </c>
      <c r="O7" s="161">
        <f t="shared" ref="O7:O13" ca="1" si="2">E7*J7/$M7</f>
        <v>0</v>
      </c>
      <c r="P7" s="104">
        <f t="shared" ref="P7:P13" ca="1" si="3">F7*J7/$M7</f>
        <v>0</v>
      </c>
      <c r="Q7" s="104"/>
      <c r="R7" s="185">
        <f ca="1">O7*0.2</f>
        <v>0</v>
      </c>
      <c r="S7" s="40"/>
      <c r="T7" s="40"/>
      <c r="U7" s="116"/>
      <c r="V7" s="258">
        <f t="shared" ref="V7:V13" ca="1" si="4">IF($E$14=0,0,E7/$E$14)</f>
        <v>0</v>
      </c>
      <c r="X7" s="430">
        <f ca="1">IF(B6="*",MATCH(LEFT(B7,3),OFFSET(CalibData2!$C$78,1,0,100),0),X6)</f>
        <v>41</v>
      </c>
      <c r="Y7" s="430"/>
      <c r="Z7" s="430"/>
    </row>
    <row r="8" spans="1:26" ht="14.25" customHeight="1">
      <c r="B8" s="265" t="s">
        <v>332</v>
      </c>
      <c r="C8" s="408" t="s">
        <v>490</v>
      </c>
      <c r="D8" s="82" t="str">
        <f ca="1">IEAData2!H100</f>
        <v>COMDST</v>
      </c>
      <c r="E8" s="64">
        <f ca="1">IEAData2!C173*IEAData2!B159</f>
        <v>0</v>
      </c>
      <c r="F8" s="64">
        <f ca="1">AuxData2!C173*AuxData2!B159</f>
        <v>0</v>
      </c>
      <c r="G8" s="88">
        <v>0.7</v>
      </c>
      <c r="H8" s="343" t="str">
        <f t="shared" si="0"/>
        <v>DST</v>
      </c>
      <c r="I8" s="81">
        <v>1</v>
      </c>
      <c r="J8" s="6">
        <f t="shared" ref="J8:J13" si="5">G8*I8</f>
        <v>0.7</v>
      </c>
      <c r="K8" s="38">
        <f t="shared" ca="1" si="1"/>
        <v>0</v>
      </c>
      <c r="L8" s="19">
        <v>1</v>
      </c>
      <c r="M8" s="81">
        <v>0.13</v>
      </c>
      <c r="N8" s="32">
        <v>20</v>
      </c>
      <c r="O8" s="161">
        <f t="shared" ca="1" si="2"/>
        <v>0</v>
      </c>
      <c r="P8" s="104">
        <f t="shared" ca="1" si="3"/>
        <v>0</v>
      </c>
      <c r="Q8" s="104"/>
      <c r="R8" s="185">
        <f ca="1">O8*0.2</f>
        <v>0</v>
      </c>
      <c r="S8" s="40"/>
      <c r="T8" s="40"/>
      <c r="U8" s="116"/>
      <c r="V8" s="258">
        <f t="shared" ca="1" si="4"/>
        <v>0</v>
      </c>
      <c r="X8" s="430">
        <f ca="1">IF(B7="*",MATCH(LEFT(B8,3),OFFSET(CalibData2!$C$78,1,0,100),0),X7)</f>
        <v>41</v>
      </c>
      <c r="Y8" s="430"/>
      <c r="Z8" s="430"/>
    </row>
    <row r="9" spans="1:26" ht="14.25" customHeight="1">
      <c r="B9" s="265" t="s">
        <v>333</v>
      </c>
      <c r="C9" s="408" t="s">
        <v>491</v>
      </c>
      <c r="D9" s="82" t="str">
        <f ca="1">IEAData2!H108</f>
        <v>COMGEO</v>
      </c>
      <c r="E9" s="64">
        <f ca="1">IEAData2!C181*IEAData2!B167</f>
        <v>0</v>
      </c>
      <c r="F9" s="64">
        <f ca="1">AuxData2!C181*AuxData2!B167</f>
        <v>0</v>
      </c>
      <c r="G9" s="88">
        <v>1</v>
      </c>
      <c r="H9" s="343" t="str">
        <f t="shared" si="0"/>
        <v>GEO</v>
      </c>
      <c r="I9" s="81">
        <v>1</v>
      </c>
      <c r="J9" s="6">
        <f t="shared" si="5"/>
        <v>1</v>
      </c>
      <c r="K9" s="38">
        <f t="shared" ca="1" si="1"/>
        <v>0</v>
      </c>
      <c r="L9" s="57">
        <v>1</v>
      </c>
      <c r="M9" s="81">
        <v>0.13</v>
      </c>
      <c r="N9" s="66">
        <v>20</v>
      </c>
      <c r="O9" s="161">
        <f t="shared" ca="1" si="2"/>
        <v>0</v>
      </c>
      <c r="P9" s="104">
        <f t="shared" ca="1" si="3"/>
        <v>0</v>
      </c>
      <c r="Q9" s="104"/>
      <c r="R9" s="185">
        <f ca="1">O9*0.2</f>
        <v>0</v>
      </c>
      <c r="S9" s="40"/>
      <c r="T9" s="40"/>
      <c r="U9" s="116"/>
      <c r="V9" s="258">
        <f t="shared" ca="1" si="4"/>
        <v>0</v>
      </c>
      <c r="X9" s="430">
        <f ca="1">IF(B8="*",MATCH(LEFT(B9,3),OFFSET(CalibData2!$C$78,1,0,100),0),X8)</f>
        <v>41</v>
      </c>
      <c r="Y9" s="430"/>
      <c r="Z9" s="430"/>
    </row>
    <row r="10" spans="1:26" ht="14.25" customHeight="1">
      <c r="B10" s="265" t="s">
        <v>863</v>
      </c>
      <c r="C10" s="408" t="s">
        <v>864</v>
      </c>
      <c r="D10" s="82" t="s">
        <v>867</v>
      </c>
      <c r="E10" s="64">
        <f ca="1">IEAData2!C180*IEAData2!B166</f>
        <v>0.28799999999999998</v>
      </c>
      <c r="F10" s="64">
        <f ca="1">AuxData2!C180*AuxData2!B166</f>
        <v>0.20210399999999995</v>
      </c>
      <c r="G10" s="88">
        <v>0.93</v>
      </c>
      <c r="H10" s="343" t="str">
        <f t="shared" si="0"/>
        <v>HET</v>
      </c>
      <c r="I10" s="81">
        <v>1</v>
      </c>
      <c r="J10" s="6">
        <f t="shared" si="5"/>
        <v>0.93</v>
      </c>
      <c r="K10" s="38">
        <f t="shared" ca="1" si="1"/>
        <v>0.18795671999999997</v>
      </c>
      <c r="L10" s="57">
        <v>1</v>
      </c>
      <c r="M10" s="81">
        <v>0.13</v>
      </c>
      <c r="N10" s="66">
        <v>20</v>
      </c>
      <c r="O10" s="161">
        <f t="shared" ca="1" si="2"/>
        <v>2.060307692307692</v>
      </c>
      <c r="P10" s="104">
        <f t="shared" ca="1" si="3"/>
        <v>1.4458209230769228</v>
      </c>
      <c r="Q10" s="104"/>
      <c r="R10" s="185">
        <f ca="1">O10*0.5</f>
        <v>1.030153846153846</v>
      </c>
      <c r="S10" s="40"/>
      <c r="T10" s="40"/>
      <c r="U10" s="116"/>
      <c r="V10" s="258">
        <f ca="1">IF($E$14=0,0,E10/$E$14)</f>
        <v>0.28185178549927514</v>
      </c>
      <c r="X10" s="430">
        <f ca="1">IF(B9="*",MATCH(LEFT(B10,3),OFFSET(CalibData2!$C$78,1,0,100),0),X9)</f>
        <v>41</v>
      </c>
      <c r="Y10" s="430"/>
      <c r="Z10" s="430"/>
    </row>
    <row r="11" spans="1:26" ht="14.25" customHeight="1">
      <c r="B11" s="265" t="s">
        <v>116</v>
      </c>
      <c r="C11" s="402" t="s">
        <v>492</v>
      </c>
      <c r="D11" s="82" t="s">
        <v>831</v>
      </c>
      <c r="E11" s="64">
        <f ca="1">Y11*IEAData2!$B$165*IEAData2!$C$179</f>
        <v>0.39926800368317911</v>
      </c>
      <c r="F11" s="64">
        <f ca="1">Z11*AuxData2!$B$165*AuxData2!$C$179</f>
        <v>0.39963662262051397</v>
      </c>
      <c r="G11" s="88">
        <v>3</v>
      </c>
      <c r="H11" s="343" t="str">
        <f t="shared" si="0"/>
        <v>ELC</v>
      </c>
      <c r="I11" s="81">
        <v>1</v>
      </c>
      <c r="J11" s="6">
        <f t="shared" si="5"/>
        <v>3</v>
      </c>
      <c r="K11" s="38">
        <f t="shared" ca="1" si="1"/>
        <v>1.198909867861542</v>
      </c>
      <c r="L11" s="19">
        <v>1</v>
      </c>
      <c r="M11" s="81">
        <v>0.13</v>
      </c>
      <c r="N11" s="32">
        <v>20</v>
      </c>
      <c r="O11" s="161">
        <f t="shared" ca="1" si="2"/>
        <v>9.2138770080733643</v>
      </c>
      <c r="P11" s="104">
        <f t="shared" ca="1" si="3"/>
        <v>9.2223835989349379</v>
      </c>
      <c r="Q11" s="104"/>
      <c r="R11" s="185">
        <f ca="1">O11*0.2</f>
        <v>1.8427754016146729</v>
      </c>
      <c r="S11" s="40"/>
      <c r="T11" s="40"/>
      <c r="U11" s="40"/>
      <c r="V11" s="258">
        <f t="shared" ca="1" si="4"/>
        <v>0.39074444350984444</v>
      </c>
      <c r="X11" s="430">
        <f ca="1">IF(B10="*",MATCH(LEFT(B11,3),OFFSET(CalibData2!$C$78,1,0,100),0),X10)</f>
        <v>41</v>
      </c>
      <c r="Y11" s="363">
        <f t="array" aca="1" ref="Y11:Y12" ca="1">OFFSET(TechShar,$X11,Y$3,2)</f>
        <v>0.54410000000000003</v>
      </c>
      <c r="Z11" s="363">
        <f t="array" aca="1" ref="Z11:Z12" ca="1">OFFSET(TechShar,$X11,Z$3,2)</f>
        <v>0.54410000000000003</v>
      </c>
    </row>
    <row r="12" spans="1:26" ht="14.25" customHeight="1">
      <c r="B12" s="265" t="s">
        <v>85</v>
      </c>
      <c r="C12" s="402" t="s">
        <v>493</v>
      </c>
      <c r="D12" s="82" t="s">
        <v>831</v>
      </c>
      <c r="E12" s="64">
        <f ca="1">Y12*IEAData2!$B$165*IEAData2!$C$179</f>
        <v>2.4215850250955541E-3</v>
      </c>
      <c r="F12" s="64">
        <f ca="1">Z12*AuxData2!$B$165*AuxData2!$C$179</f>
        <v>2.4238207216461974E-3</v>
      </c>
      <c r="G12" s="88">
        <v>3</v>
      </c>
      <c r="H12" s="343" t="str">
        <f t="shared" si="0"/>
        <v>ELC</v>
      </c>
      <c r="I12" s="81">
        <v>1</v>
      </c>
      <c r="J12" s="6">
        <f t="shared" si="5"/>
        <v>3</v>
      </c>
      <c r="K12" s="38">
        <f t="shared" ca="1" si="1"/>
        <v>7.2714621649385917E-3</v>
      </c>
      <c r="L12" s="19">
        <v>1</v>
      </c>
      <c r="M12" s="81">
        <v>0.13</v>
      </c>
      <c r="N12" s="32">
        <v>15</v>
      </c>
      <c r="O12" s="161">
        <f t="shared" ca="1" si="2"/>
        <v>5.5882731348358937E-2</v>
      </c>
      <c r="P12" s="104">
        <f t="shared" ca="1" si="3"/>
        <v>5.593432434568147E-2</v>
      </c>
      <c r="Q12" s="104"/>
      <c r="R12" s="185">
        <f ca="1">O12*0.2</f>
        <v>1.1176546269671787E-2</v>
      </c>
      <c r="S12" s="40"/>
      <c r="T12" s="40"/>
      <c r="U12" s="18"/>
      <c r="V12" s="258">
        <f t="shared" ca="1" si="4"/>
        <v>2.3698891078523924E-3</v>
      </c>
      <c r="X12" s="430">
        <f ca="1">IF(B11="*",MATCH(LEFT(B12,3),OFFSET(CalibData2!$C$78,1,0,100),0),X11)</f>
        <v>41</v>
      </c>
      <c r="Y12" s="363">
        <f ca="1"/>
        <v>3.3E-3</v>
      </c>
      <c r="Z12" s="363">
        <f ca="1"/>
        <v>3.3E-3</v>
      </c>
    </row>
    <row r="13" spans="1:26" ht="14.25" customHeight="1" thickBot="1">
      <c r="B13" s="266" t="s">
        <v>117</v>
      </c>
      <c r="C13" s="403" t="s">
        <v>494</v>
      </c>
      <c r="D13" s="96" t="s">
        <v>831</v>
      </c>
      <c r="E13" s="34">
        <f ca="1">Y13*IEAData2!$B$165*IEAData2!$C$179</f>
        <v>0.33212405526007505</v>
      </c>
      <c r="F13" s="34">
        <f ca="1">Z13*AuxData2!$B$165*AuxData2!$C$179</f>
        <v>0.33243068442941487</v>
      </c>
      <c r="G13" s="54">
        <v>3</v>
      </c>
      <c r="H13" s="343" t="str">
        <f t="shared" si="0"/>
        <v>ELC</v>
      </c>
      <c r="I13" s="81">
        <v>1</v>
      </c>
      <c r="J13" s="6">
        <f t="shared" si="5"/>
        <v>3</v>
      </c>
      <c r="K13" s="38">
        <f t="shared" ca="1" si="1"/>
        <v>0.99729205328824455</v>
      </c>
      <c r="L13" s="73">
        <v>1</v>
      </c>
      <c r="M13" s="20">
        <v>0.13</v>
      </c>
      <c r="N13" s="72">
        <v>20</v>
      </c>
      <c r="O13" s="162">
        <f t="shared" ca="1" si="2"/>
        <v>7.6644012752325006</v>
      </c>
      <c r="P13" s="104">
        <f t="shared" ca="1" si="3"/>
        <v>7.6714773329864965</v>
      </c>
      <c r="Q13" s="117"/>
      <c r="R13" s="352">
        <f ca="1">O13*0.2</f>
        <v>1.5328802550465002</v>
      </c>
      <c r="S13" s="54"/>
      <c r="T13" s="54"/>
      <c r="U13" s="20"/>
      <c r="V13" s="258">
        <f t="shared" ca="1" si="4"/>
        <v>0.32503388188302806</v>
      </c>
      <c r="X13" s="430">
        <f ca="1">IF(B12="*",MATCH(LEFT(B13,3),OFFSET(CalibData2!$C$78,1,0,100),0),X12)</f>
        <v>41</v>
      </c>
      <c r="Y13" s="363">
        <f ca="1">1-SUM(Y11:Y12)</f>
        <v>0.4526</v>
      </c>
      <c r="Z13" s="363">
        <f ca="1">1-SUM(Z11:Z12)</f>
        <v>0.4526</v>
      </c>
    </row>
    <row r="14" spans="1:26" ht="14.25" customHeight="1">
      <c r="B14" s="434" t="s">
        <v>999</v>
      </c>
      <c r="C14" s="435" t="s">
        <v>1001</v>
      </c>
      <c r="D14" s="190"/>
      <c r="E14" s="191">
        <f ca="1">SUM(E7:E13)</f>
        <v>1.0218136439683496</v>
      </c>
      <c r="F14" s="191">
        <f ca="1">SUM(F7:F13)</f>
        <v>0.93659512777157494</v>
      </c>
      <c r="G14" s="191"/>
      <c r="H14" s="191">
        <f ca="1">SUMPRODUCT(E$7:E13,J$7:J13)</f>
        <v>2.4692809319050495</v>
      </c>
      <c r="I14" s="190"/>
      <c r="J14" s="193"/>
      <c r="K14" s="191">
        <f ca="1">SUM(K7:K13)</f>
        <v>2.3914301033147254</v>
      </c>
      <c r="L14" s="190"/>
      <c r="M14" s="190"/>
      <c r="N14" s="191"/>
      <c r="O14" s="192">
        <f ca="1">SUM(O7:O13)</f>
        <v>18.994468706961914</v>
      </c>
      <c r="P14" s="190"/>
      <c r="Q14" s="190"/>
      <c r="R14" s="192"/>
      <c r="S14" s="190"/>
      <c r="T14" s="190"/>
      <c r="U14" s="190"/>
      <c r="V14" s="258">
        <f ca="1">SUM(V7:V13)</f>
        <v>1</v>
      </c>
      <c r="X14" s="190"/>
      <c r="Y14" s="190"/>
      <c r="Z14" s="190"/>
    </row>
    <row r="15" spans="1:26" ht="14.25" customHeight="1">
      <c r="B15" s="265" t="s">
        <v>334</v>
      </c>
      <c r="C15" s="408" t="s">
        <v>495</v>
      </c>
      <c r="D15" s="82" t="str">
        <f ca="1">IEAData2!H99</f>
        <v>COMNGA</v>
      </c>
      <c r="E15" s="64">
        <f ca="1">IEAData2!C172*IEAData2!C158</f>
        <v>0</v>
      </c>
      <c r="F15" s="64">
        <f ca="1">AuxData2!C172*AuxData2!C158</f>
        <v>0</v>
      </c>
      <c r="G15" s="88">
        <v>1</v>
      </c>
      <c r="H15" s="343" t="str">
        <f t="shared" ref="H15:H21" si="6">RIGHT(D15,3)</f>
        <v>NGA</v>
      </c>
      <c r="I15" s="81">
        <v>1</v>
      </c>
      <c r="J15" s="6">
        <f t="shared" ref="J15:J21" si="7">G15*I15</f>
        <v>1</v>
      </c>
      <c r="K15" s="38">
        <f t="shared" ref="K15:K21" ca="1" si="8">F15*J15</f>
        <v>0</v>
      </c>
      <c r="L15" s="19">
        <v>1</v>
      </c>
      <c r="M15" s="81">
        <v>0.13</v>
      </c>
      <c r="N15" s="32">
        <v>20</v>
      </c>
      <c r="O15" s="161">
        <f t="shared" ref="O15:O21" ca="1" si="9">E15*J15/$M15</f>
        <v>0</v>
      </c>
      <c r="P15" s="104">
        <f t="shared" ref="P15:P21" ca="1" si="10">F15*J15/$M15</f>
        <v>0</v>
      </c>
      <c r="Q15" s="104"/>
      <c r="R15" s="185">
        <f ca="1">O15*0.2</f>
        <v>0</v>
      </c>
      <c r="S15" s="40"/>
      <c r="T15" s="40"/>
      <c r="U15" s="116"/>
      <c r="V15" s="258">
        <f t="shared" ref="V15:V21" ca="1" si="11">IF($E$22=0,0,E15/$E$22)</f>
        <v>0</v>
      </c>
      <c r="X15" s="430">
        <f ca="1">IF(B14="*",MATCH(LEFT(B15,3),OFFSET(CalibData2!$C$78,1,0,100),0),X14)</f>
        <v>43</v>
      </c>
      <c r="Y15" s="430"/>
      <c r="Z15" s="430"/>
    </row>
    <row r="16" spans="1:26" ht="14.25" customHeight="1">
      <c r="B16" s="265" t="s">
        <v>335</v>
      </c>
      <c r="C16" s="408" t="s">
        <v>496</v>
      </c>
      <c r="D16" s="82" t="str">
        <f ca="1">IEAData2!H100</f>
        <v>COMDST</v>
      </c>
      <c r="E16" s="64">
        <f ca="1">IEAData2!C173*IEAData2!C159</f>
        <v>0</v>
      </c>
      <c r="F16" s="64">
        <f ca="1">AuxData2!C173*AuxData2!C159</f>
        <v>0</v>
      </c>
      <c r="G16" s="88">
        <v>0.7</v>
      </c>
      <c r="H16" s="343" t="str">
        <f t="shared" si="6"/>
        <v>DST</v>
      </c>
      <c r="I16" s="81">
        <v>1</v>
      </c>
      <c r="J16" s="6">
        <f t="shared" si="7"/>
        <v>0.7</v>
      </c>
      <c r="K16" s="38">
        <f t="shared" ca="1" si="8"/>
        <v>0</v>
      </c>
      <c r="L16" s="19">
        <v>1</v>
      </c>
      <c r="M16" s="81">
        <v>0.13</v>
      </c>
      <c r="N16" s="32">
        <v>20</v>
      </c>
      <c r="O16" s="161">
        <f t="shared" ca="1" si="9"/>
        <v>0</v>
      </c>
      <c r="P16" s="104">
        <f t="shared" ca="1" si="10"/>
        <v>0</v>
      </c>
      <c r="Q16" s="104"/>
      <c r="R16" s="185">
        <f ca="1">O16*0.2</f>
        <v>0</v>
      </c>
      <c r="S16" s="40"/>
      <c r="T16" s="40"/>
      <c r="U16" s="116"/>
      <c r="V16" s="258">
        <f t="shared" ca="1" si="11"/>
        <v>0</v>
      </c>
      <c r="X16" s="430">
        <f ca="1">IF(B15="*",MATCH(LEFT(B16,3),OFFSET(CalibData2!$C$78,1,0,100),0),X15)</f>
        <v>43</v>
      </c>
      <c r="Y16" s="430"/>
      <c r="Z16" s="430"/>
    </row>
    <row r="17" spans="2:26" ht="14.25" customHeight="1">
      <c r="B17" s="265" t="s">
        <v>336</v>
      </c>
      <c r="C17" s="408" t="s">
        <v>497</v>
      </c>
      <c r="D17" s="82" t="str">
        <f ca="1">IEAData2!H108</f>
        <v>COMGEO</v>
      </c>
      <c r="E17" s="64">
        <f ca="1">IEAData2!C181*IEAData2!C167</f>
        <v>0</v>
      </c>
      <c r="F17" s="64">
        <f ca="1">AuxData2!C181*AuxData2!C167</f>
        <v>0</v>
      </c>
      <c r="G17" s="88">
        <v>1</v>
      </c>
      <c r="H17" s="343" t="str">
        <f t="shared" si="6"/>
        <v>GEO</v>
      </c>
      <c r="I17" s="81">
        <v>1</v>
      </c>
      <c r="J17" s="6">
        <f t="shared" si="7"/>
        <v>1</v>
      </c>
      <c r="K17" s="38">
        <f t="shared" ca="1" si="8"/>
        <v>0</v>
      </c>
      <c r="L17" s="57">
        <v>1</v>
      </c>
      <c r="M17" s="81">
        <v>0.13</v>
      </c>
      <c r="N17" s="66">
        <v>20</v>
      </c>
      <c r="O17" s="161">
        <f t="shared" ca="1" si="9"/>
        <v>0</v>
      </c>
      <c r="P17" s="104">
        <f t="shared" ca="1" si="10"/>
        <v>0</v>
      </c>
      <c r="Q17" s="104"/>
      <c r="R17" s="185">
        <f ca="1">O17*0.2</f>
        <v>0</v>
      </c>
      <c r="S17" s="40"/>
      <c r="T17" s="40"/>
      <c r="U17" s="116"/>
      <c r="V17" s="258">
        <f t="shared" ca="1" si="11"/>
        <v>0</v>
      </c>
      <c r="X17" s="430">
        <f ca="1">IF(B16="*",MATCH(LEFT(B17,3),OFFSET(CalibData2!$C$78,1,0,100),0),X16)</f>
        <v>43</v>
      </c>
      <c r="Y17" s="430"/>
      <c r="Z17" s="430"/>
    </row>
    <row r="18" spans="2:26" ht="14.25" customHeight="1">
      <c r="B18" s="265" t="s">
        <v>868</v>
      </c>
      <c r="C18" s="408" t="s">
        <v>869</v>
      </c>
      <c r="D18" s="82" t="s">
        <v>867</v>
      </c>
      <c r="E18" s="64">
        <f ca="1">IEAData2!C180*IEAData2!C166</f>
        <v>0</v>
      </c>
      <c r="F18" s="64">
        <f ca="1">AuxData2!C180*AuxData2!C166</f>
        <v>0</v>
      </c>
      <c r="G18" s="88">
        <v>0.92</v>
      </c>
      <c r="H18" s="343" t="str">
        <f t="shared" si="6"/>
        <v>HET</v>
      </c>
      <c r="I18" s="81">
        <v>1</v>
      </c>
      <c r="J18" s="6">
        <f t="shared" si="7"/>
        <v>0.92</v>
      </c>
      <c r="K18" s="38">
        <f t="shared" ca="1" si="8"/>
        <v>0</v>
      </c>
      <c r="L18" s="57">
        <v>1</v>
      </c>
      <c r="M18" s="81">
        <v>0.13</v>
      </c>
      <c r="N18" s="66">
        <v>20</v>
      </c>
      <c r="O18" s="161">
        <f t="shared" ca="1" si="9"/>
        <v>0</v>
      </c>
      <c r="P18" s="104">
        <f t="shared" ca="1" si="10"/>
        <v>0</v>
      </c>
      <c r="Q18" s="104"/>
      <c r="R18" s="185">
        <f ca="1">O18*0.5</f>
        <v>0</v>
      </c>
      <c r="S18" s="40"/>
      <c r="T18" s="40"/>
      <c r="U18" s="116"/>
      <c r="V18" s="258">
        <f t="shared" ca="1" si="11"/>
        <v>0</v>
      </c>
      <c r="X18" s="430">
        <f ca="1">IF(B17="*",MATCH(LEFT(B18,3),OFFSET(CalibData2!$C$78,1,0,100),0),X17)</f>
        <v>43</v>
      </c>
      <c r="Y18" s="430"/>
      <c r="Z18" s="430"/>
    </row>
    <row r="19" spans="2:26" ht="14.25" customHeight="1">
      <c r="B19" s="265" t="s">
        <v>118</v>
      </c>
      <c r="C19" s="402" t="s">
        <v>498</v>
      </c>
      <c r="D19" s="82" t="str">
        <f ca="1">IF(UPPER(IEAData2!$J$1)="Y", IEAData2!$H$112,IEAData2!$H$106)</f>
        <v>COMELC</v>
      </c>
      <c r="E19" s="64">
        <f ca="1">Y19*IEAData2!$C$165*IEAData2!$C$179</f>
        <v>0</v>
      </c>
      <c r="F19" s="64">
        <f ca="1">Z19*AuxData2!$C$165*AuxData2!$C$179</f>
        <v>0</v>
      </c>
      <c r="G19" s="88">
        <v>3</v>
      </c>
      <c r="H19" s="343" t="str">
        <f t="shared" si="6"/>
        <v>ELC</v>
      </c>
      <c r="I19" s="81">
        <v>1</v>
      </c>
      <c r="J19" s="6">
        <f t="shared" si="7"/>
        <v>3</v>
      </c>
      <c r="K19" s="38">
        <f t="shared" ca="1" si="8"/>
        <v>0</v>
      </c>
      <c r="L19" s="19">
        <v>1</v>
      </c>
      <c r="M19" s="81">
        <v>0.13</v>
      </c>
      <c r="N19" s="32">
        <v>20</v>
      </c>
      <c r="O19" s="161">
        <f t="shared" ca="1" si="9"/>
        <v>0</v>
      </c>
      <c r="P19" s="104">
        <f t="shared" ca="1" si="10"/>
        <v>0</v>
      </c>
      <c r="Q19" s="104"/>
      <c r="R19" s="185">
        <f ca="1">O19*0.2</f>
        <v>0</v>
      </c>
      <c r="S19" s="40"/>
      <c r="T19" s="40"/>
      <c r="U19" s="40"/>
      <c r="V19" s="258">
        <f t="shared" ca="1" si="11"/>
        <v>0</v>
      </c>
      <c r="X19" s="430">
        <f ca="1">IF(B18="*",MATCH(LEFT(B19,3),OFFSET(CalibData2!$C$78,1,0,100),0),X18)</f>
        <v>43</v>
      </c>
      <c r="Y19" s="363">
        <f t="array" aca="1" ref="Y19:Y20" ca="1">OFFSET(TechShar,$X19,Y$3,2)</f>
        <v>0.56510000000000005</v>
      </c>
      <c r="Z19" s="363">
        <f t="array" aca="1" ref="Z19:Z20" ca="1">OFFSET(TechShar,$X19,Z$3,2)</f>
        <v>0.54410000000000003</v>
      </c>
    </row>
    <row r="20" spans="2:26" ht="14.25" customHeight="1">
      <c r="B20" s="265" t="s">
        <v>258</v>
      </c>
      <c r="C20" s="402" t="s">
        <v>499</v>
      </c>
      <c r="D20" s="82" t="str">
        <f ca="1">IF(UPPER(IEAData2!$J$1)="Y", IEAData2!$H$112,IEAData2!$H$106)</f>
        <v>COMELC</v>
      </c>
      <c r="E20" s="64">
        <f ca="1">Y20*IEAData2!$C$165*IEAData2!$C$179</f>
        <v>0</v>
      </c>
      <c r="F20" s="64">
        <f ca="1">Z20*AuxData2!$C$165*AuxData2!$C$179</f>
        <v>0</v>
      </c>
      <c r="G20" s="88">
        <v>3</v>
      </c>
      <c r="H20" s="343" t="str">
        <f t="shared" si="6"/>
        <v>ELC</v>
      </c>
      <c r="I20" s="81">
        <v>1</v>
      </c>
      <c r="J20" s="6">
        <f t="shared" si="7"/>
        <v>3</v>
      </c>
      <c r="K20" s="38">
        <f t="shared" ca="1" si="8"/>
        <v>0</v>
      </c>
      <c r="L20" s="19">
        <v>1</v>
      </c>
      <c r="M20" s="81">
        <v>0.13</v>
      </c>
      <c r="N20" s="32">
        <v>15</v>
      </c>
      <c r="O20" s="161">
        <f t="shared" ca="1" si="9"/>
        <v>0</v>
      </c>
      <c r="P20" s="104">
        <f t="shared" ca="1" si="10"/>
        <v>0</v>
      </c>
      <c r="Q20" s="104"/>
      <c r="R20" s="185">
        <f ca="1">O20*0.2</f>
        <v>0</v>
      </c>
      <c r="S20" s="40"/>
      <c r="T20" s="40"/>
      <c r="U20" s="18"/>
      <c r="V20" s="258">
        <f t="shared" ca="1" si="11"/>
        <v>0</v>
      </c>
      <c r="X20" s="430">
        <f ca="1">IF(B19="*",MATCH(LEFT(B20,3),OFFSET(CalibData2!$C$78,1,0,100),0),X19)</f>
        <v>43</v>
      </c>
      <c r="Y20" s="363">
        <f ca="1"/>
        <v>3.3999999999999998E-3</v>
      </c>
      <c r="Z20" s="363">
        <f ca="1"/>
        <v>3.3E-3</v>
      </c>
    </row>
    <row r="21" spans="2:26" ht="14.25" customHeight="1" thickBot="1">
      <c r="B21" s="266" t="s">
        <v>119</v>
      </c>
      <c r="C21" s="403" t="s">
        <v>500</v>
      </c>
      <c r="D21" s="96" t="str">
        <f ca="1">IF(UPPER(IEAData2!$J$1)="Y", IEAData2!$H$112,IEAData2!$H$106)</f>
        <v>COMELC</v>
      </c>
      <c r="E21" s="34">
        <f ca="1">Y21*IEAData2!$C$165*IEAData2!$C$179</f>
        <v>0</v>
      </c>
      <c r="F21" s="34">
        <f ca="1">Z21*AuxData2!$C$165*AuxData2!$C$179</f>
        <v>0</v>
      </c>
      <c r="G21" s="54">
        <v>3</v>
      </c>
      <c r="H21" s="343" t="str">
        <f t="shared" si="6"/>
        <v>ELC</v>
      </c>
      <c r="I21" s="81">
        <v>1</v>
      </c>
      <c r="J21" s="6">
        <f t="shared" si="7"/>
        <v>3</v>
      </c>
      <c r="K21" s="38">
        <f t="shared" ca="1" si="8"/>
        <v>0</v>
      </c>
      <c r="L21" s="73">
        <v>1</v>
      </c>
      <c r="M21" s="20">
        <v>0.13</v>
      </c>
      <c r="N21" s="72">
        <v>20</v>
      </c>
      <c r="O21" s="162">
        <f t="shared" ca="1" si="9"/>
        <v>0</v>
      </c>
      <c r="P21" s="104">
        <f t="shared" ca="1" si="10"/>
        <v>0</v>
      </c>
      <c r="Q21" s="117"/>
      <c r="R21" s="352">
        <f ca="1">O21*0.2</f>
        <v>0</v>
      </c>
      <c r="S21" s="54"/>
      <c r="T21" s="54"/>
      <c r="U21" s="20"/>
      <c r="V21" s="258">
        <f t="shared" ca="1" si="11"/>
        <v>0</v>
      </c>
      <c r="X21" s="430">
        <f ca="1">IF(B20="*",MATCH(LEFT(B21,3),OFFSET(CalibData2!$C$78,1,0,100),0),X20)</f>
        <v>43</v>
      </c>
      <c r="Y21" s="79">
        <f ca="1">1-SUM(Y19:Y20)</f>
        <v>0.43149999999999999</v>
      </c>
      <c r="Z21" s="363">
        <f ca="1">1-SUM(Z19:Z20)</f>
        <v>0.4526</v>
      </c>
    </row>
    <row r="22" spans="2:26" ht="14.25">
      <c r="B22" s="434" t="s">
        <v>999</v>
      </c>
      <c r="C22" s="435" t="s">
        <v>1001</v>
      </c>
      <c r="D22" s="190"/>
      <c r="E22" s="191">
        <f ca="1">SUM(E15:E21)</f>
        <v>0</v>
      </c>
      <c r="F22" s="191">
        <f ca="1">SUM(F15:F21)</f>
        <v>0</v>
      </c>
      <c r="G22" s="191"/>
      <c r="H22" s="191">
        <f ca="1">SUMPRODUCT(E$15:E21,J$15:J21)</f>
        <v>0</v>
      </c>
      <c r="I22" s="190"/>
      <c r="J22" s="193"/>
      <c r="K22" s="191">
        <f ca="1">SUM(K15:K21)</f>
        <v>0</v>
      </c>
      <c r="L22" s="190"/>
      <c r="M22" s="190"/>
      <c r="N22" s="191"/>
      <c r="O22" s="192">
        <f ca="1">SUM(O15:O21)</f>
        <v>0</v>
      </c>
      <c r="P22" s="190"/>
      <c r="Q22" s="190"/>
      <c r="R22" s="192"/>
      <c r="S22" s="190"/>
      <c r="T22" s="190"/>
      <c r="U22" s="190"/>
      <c r="V22" s="258">
        <f ca="1">SUM(V15:V21)</f>
        <v>0</v>
      </c>
      <c r="X22" s="190"/>
      <c r="Y22" s="190"/>
      <c r="Z22" s="190"/>
    </row>
    <row r="23" spans="2:26">
      <c r="B23" s="123"/>
      <c r="C23" s="55"/>
      <c r="D23" s="55"/>
      <c r="E23" s="57"/>
      <c r="G23" s="57"/>
      <c r="H23" s="57"/>
      <c r="I23" s="55"/>
      <c r="J23" s="254"/>
      <c r="K23" s="57"/>
      <c r="L23" s="55"/>
      <c r="M23" s="55"/>
      <c r="N23" s="57"/>
      <c r="O23" s="161"/>
      <c r="P23" s="55"/>
      <c r="Q23" s="55"/>
      <c r="R23" s="161"/>
      <c r="S23" s="55"/>
      <c r="T23" s="55"/>
      <c r="U23" s="55"/>
    </row>
    <row r="24" spans="2:26">
      <c r="B24" s="123"/>
      <c r="C24" s="55"/>
      <c r="D24" s="256"/>
      <c r="E24" s="57"/>
      <c r="F24" s="57"/>
      <c r="G24" s="57"/>
      <c r="H24" s="55"/>
      <c r="I24" s="254"/>
      <c r="J24" s="57"/>
      <c r="K24" s="255"/>
      <c r="L24" s="55"/>
      <c r="M24" s="55"/>
      <c r="N24" s="57"/>
      <c r="O24" s="161"/>
      <c r="P24" s="55"/>
      <c r="Q24" s="55"/>
      <c r="R24" s="161"/>
      <c r="S24" s="55"/>
      <c r="T24" s="55"/>
      <c r="U24" s="55"/>
    </row>
    <row r="26" spans="2:26">
      <c r="B26" s="55"/>
    </row>
    <row r="27" spans="2:26">
      <c r="B27" s="55"/>
    </row>
    <row r="28" spans="2:26" ht="18">
      <c r="B28" s="155" t="s">
        <v>592</v>
      </c>
      <c r="C28" s="156"/>
      <c r="D28" s="252"/>
    </row>
    <row r="29" spans="2:26" ht="13.5" thickBot="1">
      <c r="B29" s="27" t="s">
        <v>384</v>
      </c>
      <c r="C29" s="27" t="s">
        <v>385</v>
      </c>
      <c r="D29" s="27" t="s">
        <v>243</v>
      </c>
      <c r="E29" s="344" t="s">
        <v>942</v>
      </c>
      <c r="F29" s="344" t="s">
        <v>942</v>
      </c>
      <c r="G29" s="27"/>
    </row>
    <row r="30" spans="2:26">
      <c r="B30" s="58" t="s">
        <v>240</v>
      </c>
      <c r="C30" s="28" t="str">
        <f ca="1">CONCATENATE("Commercial Cooling - ",IEAData2!B49)</f>
        <v>Commercial Cooling - Region1</v>
      </c>
      <c r="D30" s="80" t="s">
        <v>249</v>
      </c>
      <c r="E30" s="63">
        <f ca="1">H14</f>
        <v>2.4692809319050495</v>
      </c>
      <c r="F30" s="63">
        <f ca="1">SUMPRODUCT(F7:F13,J7:J13)</f>
        <v>2.3914301033147254</v>
      </c>
      <c r="G30" s="18"/>
    </row>
    <row r="31" spans="2:26">
      <c r="B31" s="58" t="s">
        <v>241</v>
      </c>
      <c r="C31" s="28" t="str">
        <f ca="1">CONCATENATE("Commercial Cooling - ",IEAData2!C49)</f>
        <v>Commercial Cooling - Region2</v>
      </c>
      <c r="D31" s="80" t="s">
        <v>249</v>
      </c>
      <c r="E31" s="63">
        <f ca="1">H22</f>
        <v>0</v>
      </c>
      <c r="F31" s="63">
        <f ca="1">SUMPRODUCT(F15:F21,J15:J21)</f>
        <v>0</v>
      </c>
      <c r="G31" s="18"/>
    </row>
    <row r="32" spans="2:26">
      <c r="B32" s="55"/>
    </row>
    <row r="33" spans="2:32">
      <c r="B33" s="55"/>
    </row>
    <row r="34" spans="2:32">
      <c r="B34" s="55"/>
    </row>
    <row r="35" spans="2:32">
      <c r="B35" s="55"/>
    </row>
    <row r="36" spans="2:32">
      <c r="B36" s="55"/>
    </row>
    <row r="37" spans="2:32">
      <c r="B37" s="55"/>
    </row>
    <row r="38" spans="2:32">
      <c r="B38" s="55"/>
      <c r="C38" s="120"/>
      <c r="D38" s="123"/>
      <c r="E38" s="123"/>
      <c r="F38" s="123"/>
      <c r="G38" s="123"/>
      <c r="H38" s="128"/>
      <c r="I38" s="123"/>
      <c r="J38" s="123"/>
      <c r="K38" s="123"/>
      <c r="L38" s="123"/>
      <c r="M38" s="123"/>
      <c r="N38" s="123"/>
      <c r="O38" s="123"/>
      <c r="P38" s="128"/>
      <c r="Q38" s="128"/>
      <c r="R38" s="179"/>
      <c r="S38" s="179"/>
      <c r="T38" s="123"/>
      <c r="U38" s="123"/>
      <c r="V38" s="123"/>
      <c r="W38" s="123"/>
      <c r="X38" s="123"/>
      <c r="Y38" s="123"/>
      <c r="Z38" s="123"/>
      <c r="AA38" s="55"/>
      <c r="AB38" s="55"/>
      <c r="AC38" s="55"/>
      <c r="AD38" s="55"/>
      <c r="AE38" s="55"/>
      <c r="AF38" s="55"/>
    </row>
    <row r="39" spans="2:32">
      <c r="B39" s="55"/>
      <c r="C39" s="120"/>
      <c r="D39" s="120"/>
      <c r="E39" s="123"/>
      <c r="F39" s="123"/>
      <c r="G39" s="123"/>
      <c r="H39" s="128"/>
      <c r="I39" s="123"/>
      <c r="J39" s="123"/>
      <c r="K39" s="123"/>
      <c r="L39" s="123"/>
      <c r="M39" s="123"/>
      <c r="N39" s="123"/>
      <c r="O39" s="123"/>
      <c r="P39" s="128"/>
      <c r="Q39" s="128"/>
      <c r="R39" s="123"/>
      <c r="S39" s="123"/>
      <c r="T39" s="123"/>
      <c r="U39" s="123"/>
      <c r="V39" s="123"/>
      <c r="W39" s="123"/>
      <c r="X39" s="123"/>
      <c r="Y39" s="123"/>
      <c r="Z39" s="123"/>
      <c r="AA39" s="55"/>
      <c r="AB39" s="55"/>
      <c r="AC39" s="55"/>
      <c r="AD39" s="55"/>
      <c r="AE39" s="55"/>
      <c r="AF39" s="55"/>
    </row>
    <row r="40" spans="2:32">
      <c r="B40" s="55"/>
      <c r="C40" s="120"/>
      <c r="D40" s="120"/>
      <c r="E40" s="123"/>
      <c r="F40" s="123"/>
      <c r="G40" s="123"/>
      <c r="H40" s="128"/>
      <c r="I40" s="123"/>
      <c r="J40" s="123"/>
      <c r="K40" s="123"/>
      <c r="L40" s="123"/>
      <c r="M40" s="123"/>
      <c r="N40" s="123"/>
      <c r="O40" s="123"/>
      <c r="P40" s="128"/>
      <c r="Q40" s="128"/>
      <c r="R40" s="123"/>
      <c r="S40" s="123"/>
      <c r="T40" s="123"/>
      <c r="U40" s="123"/>
      <c r="V40" s="123"/>
      <c r="W40" s="123"/>
      <c r="X40" s="123"/>
      <c r="Y40" s="123"/>
      <c r="Z40" s="123"/>
      <c r="AA40" s="55"/>
      <c r="AB40" s="55"/>
      <c r="AC40" s="55"/>
      <c r="AD40" s="55"/>
      <c r="AE40" s="55"/>
      <c r="AF40" s="55"/>
    </row>
    <row r="41" spans="2:32">
      <c r="B41" s="55"/>
      <c r="C41" s="120"/>
      <c r="D41" s="120"/>
      <c r="E41" s="123"/>
      <c r="F41" s="123"/>
      <c r="G41" s="123"/>
      <c r="H41" s="128"/>
      <c r="I41" s="123"/>
      <c r="J41" s="123"/>
      <c r="K41" s="123"/>
      <c r="L41" s="123"/>
      <c r="M41" s="123"/>
      <c r="N41" s="123"/>
      <c r="O41" s="123"/>
      <c r="P41" s="128"/>
      <c r="Q41" s="128"/>
      <c r="R41" s="123"/>
      <c r="S41" s="123"/>
      <c r="T41" s="123"/>
      <c r="U41" s="123"/>
      <c r="V41" s="123"/>
      <c r="W41" s="123"/>
      <c r="X41" s="123"/>
      <c r="Y41" s="123"/>
      <c r="Z41" s="123"/>
      <c r="AA41" s="55"/>
      <c r="AB41" s="55"/>
      <c r="AC41" s="55"/>
      <c r="AD41" s="55"/>
      <c r="AE41" s="55"/>
      <c r="AF41" s="55"/>
    </row>
    <row r="42" spans="2:32">
      <c r="B42" s="55"/>
      <c r="C42" s="120"/>
      <c r="D42" s="120"/>
      <c r="E42" s="123"/>
      <c r="F42" s="123"/>
      <c r="G42" s="123"/>
      <c r="H42" s="128"/>
      <c r="I42" s="123"/>
      <c r="J42" s="123"/>
      <c r="K42" s="123"/>
      <c r="L42" s="123"/>
      <c r="M42" s="123"/>
      <c r="N42" s="123"/>
      <c r="O42" s="123"/>
      <c r="P42" s="128"/>
      <c r="Q42" s="128"/>
      <c r="R42" s="123"/>
      <c r="S42" s="123"/>
      <c r="T42" s="123"/>
      <c r="U42" s="123"/>
      <c r="V42" s="123"/>
      <c r="W42" s="123"/>
      <c r="X42" s="123"/>
      <c r="Y42" s="123"/>
      <c r="Z42" s="123"/>
      <c r="AA42" s="55"/>
      <c r="AB42" s="55"/>
      <c r="AC42" s="55"/>
      <c r="AD42" s="55"/>
      <c r="AE42" s="55"/>
      <c r="AF42" s="55"/>
    </row>
    <row r="43" spans="2:32">
      <c r="B43" s="55"/>
      <c r="C43" s="120"/>
      <c r="D43" s="120"/>
      <c r="E43" s="123"/>
      <c r="F43" s="123"/>
      <c r="G43" s="123"/>
      <c r="H43" s="128"/>
      <c r="I43" s="123"/>
      <c r="J43" s="123"/>
      <c r="K43" s="123"/>
      <c r="L43" s="123"/>
      <c r="M43" s="123"/>
      <c r="N43" s="123"/>
      <c r="O43" s="123"/>
      <c r="P43" s="128"/>
      <c r="Q43" s="128"/>
      <c r="R43" s="123"/>
      <c r="S43" s="123"/>
      <c r="T43" s="123"/>
      <c r="U43" s="123"/>
      <c r="V43" s="123"/>
      <c r="W43" s="123"/>
      <c r="X43" s="123"/>
      <c r="Y43" s="123"/>
      <c r="Z43" s="123"/>
      <c r="AA43" s="55"/>
      <c r="AB43" s="55"/>
      <c r="AC43" s="55"/>
      <c r="AD43" s="55"/>
      <c r="AE43" s="55"/>
      <c r="AF43" s="55"/>
    </row>
    <row r="44" spans="2:32">
      <c r="B44" s="55"/>
      <c r="C44" s="120"/>
      <c r="D44" s="120"/>
      <c r="E44" s="123"/>
      <c r="F44" s="123"/>
      <c r="G44" s="123"/>
      <c r="H44" s="128"/>
      <c r="I44" s="123"/>
      <c r="J44" s="123"/>
      <c r="K44" s="123"/>
      <c r="L44" s="123"/>
      <c r="M44" s="123"/>
      <c r="N44" s="123"/>
      <c r="O44" s="123"/>
      <c r="P44" s="128"/>
      <c r="Q44" s="128"/>
      <c r="R44" s="179"/>
      <c r="S44" s="178"/>
      <c r="T44" s="123"/>
      <c r="U44" s="123"/>
      <c r="V44" s="123"/>
      <c r="W44" s="123"/>
      <c r="X44" s="123"/>
      <c r="Y44" s="123"/>
      <c r="Z44" s="123"/>
      <c r="AA44" s="55"/>
      <c r="AB44" s="55"/>
      <c r="AC44" s="55"/>
      <c r="AD44" s="55"/>
      <c r="AE44" s="55"/>
      <c r="AF44" s="55"/>
    </row>
    <row r="45" spans="2:32">
      <c r="B45" s="55"/>
      <c r="C45" s="120"/>
      <c r="D45" s="120"/>
      <c r="E45" s="123"/>
      <c r="F45" s="123"/>
      <c r="G45" s="123"/>
      <c r="H45" s="128"/>
      <c r="I45" s="123"/>
      <c r="J45" s="123"/>
      <c r="K45" s="123"/>
      <c r="L45" s="123"/>
      <c r="M45" s="123"/>
      <c r="N45" s="123"/>
      <c r="O45" s="123"/>
      <c r="P45" s="128"/>
      <c r="Q45" s="128"/>
      <c r="R45" s="179"/>
      <c r="S45" s="178"/>
      <c r="T45" s="123"/>
      <c r="U45" s="123"/>
      <c r="V45" s="123"/>
      <c r="W45" s="123"/>
      <c r="X45" s="123"/>
      <c r="Y45" s="123"/>
      <c r="Z45" s="123"/>
      <c r="AA45" s="55"/>
      <c r="AB45" s="55"/>
      <c r="AC45" s="55"/>
      <c r="AD45" s="55"/>
      <c r="AE45" s="55"/>
      <c r="AF45" s="55"/>
    </row>
    <row r="46" spans="2:32">
      <c r="B46" s="55"/>
      <c r="C46" s="120"/>
      <c r="D46" s="120"/>
      <c r="E46" s="123"/>
      <c r="F46" s="123"/>
      <c r="G46" s="123"/>
      <c r="H46" s="128"/>
      <c r="I46" s="123"/>
      <c r="J46" s="123"/>
      <c r="K46" s="123"/>
      <c r="L46" s="123"/>
      <c r="M46" s="123"/>
      <c r="N46" s="123"/>
      <c r="O46" s="123"/>
      <c r="P46" s="128"/>
      <c r="Q46" s="128"/>
      <c r="R46" s="179"/>
      <c r="S46" s="179"/>
      <c r="T46" s="123"/>
      <c r="U46" s="123"/>
      <c r="V46" s="123"/>
      <c r="W46" s="123"/>
      <c r="X46" s="123"/>
      <c r="Y46" s="123"/>
      <c r="Z46" s="123"/>
      <c r="AA46" s="55"/>
      <c r="AB46" s="55"/>
      <c r="AC46" s="55"/>
      <c r="AD46" s="55"/>
      <c r="AE46" s="55"/>
      <c r="AF46" s="55"/>
    </row>
    <row r="47" spans="2:32">
      <c r="B47" s="55"/>
      <c r="C47" s="120"/>
      <c r="D47" s="120"/>
      <c r="E47" s="123"/>
      <c r="F47" s="123"/>
      <c r="G47" s="123"/>
      <c r="H47" s="128"/>
      <c r="I47" s="123"/>
      <c r="J47" s="123"/>
      <c r="K47" s="123"/>
      <c r="L47" s="123"/>
      <c r="M47" s="123"/>
      <c r="N47" s="123"/>
      <c r="O47" s="123"/>
      <c r="P47" s="128"/>
      <c r="Q47" s="128"/>
      <c r="R47" s="179"/>
      <c r="S47" s="179"/>
      <c r="T47" s="123"/>
      <c r="U47" s="123"/>
      <c r="V47" s="123"/>
      <c r="W47" s="123"/>
      <c r="X47" s="123"/>
      <c r="Y47" s="123"/>
      <c r="Z47" s="123"/>
      <c r="AA47" s="55"/>
      <c r="AB47" s="55"/>
      <c r="AC47" s="55"/>
      <c r="AD47" s="55"/>
      <c r="AE47" s="55"/>
      <c r="AF47" s="55"/>
    </row>
    <row r="48" spans="2:32">
      <c r="B48" s="55"/>
      <c r="C48" s="120"/>
      <c r="D48" s="120"/>
      <c r="E48" s="123"/>
      <c r="F48" s="123"/>
      <c r="G48" s="123"/>
      <c r="H48" s="128"/>
      <c r="I48" s="123"/>
      <c r="J48" s="123"/>
      <c r="K48" s="123"/>
      <c r="L48" s="123"/>
      <c r="M48" s="123"/>
      <c r="N48" s="123"/>
      <c r="O48" s="123"/>
      <c r="P48" s="128"/>
      <c r="Q48" s="128"/>
      <c r="R48" s="179"/>
      <c r="S48" s="179"/>
      <c r="T48" s="123"/>
      <c r="U48" s="123"/>
      <c r="V48" s="123"/>
      <c r="W48" s="123"/>
      <c r="X48" s="123"/>
      <c r="Y48" s="123"/>
      <c r="Z48" s="123"/>
      <c r="AA48" s="55"/>
      <c r="AB48" s="55"/>
      <c r="AC48" s="55"/>
      <c r="AD48" s="55"/>
      <c r="AE48" s="55"/>
      <c r="AF48" s="55"/>
    </row>
    <row r="49" spans="2:32">
      <c r="B49" s="55"/>
      <c r="C49" s="120"/>
      <c r="D49" s="120"/>
      <c r="E49" s="123"/>
      <c r="F49" s="123"/>
      <c r="G49" s="123"/>
      <c r="H49" s="128"/>
      <c r="I49" s="123"/>
      <c r="J49" s="123"/>
      <c r="K49" s="123"/>
      <c r="L49" s="123"/>
      <c r="M49" s="123"/>
      <c r="N49" s="123"/>
      <c r="O49" s="123"/>
      <c r="P49" s="128"/>
      <c r="Q49" s="128"/>
      <c r="R49" s="179"/>
      <c r="S49" s="179"/>
      <c r="T49" s="123"/>
      <c r="U49" s="123"/>
      <c r="V49" s="123"/>
      <c r="W49" s="123"/>
      <c r="X49" s="123"/>
      <c r="Y49" s="123"/>
      <c r="Z49" s="123"/>
      <c r="AA49" s="55"/>
      <c r="AB49" s="55"/>
      <c r="AC49" s="55"/>
      <c r="AD49" s="55"/>
      <c r="AE49" s="55"/>
      <c r="AF49" s="55"/>
    </row>
    <row r="50" spans="2:32">
      <c r="B50" s="55"/>
      <c r="C50" s="120"/>
      <c r="D50" s="120"/>
      <c r="E50" s="123"/>
      <c r="F50" s="123"/>
      <c r="G50" s="123"/>
      <c r="H50" s="128"/>
      <c r="I50" s="123"/>
      <c r="J50" s="123"/>
      <c r="K50" s="123"/>
      <c r="L50" s="123"/>
      <c r="M50" s="123"/>
      <c r="N50" s="123"/>
      <c r="O50" s="123"/>
      <c r="P50" s="128"/>
      <c r="Q50" s="128"/>
      <c r="R50" s="179"/>
      <c r="S50" s="179"/>
      <c r="T50" s="123"/>
      <c r="U50" s="123"/>
      <c r="V50" s="123"/>
      <c r="W50" s="123"/>
      <c r="X50" s="123"/>
      <c r="Y50" s="123"/>
      <c r="Z50" s="123"/>
      <c r="AA50" s="55"/>
      <c r="AB50" s="55"/>
      <c r="AC50" s="55"/>
      <c r="AD50" s="55"/>
      <c r="AE50" s="55"/>
      <c r="AF50" s="55"/>
    </row>
    <row r="51" spans="2:32">
      <c r="B51" s="55"/>
      <c r="C51" s="120"/>
      <c r="D51" s="120"/>
      <c r="E51" s="123"/>
      <c r="F51" s="123"/>
      <c r="G51" s="123"/>
      <c r="H51" s="128"/>
      <c r="I51" s="123"/>
      <c r="J51" s="123"/>
      <c r="K51" s="123"/>
      <c r="L51" s="123"/>
      <c r="M51" s="123"/>
      <c r="N51" s="123"/>
      <c r="O51" s="123"/>
      <c r="P51" s="128"/>
      <c r="Q51" s="128"/>
      <c r="R51" s="179"/>
      <c r="S51" s="179"/>
      <c r="T51" s="123"/>
      <c r="U51" s="123"/>
      <c r="V51" s="123"/>
      <c r="W51" s="123"/>
      <c r="X51" s="123"/>
      <c r="Y51" s="123"/>
      <c r="Z51" s="123"/>
      <c r="AA51" s="55"/>
      <c r="AB51" s="55"/>
      <c r="AC51" s="55"/>
      <c r="AD51" s="55"/>
      <c r="AE51" s="55"/>
      <c r="AF51" s="55"/>
    </row>
    <row r="52" spans="2:32">
      <c r="B52" s="55"/>
      <c r="C52" s="120"/>
      <c r="D52" s="120"/>
      <c r="E52" s="123"/>
      <c r="F52" s="123"/>
      <c r="G52" s="123"/>
      <c r="H52" s="128"/>
      <c r="I52" s="123"/>
      <c r="J52" s="123"/>
      <c r="K52" s="123"/>
      <c r="L52" s="123"/>
      <c r="M52" s="123"/>
      <c r="N52" s="123"/>
      <c r="O52" s="123"/>
      <c r="P52" s="128"/>
      <c r="Q52" s="128"/>
      <c r="R52" s="179"/>
      <c r="S52" s="179"/>
      <c r="T52" s="123"/>
      <c r="U52" s="123"/>
      <c r="V52" s="123"/>
      <c r="W52" s="123"/>
      <c r="X52" s="123"/>
      <c r="Y52" s="123"/>
      <c r="Z52" s="123"/>
      <c r="AA52" s="55"/>
      <c r="AB52" s="55"/>
      <c r="AC52" s="55"/>
      <c r="AD52" s="55"/>
      <c r="AE52" s="55"/>
      <c r="AF52" s="55"/>
    </row>
    <row r="53" spans="2:32">
      <c r="B53" s="55"/>
      <c r="C53" s="120"/>
      <c r="D53" s="120"/>
      <c r="E53" s="123"/>
      <c r="F53" s="123"/>
      <c r="G53" s="123"/>
      <c r="H53" s="128"/>
      <c r="I53" s="123"/>
      <c r="J53" s="123"/>
      <c r="K53" s="123"/>
      <c r="L53" s="123"/>
      <c r="M53" s="123"/>
      <c r="N53" s="123"/>
      <c r="O53" s="123"/>
      <c r="P53" s="128"/>
      <c r="Q53" s="128"/>
      <c r="R53" s="179"/>
      <c r="S53" s="179"/>
      <c r="T53" s="123"/>
      <c r="U53" s="123"/>
      <c r="V53" s="123"/>
      <c r="W53" s="123"/>
      <c r="X53" s="123"/>
      <c r="Y53" s="123"/>
      <c r="Z53" s="123"/>
      <c r="AA53" s="55"/>
      <c r="AB53" s="55"/>
      <c r="AC53" s="55"/>
      <c r="AD53" s="55"/>
      <c r="AE53" s="55"/>
      <c r="AF53" s="55"/>
    </row>
    <row r="54" spans="2:32">
      <c r="B54" s="55"/>
      <c r="C54" s="120"/>
      <c r="D54" s="120"/>
      <c r="E54" s="123"/>
      <c r="F54" s="123"/>
      <c r="G54" s="123"/>
      <c r="H54" s="128"/>
      <c r="I54" s="123"/>
      <c r="J54" s="123"/>
      <c r="K54" s="123"/>
      <c r="L54" s="123"/>
      <c r="M54" s="123"/>
      <c r="N54" s="123"/>
      <c r="O54" s="123"/>
      <c r="P54" s="128"/>
      <c r="Q54" s="128"/>
      <c r="R54" s="179"/>
      <c r="S54" s="179"/>
      <c r="T54" s="123"/>
      <c r="U54" s="123"/>
      <c r="V54" s="123"/>
      <c r="W54" s="123"/>
      <c r="X54" s="123"/>
      <c r="Y54" s="123"/>
      <c r="Z54" s="123"/>
      <c r="AA54" s="55"/>
      <c r="AB54" s="55"/>
      <c r="AC54" s="55"/>
      <c r="AD54" s="55"/>
      <c r="AE54" s="55"/>
      <c r="AF54" s="55"/>
    </row>
    <row r="55" spans="2:32">
      <c r="B55" s="55"/>
      <c r="C55" s="120"/>
      <c r="D55" s="120"/>
      <c r="E55" s="123"/>
      <c r="F55" s="123"/>
      <c r="G55" s="123"/>
      <c r="H55" s="128"/>
      <c r="I55" s="123"/>
      <c r="J55" s="123"/>
      <c r="K55" s="123"/>
      <c r="L55" s="123"/>
      <c r="M55" s="123"/>
      <c r="N55" s="123"/>
      <c r="O55" s="123"/>
      <c r="P55" s="128"/>
      <c r="Q55" s="128"/>
      <c r="R55" s="179"/>
      <c r="S55" s="179"/>
      <c r="T55" s="123"/>
      <c r="U55" s="123"/>
      <c r="V55" s="123"/>
      <c r="W55" s="123"/>
      <c r="X55" s="123"/>
      <c r="Y55" s="123"/>
      <c r="Z55" s="123"/>
      <c r="AA55" s="55"/>
      <c r="AB55" s="55"/>
      <c r="AC55" s="55"/>
      <c r="AD55" s="55"/>
      <c r="AE55" s="55"/>
      <c r="AF55" s="55"/>
    </row>
    <row r="56" spans="2:32">
      <c r="B56" s="55"/>
      <c r="C56" s="120"/>
      <c r="D56" s="120"/>
      <c r="E56" s="123"/>
      <c r="F56" s="123"/>
      <c r="G56" s="123"/>
      <c r="H56" s="128"/>
      <c r="I56" s="123"/>
      <c r="J56" s="123"/>
      <c r="K56" s="123"/>
      <c r="L56" s="123"/>
      <c r="M56" s="123"/>
      <c r="N56" s="123"/>
      <c r="O56" s="123"/>
      <c r="P56" s="128"/>
      <c r="Q56" s="128"/>
      <c r="R56" s="179"/>
      <c r="S56" s="179"/>
      <c r="T56" s="123"/>
      <c r="U56" s="123"/>
      <c r="V56" s="123"/>
      <c r="W56" s="123"/>
      <c r="X56" s="123"/>
      <c r="Y56" s="123"/>
      <c r="Z56" s="123"/>
      <c r="AA56" s="55"/>
      <c r="AB56" s="55"/>
      <c r="AC56" s="55"/>
      <c r="AD56" s="55"/>
      <c r="AE56" s="55"/>
      <c r="AF56" s="55"/>
    </row>
    <row r="57" spans="2:32">
      <c r="B57" s="55"/>
      <c r="C57" s="120"/>
      <c r="D57" s="120"/>
      <c r="E57" s="123"/>
      <c r="F57" s="123"/>
      <c r="G57" s="123"/>
      <c r="H57" s="128"/>
      <c r="I57" s="123"/>
      <c r="J57" s="123"/>
      <c r="K57" s="123"/>
      <c r="L57" s="123"/>
      <c r="M57" s="123"/>
      <c r="N57" s="123"/>
      <c r="O57" s="123"/>
      <c r="P57" s="128"/>
      <c r="Q57" s="128"/>
      <c r="R57" s="179"/>
      <c r="S57" s="179"/>
      <c r="T57" s="123"/>
      <c r="U57" s="123"/>
      <c r="V57" s="123"/>
      <c r="W57" s="123"/>
      <c r="X57" s="123"/>
      <c r="Y57" s="123"/>
      <c r="Z57" s="123"/>
      <c r="AA57" s="55"/>
      <c r="AB57" s="55"/>
      <c r="AC57" s="55"/>
      <c r="AD57" s="55"/>
      <c r="AE57" s="55"/>
      <c r="AF57" s="55"/>
    </row>
    <row r="58" spans="2:32">
      <c r="B58" s="55"/>
      <c r="C58" s="120"/>
      <c r="D58" s="120"/>
      <c r="E58" s="123"/>
      <c r="F58" s="123"/>
      <c r="G58" s="123"/>
      <c r="H58" s="128"/>
      <c r="I58" s="123"/>
      <c r="J58" s="123"/>
      <c r="K58" s="123"/>
      <c r="L58" s="123"/>
      <c r="M58" s="123"/>
      <c r="N58" s="123"/>
      <c r="O58" s="123"/>
      <c r="P58" s="128"/>
      <c r="Q58" s="128"/>
      <c r="R58" s="179"/>
      <c r="S58" s="179"/>
      <c r="T58" s="123"/>
      <c r="U58" s="123"/>
      <c r="V58" s="123"/>
      <c r="W58" s="123"/>
      <c r="X58" s="123"/>
      <c r="Y58" s="123"/>
      <c r="Z58" s="123"/>
      <c r="AA58" s="55"/>
      <c r="AB58" s="55"/>
      <c r="AC58" s="55"/>
      <c r="AD58" s="55"/>
      <c r="AE58" s="55"/>
      <c r="AF58" s="55"/>
    </row>
    <row r="59" spans="2:32">
      <c r="B59" s="55"/>
      <c r="C59" s="120"/>
      <c r="D59" s="120"/>
      <c r="E59" s="123"/>
      <c r="F59" s="123"/>
      <c r="G59" s="123"/>
      <c r="H59" s="128"/>
      <c r="I59" s="123"/>
      <c r="J59" s="120"/>
      <c r="K59" s="120"/>
      <c r="L59" s="120"/>
      <c r="M59" s="120"/>
      <c r="N59" s="120"/>
      <c r="O59" s="123"/>
      <c r="P59" s="128"/>
      <c r="Q59" s="128"/>
      <c r="R59" s="179"/>
      <c r="S59" s="179"/>
      <c r="T59" s="123"/>
      <c r="U59" s="123"/>
      <c r="V59" s="123"/>
      <c r="W59" s="123"/>
      <c r="X59" s="123"/>
      <c r="Y59" s="123"/>
      <c r="Z59" s="123"/>
      <c r="AA59" s="55"/>
      <c r="AB59" s="55"/>
      <c r="AC59" s="55"/>
      <c r="AD59" s="55"/>
      <c r="AE59" s="55"/>
      <c r="AF59" s="55"/>
    </row>
    <row r="60" spans="2:32">
      <c r="B60" s="55"/>
      <c r="C60" s="120"/>
      <c r="D60" s="120"/>
      <c r="E60" s="123"/>
      <c r="F60" s="123"/>
      <c r="G60" s="123"/>
      <c r="H60" s="128"/>
      <c r="I60" s="123"/>
      <c r="J60" s="120"/>
      <c r="K60" s="120"/>
      <c r="L60" s="120"/>
      <c r="M60" s="120"/>
      <c r="N60" s="120"/>
      <c r="O60" s="123"/>
      <c r="P60" s="128"/>
      <c r="Q60" s="128"/>
      <c r="R60" s="179"/>
      <c r="S60" s="179"/>
      <c r="T60" s="123"/>
      <c r="U60" s="123"/>
      <c r="V60" s="123"/>
      <c r="W60" s="123"/>
      <c r="X60" s="123"/>
      <c r="Y60" s="123"/>
      <c r="Z60" s="123"/>
      <c r="AA60" s="55"/>
      <c r="AB60" s="55"/>
      <c r="AC60" s="55"/>
      <c r="AD60" s="55"/>
      <c r="AE60" s="55"/>
      <c r="AF60" s="55"/>
    </row>
    <row r="61" spans="2:32">
      <c r="B61" s="55"/>
      <c r="C61" s="120"/>
      <c r="D61" s="120"/>
      <c r="E61" s="123"/>
      <c r="F61" s="123"/>
      <c r="G61" s="123"/>
      <c r="H61" s="123"/>
      <c r="I61" s="123"/>
      <c r="J61" s="120"/>
      <c r="K61" s="120"/>
      <c r="L61" s="120"/>
      <c r="M61" s="120"/>
      <c r="N61" s="120"/>
      <c r="O61" s="123"/>
      <c r="P61" s="123"/>
      <c r="Q61" s="123"/>
      <c r="R61" s="123"/>
      <c r="S61" s="123"/>
      <c r="T61" s="123"/>
      <c r="U61" s="123"/>
      <c r="V61" s="123"/>
      <c r="W61" s="123"/>
      <c r="X61" s="123"/>
      <c r="Y61" s="123"/>
      <c r="Z61" s="123"/>
      <c r="AA61" s="55"/>
      <c r="AB61" s="55"/>
      <c r="AC61" s="55"/>
      <c r="AD61" s="55"/>
      <c r="AE61" s="55"/>
      <c r="AF61" s="55"/>
    </row>
    <row r="62" spans="2:32">
      <c r="B62" s="55"/>
      <c r="C62" s="120"/>
      <c r="D62" s="120"/>
      <c r="E62" s="123"/>
      <c r="F62" s="123"/>
      <c r="G62" s="123"/>
      <c r="H62" s="128"/>
      <c r="I62" s="123"/>
      <c r="J62" s="123"/>
      <c r="K62" s="123"/>
      <c r="L62" s="123"/>
      <c r="M62" s="123"/>
      <c r="N62" s="123"/>
      <c r="O62" s="123"/>
      <c r="P62" s="128"/>
      <c r="Q62" s="128"/>
      <c r="R62" s="178"/>
      <c r="S62" s="123"/>
      <c r="T62" s="123"/>
      <c r="U62" s="123"/>
      <c r="V62" s="123"/>
      <c r="W62" s="123"/>
      <c r="X62" s="123"/>
      <c r="Y62" s="123"/>
      <c r="Z62" s="123"/>
      <c r="AA62" s="55"/>
      <c r="AB62" s="55"/>
      <c r="AC62" s="55"/>
      <c r="AD62" s="55"/>
      <c r="AE62" s="55"/>
      <c r="AF62" s="55"/>
    </row>
    <row r="63" spans="2:32">
      <c r="B63" s="55"/>
      <c r="C63" s="120"/>
      <c r="D63" s="120"/>
      <c r="E63" s="123"/>
      <c r="F63" s="123"/>
      <c r="G63" s="123"/>
      <c r="H63" s="128"/>
      <c r="I63" s="123"/>
      <c r="J63" s="123"/>
      <c r="K63" s="123"/>
      <c r="L63" s="123"/>
      <c r="M63" s="123"/>
      <c r="N63" s="123"/>
      <c r="O63" s="123"/>
      <c r="P63" s="128"/>
      <c r="Q63" s="128"/>
      <c r="R63" s="178"/>
      <c r="S63" s="123"/>
      <c r="T63" s="123"/>
      <c r="U63" s="123"/>
      <c r="V63" s="123"/>
      <c r="W63" s="123"/>
      <c r="X63" s="123"/>
      <c r="Y63" s="123"/>
      <c r="Z63" s="123"/>
      <c r="AA63" s="55"/>
      <c r="AB63" s="55"/>
      <c r="AC63" s="55"/>
      <c r="AD63" s="55"/>
      <c r="AE63" s="55"/>
      <c r="AF63" s="55"/>
    </row>
    <row r="64" spans="2:32">
      <c r="B64" s="55"/>
      <c r="C64" s="120"/>
      <c r="D64" s="120"/>
      <c r="E64" s="123"/>
      <c r="F64" s="123"/>
      <c r="G64" s="123"/>
      <c r="H64" s="128"/>
      <c r="I64" s="123"/>
      <c r="J64" s="123"/>
      <c r="K64" s="123"/>
      <c r="L64" s="123"/>
      <c r="M64" s="123"/>
      <c r="N64" s="123"/>
      <c r="O64" s="123"/>
      <c r="P64" s="128"/>
      <c r="Q64" s="128"/>
      <c r="R64" s="123"/>
      <c r="S64" s="123"/>
      <c r="T64" s="123"/>
      <c r="U64" s="123"/>
      <c r="V64" s="123"/>
      <c r="W64" s="123"/>
      <c r="X64" s="123"/>
      <c r="Y64" s="123"/>
      <c r="Z64" s="123"/>
      <c r="AA64" s="55"/>
      <c r="AB64" s="55"/>
      <c r="AC64" s="55"/>
      <c r="AD64" s="55"/>
      <c r="AE64" s="55"/>
      <c r="AF64" s="55"/>
    </row>
    <row r="65" spans="2:32">
      <c r="B65" s="55"/>
      <c r="C65" s="120"/>
      <c r="D65" s="120"/>
      <c r="E65" s="123"/>
      <c r="F65" s="123"/>
      <c r="G65" s="123"/>
      <c r="H65" s="128"/>
      <c r="I65" s="123"/>
      <c r="J65" s="123"/>
      <c r="K65" s="123"/>
      <c r="L65" s="123"/>
      <c r="M65" s="123"/>
      <c r="N65" s="123"/>
      <c r="O65" s="123"/>
      <c r="P65" s="128"/>
      <c r="Q65" s="128"/>
      <c r="R65" s="123"/>
      <c r="S65" s="123"/>
      <c r="T65" s="123"/>
      <c r="U65" s="123"/>
      <c r="V65" s="123"/>
      <c r="W65" s="123"/>
      <c r="X65" s="123"/>
      <c r="Y65" s="123"/>
      <c r="Z65" s="123"/>
      <c r="AA65" s="55"/>
      <c r="AB65" s="55"/>
      <c r="AC65" s="55"/>
      <c r="AD65" s="55"/>
      <c r="AE65" s="55"/>
      <c r="AF65" s="55"/>
    </row>
    <row r="66" spans="2:32">
      <c r="B66" s="55"/>
      <c r="C66" s="120"/>
      <c r="D66" s="120"/>
      <c r="E66" s="123"/>
      <c r="F66" s="123"/>
      <c r="G66" s="123"/>
      <c r="H66" s="128"/>
      <c r="I66" s="123"/>
      <c r="J66" s="123"/>
      <c r="K66" s="123"/>
      <c r="L66" s="123"/>
      <c r="M66" s="123"/>
      <c r="N66" s="123"/>
      <c r="O66" s="123"/>
      <c r="P66" s="128"/>
      <c r="Q66" s="128"/>
      <c r="R66" s="123"/>
      <c r="S66" s="123"/>
      <c r="T66" s="123"/>
      <c r="U66" s="123"/>
      <c r="V66" s="123"/>
      <c r="W66" s="123"/>
      <c r="X66" s="123"/>
      <c r="Y66" s="123"/>
      <c r="Z66" s="123"/>
      <c r="AA66" s="55"/>
      <c r="AB66" s="55"/>
      <c r="AC66" s="55"/>
      <c r="AD66" s="55"/>
      <c r="AE66" s="55"/>
      <c r="AF66" s="55"/>
    </row>
    <row r="67" spans="2:32">
      <c r="B67" s="55"/>
      <c r="C67" s="120"/>
      <c r="D67" s="120"/>
      <c r="E67" s="123"/>
      <c r="F67" s="123"/>
      <c r="G67" s="123"/>
      <c r="H67" s="128"/>
      <c r="I67" s="123"/>
      <c r="J67" s="123"/>
      <c r="K67" s="123"/>
      <c r="L67" s="123"/>
      <c r="M67" s="123"/>
      <c r="N67" s="123"/>
      <c r="O67" s="123"/>
      <c r="P67" s="128"/>
      <c r="Q67" s="128"/>
      <c r="R67" s="178"/>
      <c r="S67" s="123"/>
      <c r="T67" s="123"/>
      <c r="U67" s="123"/>
      <c r="V67" s="123"/>
      <c r="W67" s="123"/>
      <c r="X67" s="123"/>
      <c r="Y67" s="123"/>
      <c r="Z67" s="123"/>
      <c r="AA67" s="55"/>
      <c r="AB67" s="55"/>
      <c r="AC67" s="55"/>
      <c r="AD67" s="55"/>
      <c r="AE67" s="55"/>
      <c r="AF67" s="55"/>
    </row>
    <row r="68" spans="2:32">
      <c r="B68" s="55"/>
      <c r="C68" s="120"/>
      <c r="D68" s="120"/>
      <c r="E68" s="123"/>
      <c r="F68" s="123"/>
      <c r="G68" s="123"/>
      <c r="H68" s="128"/>
      <c r="I68" s="123"/>
      <c r="J68" s="123"/>
      <c r="K68" s="123"/>
      <c r="L68" s="123"/>
      <c r="M68" s="123"/>
      <c r="N68" s="123"/>
      <c r="O68" s="123"/>
      <c r="P68" s="128"/>
      <c r="Q68" s="128"/>
      <c r="R68" s="123"/>
      <c r="S68" s="123"/>
      <c r="T68" s="123"/>
      <c r="U68" s="123"/>
      <c r="V68" s="123"/>
      <c r="W68" s="123"/>
      <c r="X68" s="123"/>
      <c r="Y68" s="123"/>
      <c r="Z68" s="123"/>
      <c r="AA68" s="55"/>
      <c r="AB68" s="55"/>
      <c r="AC68" s="55"/>
      <c r="AD68" s="55"/>
      <c r="AE68" s="55"/>
      <c r="AF68" s="55"/>
    </row>
    <row r="69" spans="2:32">
      <c r="B69" s="55"/>
      <c r="C69" s="120"/>
      <c r="D69" s="120"/>
      <c r="E69" s="123"/>
      <c r="F69" s="123"/>
      <c r="G69" s="123"/>
      <c r="H69" s="128"/>
      <c r="I69" s="123"/>
      <c r="J69" s="123"/>
      <c r="K69" s="123"/>
      <c r="L69" s="123"/>
      <c r="M69" s="123"/>
      <c r="N69" s="123"/>
      <c r="O69" s="123"/>
      <c r="P69" s="128"/>
      <c r="Q69" s="128"/>
      <c r="R69" s="123"/>
      <c r="S69" s="123"/>
      <c r="T69" s="123"/>
      <c r="U69" s="123"/>
      <c r="V69" s="123"/>
      <c r="W69" s="123"/>
      <c r="X69" s="123"/>
      <c r="Y69" s="123"/>
      <c r="Z69" s="123"/>
      <c r="AA69" s="55"/>
      <c r="AB69" s="55"/>
      <c r="AC69" s="55"/>
      <c r="AD69" s="55"/>
      <c r="AE69" s="55"/>
      <c r="AF69" s="55"/>
    </row>
    <row r="70" spans="2:32">
      <c r="B70" s="55"/>
      <c r="C70" s="120"/>
      <c r="D70" s="120"/>
      <c r="E70" s="123"/>
      <c r="F70" s="123"/>
      <c r="G70" s="123"/>
      <c r="H70" s="128"/>
      <c r="I70" s="123"/>
      <c r="J70" s="123"/>
      <c r="K70" s="123"/>
      <c r="L70" s="123"/>
      <c r="M70" s="123"/>
      <c r="N70" s="123"/>
      <c r="O70" s="123"/>
      <c r="P70" s="128"/>
      <c r="Q70" s="128"/>
      <c r="R70" s="123"/>
      <c r="S70" s="123"/>
      <c r="T70" s="123"/>
      <c r="U70" s="123"/>
      <c r="V70" s="123"/>
      <c r="W70" s="123"/>
      <c r="X70" s="123"/>
      <c r="Y70" s="123"/>
      <c r="Z70" s="123"/>
      <c r="AA70" s="55"/>
      <c r="AB70" s="55"/>
      <c r="AC70" s="55"/>
      <c r="AD70" s="55"/>
      <c r="AE70" s="55"/>
      <c r="AF70" s="55"/>
    </row>
    <row r="71" spans="2:32">
      <c r="B71" s="55"/>
      <c r="C71" s="120"/>
      <c r="D71" s="120"/>
      <c r="E71" s="123"/>
      <c r="F71" s="123"/>
      <c r="G71" s="123"/>
      <c r="H71" s="128"/>
      <c r="I71" s="123"/>
      <c r="J71" s="123"/>
      <c r="K71" s="123"/>
      <c r="L71" s="123"/>
      <c r="M71" s="123"/>
      <c r="N71" s="123"/>
      <c r="O71" s="123"/>
      <c r="P71" s="128"/>
      <c r="Q71" s="128"/>
      <c r="R71" s="123"/>
      <c r="S71" s="123"/>
      <c r="T71" s="123"/>
      <c r="U71" s="123"/>
      <c r="V71" s="123"/>
      <c r="W71" s="123"/>
      <c r="X71" s="123"/>
      <c r="Y71" s="123"/>
      <c r="Z71" s="123"/>
      <c r="AA71" s="55"/>
      <c r="AB71" s="55"/>
      <c r="AC71" s="55"/>
      <c r="AD71" s="55"/>
      <c r="AE71" s="55"/>
      <c r="AF71" s="55"/>
    </row>
    <row r="72" spans="2:32">
      <c r="B72" s="55"/>
      <c r="C72" s="120"/>
      <c r="D72" s="120"/>
      <c r="E72" s="123"/>
      <c r="F72" s="123"/>
      <c r="G72" s="123"/>
      <c r="H72" s="128"/>
      <c r="I72" s="123"/>
      <c r="J72" s="123"/>
      <c r="K72" s="123"/>
      <c r="L72" s="123"/>
      <c r="M72" s="123"/>
      <c r="N72" s="123"/>
      <c r="O72" s="123"/>
      <c r="P72" s="128"/>
      <c r="Q72" s="128"/>
      <c r="R72" s="123"/>
      <c r="S72" s="123"/>
      <c r="T72" s="123"/>
      <c r="U72" s="123"/>
      <c r="V72" s="123"/>
      <c r="W72" s="123"/>
      <c r="X72" s="123"/>
      <c r="Y72" s="123"/>
      <c r="Z72" s="123"/>
      <c r="AA72" s="55"/>
      <c r="AB72" s="55"/>
      <c r="AC72" s="55"/>
      <c r="AD72" s="55"/>
      <c r="AE72" s="55"/>
      <c r="AF72" s="55"/>
    </row>
    <row r="73" spans="2:32">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row>
    <row r="74" spans="2:32">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45.xml><?xml version="1.0" encoding="utf-8"?>
<worksheet xmlns="http://schemas.openxmlformats.org/spreadsheetml/2006/main" xmlns:r="http://schemas.openxmlformats.org/officeDocument/2006/relationships">
  <sheetPr codeName="Sheet553"/>
  <dimension ref="A1:AF54"/>
  <sheetViews>
    <sheetView zoomScale="75" workbookViewId="0">
      <selection activeCell="H4" sqref="H4"/>
    </sheetView>
  </sheetViews>
  <sheetFormatPr defaultColWidth="11.42578125" defaultRowHeight="12.75"/>
  <cols>
    <col min="1" max="1" width="15.85546875" customWidth="1"/>
    <col min="2" max="2" width="13.5703125" customWidth="1"/>
    <col min="3" max="3" width="25.85546875" customWidth="1"/>
    <col min="4" max="4" width="10.85546875" customWidth="1"/>
    <col min="5" max="6" width="9.7109375" bestFit="1" customWidth="1"/>
  </cols>
  <sheetData>
    <row r="1" spans="1:22" ht="18">
      <c r="A1" s="10" t="s">
        <v>485</v>
      </c>
    </row>
    <row r="2" spans="1:22" ht="18">
      <c r="A2" s="10"/>
      <c r="D2" s="245"/>
    </row>
    <row r="3" spans="1:22" ht="18">
      <c r="A3" s="10"/>
      <c r="B3" s="16"/>
      <c r="C3" s="17"/>
      <c r="D3" s="245"/>
      <c r="O3" s="18">
        <v>1</v>
      </c>
      <c r="P3" t="s">
        <v>666</v>
      </c>
    </row>
    <row r="4" spans="1:22" ht="18">
      <c r="B4" s="131" t="s">
        <v>594</v>
      </c>
      <c r="C4" s="98"/>
      <c r="D4" s="252" t="str">
        <f>"~FI_T: "&amp;Region</f>
        <v>~FI_T: FIM</v>
      </c>
      <c r="E4" s="4" t="s">
        <v>250</v>
      </c>
      <c r="R4" s="4"/>
      <c r="S4" s="4"/>
    </row>
    <row r="5" spans="1:22" ht="39"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row>
    <row r="6" spans="1:22" ht="21" customHeight="1">
      <c r="A6" s="14"/>
      <c r="B6" s="267" t="s">
        <v>486</v>
      </c>
      <c r="C6" s="99" t="s">
        <v>27</v>
      </c>
      <c r="D6" s="99" t="str">
        <f ca="1">IEAData2!$H$99</f>
        <v>COMNGA</v>
      </c>
      <c r="E6" s="33">
        <f ca="1">IEAData2!$F$172</f>
        <v>3.2400000000000005E-2</v>
      </c>
      <c r="F6" s="33">
        <f ca="1">AuxData2!$F$172</f>
        <v>3.2400000000000005E-2</v>
      </c>
      <c r="G6" s="40">
        <v>0.96</v>
      </c>
      <c r="H6" s="343" t="str">
        <f>RIGHT(D6,3)</f>
        <v>NGA</v>
      </c>
      <c r="I6" s="81">
        <v>1</v>
      </c>
      <c r="J6" s="6">
        <f>G6*I6</f>
        <v>0.96</v>
      </c>
      <c r="K6" s="38">
        <f ca="1">F6*J6</f>
        <v>3.1104000000000003E-2</v>
      </c>
      <c r="L6" s="19">
        <v>1</v>
      </c>
      <c r="M6" s="18">
        <v>1</v>
      </c>
      <c r="N6" s="18">
        <v>15</v>
      </c>
      <c r="O6" s="160">
        <f ca="1">E6*J6/$M6</f>
        <v>3.1104000000000003E-2</v>
      </c>
      <c r="P6" s="104">
        <f ca="1">F6*J6/$M6</f>
        <v>3.1104000000000003E-2</v>
      </c>
      <c r="Q6" s="104"/>
      <c r="R6" s="40">
        <v>0</v>
      </c>
      <c r="S6" s="40"/>
      <c r="T6" s="40"/>
      <c r="U6" s="40"/>
      <c r="V6" s="258">
        <f ca="1">IF($E$11=0,0,E6/$E$11)</f>
        <v>4.5888806094533809E-2</v>
      </c>
    </row>
    <row r="7" spans="1:22" ht="21" customHeight="1">
      <c r="A7" s="14"/>
      <c r="B7" s="267" t="s">
        <v>488</v>
      </c>
      <c r="C7" s="99" t="s">
        <v>28</v>
      </c>
      <c r="D7" s="99" t="str">
        <f ca="1">IEAData2!$H$102</f>
        <v>COMKER</v>
      </c>
      <c r="E7" s="33">
        <f ca="1">IEAData2!$F$175</f>
        <v>0</v>
      </c>
      <c r="F7" s="33">
        <f ca="1">AuxData2!$F$175</f>
        <v>0</v>
      </c>
      <c r="G7" s="40">
        <v>0.85</v>
      </c>
      <c r="H7" s="343" t="str">
        <f>RIGHT(D7,3)</f>
        <v>KER</v>
      </c>
      <c r="I7" s="81">
        <v>1</v>
      </c>
      <c r="J7" s="6">
        <f>G7*I7</f>
        <v>0.85</v>
      </c>
      <c r="K7" s="38">
        <f ca="1">F7*J7</f>
        <v>0</v>
      </c>
      <c r="L7" s="19">
        <v>1</v>
      </c>
      <c r="M7" s="18">
        <v>1</v>
      </c>
      <c r="N7" s="18">
        <v>15</v>
      </c>
      <c r="O7" s="161">
        <f ca="1">E7*J7/$M7</f>
        <v>0</v>
      </c>
      <c r="P7" s="104">
        <f ca="1">F7*J7/$M7</f>
        <v>0</v>
      </c>
      <c r="Q7" s="104"/>
      <c r="R7" s="40">
        <v>0</v>
      </c>
      <c r="S7" s="40"/>
      <c r="T7" s="40"/>
      <c r="U7" s="18"/>
      <c r="V7" s="258">
        <f ca="1">IF($E$11=0,0,E7/$E$11)</f>
        <v>0</v>
      </c>
    </row>
    <row r="8" spans="1:22" ht="21" customHeight="1">
      <c r="A8" s="14"/>
      <c r="B8" s="267" t="s">
        <v>487</v>
      </c>
      <c r="C8" s="99" t="s">
        <v>29</v>
      </c>
      <c r="D8" s="99" t="str">
        <f ca="1">IEAData2!$H$104</f>
        <v>COMLPG</v>
      </c>
      <c r="E8" s="33">
        <f ca="1">IEAData2!$F$177</f>
        <v>0</v>
      </c>
      <c r="F8" s="33">
        <f ca="1">AuxData2!$F$177</f>
        <v>0</v>
      </c>
      <c r="G8" s="40">
        <v>0.96</v>
      </c>
      <c r="H8" s="343" t="str">
        <f>RIGHT(D8,3)</f>
        <v>LPG</v>
      </c>
      <c r="I8" s="81">
        <v>1</v>
      </c>
      <c r="J8" s="6">
        <f>G8*I8</f>
        <v>0.96</v>
      </c>
      <c r="K8" s="38">
        <f ca="1">F8*J8</f>
        <v>0</v>
      </c>
      <c r="L8" s="19">
        <v>1</v>
      </c>
      <c r="M8" s="18">
        <v>1</v>
      </c>
      <c r="N8" s="18">
        <v>15</v>
      </c>
      <c r="O8" s="161">
        <f ca="1">E8*J8/$M8</f>
        <v>0</v>
      </c>
      <c r="P8" s="104">
        <f ca="1">F8*J8/$M8</f>
        <v>0</v>
      </c>
      <c r="Q8" s="104"/>
      <c r="R8" s="40">
        <v>0</v>
      </c>
      <c r="S8" s="40"/>
      <c r="T8" s="40"/>
      <c r="U8" s="81"/>
      <c r="V8" s="258">
        <f ca="1">IF($E$11=0,0,E8/$E$11)</f>
        <v>0</v>
      </c>
    </row>
    <row r="9" spans="1:22" ht="21" customHeight="1">
      <c r="A9" s="74"/>
      <c r="B9" s="265" t="s">
        <v>24</v>
      </c>
      <c r="C9" s="37" t="s">
        <v>30</v>
      </c>
      <c r="D9" s="36" t="s">
        <v>834</v>
      </c>
      <c r="E9" s="64">
        <f ca="1">IEAData2!$F$179</f>
        <v>0.67365454265369162</v>
      </c>
      <c r="F9" s="64">
        <f ca="1">AuxData2!$F$179</f>
        <v>0.67506495738906336</v>
      </c>
      <c r="G9" s="53">
        <v>1</v>
      </c>
      <c r="H9" s="343" t="str">
        <f>RIGHT(D9,3)</f>
        <v>ELC</v>
      </c>
      <c r="I9" s="81">
        <v>1</v>
      </c>
      <c r="J9" s="6">
        <f>G9*I9</f>
        <v>1</v>
      </c>
      <c r="K9" s="38">
        <f ca="1">F9*J9</f>
        <v>0.67506495738906336</v>
      </c>
      <c r="L9" s="57">
        <v>1</v>
      </c>
      <c r="M9" s="81">
        <v>1</v>
      </c>
      <c r="N9" s="81">
        <v>15</v>
      </c>
      <c r="O9" s="161">
        <f ca="1">E9*J9/$M9</f>
        <v>0.67365454265369162</v>
      </c>
      <c r="P9" s="104">
        <f ca="1">F9*J9/$M9</f>
        <v>0.67506495738906336</v>
      </c>
      <c r="Q9" s="118"/>
      <c r="R9" s="53">
        <v>0</v>
      </c>
      <c r="S9" s="53"/>
      <c r="T9" s="53"/>
      <c r="U9" s="81"/>
      <c r="V9" s="258">
        <f ca="1">IF($E$11=0,0,E9/$E$11)</f>
        <v>0.95411119390546617</v>
      </c>
    </row>
    <row r="10" spans="1:22" ht="21" customHeight="1" thickBot="1">
      <c r="A10" s="74"/>
      <c r="B10" s="274" t="s">
        <v>567</v>
      </c>
      <c r="C10" s="188" t="s">
        <v>568</v>
      </c>
      <c r="D10" s="24" t="str">
        <f ca="1">IEAData2!H109</f>
        <v>COMSOL</v>
      </c>
      <c r="E10" s="34">
        <f ca="1">IEAData2!$F$182</f>
        <v>0</v>
      </c>
      <c r="F10" s="34">
        <f ca="1">AuxData2!$F$182</f>
        <v>0</v>
      </c>
      <c r="G10" s="54">
        <v>1</v>
      </c>
      <c r="H10" s="343" t="str">
        <f>RIGHT(D10,3)</f>
        <v>SOL</v>
      </c>
      <c r="I10" s="81">
        <v>1</v>
      </c>
      <c r="J10" s="6">
        <f>G10*I10</f>
        <v>1</v>
      </c>
      <c r="K10" s="38">
        <f ca="1">F10*J10</f>
        <v>0</v>
      </c>
      <c r="L10" s="73">
        <v>1</v>
      </c>
      <c r="M10" s="20">
        <v>1</v>
      </c>
      <c r="N10" s="20">
        <v>15</v>
      </c>
      <c r="O10" s="162">
        <f ca="1">E10*J10/$M10</f>
        <v>0</v>
      </c>
      <c r="P10" s="104">
        <f ca="1">F10*J10/$M10</f>
        <v>0</v>
      </c>
      <c r="Q10" s="117"/>
      <c r="R10" s="54">
        <v>0</v>
      </c>
      <c r="S10" s="54"/>
      <c r="T10" s="54"/>
      <c r="U10" s="20"/>
      <c r="V10" s="258">
        <f ca="1">IF($E$11=0,0,E10/$E$11)</f>
        <v>0</v>
      </c>
    </row>
    <row r="11" spans="1:22" ht="14.25">
      <c r="B11" s="434" t="s">
        <v>999</v>
      </c>
      <c r="C11" s="190" t="s">
        <v>71</v>
      </c>
      <c r="D11" s="190"/>
      <c r="E11" s="191">
        <f ca="1">SUM(E6:E9)</f>
        <v>0.70605454265369161</v>
      </c>
      <c r="F11" s="191">
        <f ca="1">SUM(F6:F9)</f>
        <v>0.70746495738906334</v>
      </c>
      <c r="G11" s="191"/>
      <c r="H11" s="191">
        <f ca="1">SUMPRODUCT(E$6:E10,J$6:J10)</f>
        <v>0.70475854265369164</v>
      </c>
      <c r="I11" s="190"/>
      <c r="J11" s="193"/>
      <c r="K11" s="191">
        <f ca="1">SUM(K6:K9)</f>
        <v>0.70616895738906338</v>
      </c>
      <c r="L11" s="190"/>
      <c r="M11" s="190"/>
      <c r="N11" s="191"/>
      <c r="O11" s="192">
        <f ca="1">SUM(O6:O9)</f>
        <v>0.70475854265369164</v>
      </c>
      <c r="P11" s="190"/>
      <c r="Q11" s="190"/>
      <c r="R11" s="192"/>
      <c r="S11" s="190"/>
      <c r="T11" s="190"/>
      <c r="U11" s="190"/>
      <c r="V11" s="259">
        <f ca="1">SUM(V6:V10)</f>
        <v>1</v>
      </c>
    </row>
    <row r="12" spans="1:22">
      <c r="B12" s="123"/>
      <c r="C12" s="55"/>
      <c r="D12" s="55"/>
      <c r="E12" s="57"/>
      <c r="F12" s="57"/>
      <c r="G12" s="57"/>
      <c r="H12" s="57"/>
      <c r="I12" s="55"/>
      <c r="J12" s="254"/>
      <c r="K12" s="57"/>
      <c r="L12" s="55"/>
      <c r="M12" s="55"/>
      <c r="N12" s="57"/>
      <c r="O12" s="161"/>
      <c r="P12" s="55"/>
      <c r="Q12" s="55"/>
      <c r="R12" s="161"/>
      <c r="S12" s="55"/>
      <c r="T12" s="55"/>
      <c r="U12" s="55"/>
    </row>
    <row r="13" spans="1:22">
      <c r="B13" s="123"/>
      <c r="C13" s="55"/>
      <c r="D13" s="55"/>
      <c r="E13" s="57"/>
      <c r="F13" s="57"/>
      <c r="G13" s="57"/>
      <c r="H13" s="57"/>
      <c r="I13" s="55"/>
      <c r="J13" s="254"/>
      <c r="K13" s="57"/>
      <c r="L13" s="55"/>
      <c r="M13" s="55"/>
      <c r="N13" s="57"/>
      <c r="O13" s="161"/>
      <c r="P13" s="55"/>
      <c r="Q13" s="55"/>
      <c r="R13" s="161"/>
      <c r="S13" s="55"/>
      <c r="T13" s="55"/>
      <c r="U13" s="55"/>
    </row>
    <row r="14" spans="1:22">
      <c r="B14" s="123"/>
      <c r="C14" s="55"/>
      <c r="D14" s="55"/>
      <c r="E14" s="57"/>
      <c r="F14" s="57"/>
      <c r="G14" s="57"/>
      <c r="H14" s="57"/>
      <c r="I14" s="55"/>
      <c r="J14" s="254"/>
      <c r="K14" s="57"/>
      <c r="L14" s="55"/>
      <c r="M14" s="55"/>
      <c r="N14" s="57"/>
      <c r="O14" s="161"/>
      <c r="P14" s="55"/>
      <c r="Q14" s="55"/>
      <c r="R14" s="161"/>
      <c r="S14" s="55"/>
      <c r="T14" s="55"/>
      <c r="U14" s="55"/>
    </row>
    <row r="15" spans="1:22">
      <c r="B15" s="123"/>
      <c r="C15" s="55"/>
      <c r="D15" s="55"/>
      <c r="E15" s="57"/>
      <c r="F15" s="57"/>
      <c r="G15" s="57"/>
      <c r="H15" s="57"/>
      <c r="I15" s="55"/>
      <c r="J15" s="254"/>
      <c r="K15" s="57"/>
      <c r="L15" s="55"/>
      <c r="M15" s="55"/>
      <c r="N15" s="57"/>
      <c r="O15" s="161"/>
      <c r="P15" s="55"/>
      <c r="Q15" s="55"/>
      <c r="R15" s="161"/>
      <c r="S15" s="55"/>
      <c r="T15" s="55"/>
      <c r="U15" s="55"/>
    </row>
    <row r="16" spans="1:22">
      <c r="B16" s="123"/>
      <c r="C16" s="55"/>
      <c r="D16" s="256"/>
      <c r="E16" s="57"/>
      <c r="F16" s="57"/>
      <c r="G16" s="55"/>
      <c r="H16" s="55"/>
      <c r="I16" s="57"/>
      <c r="K16" s="161"/>
      <c r="L16" s="55"/>
      <c r="M16" s="55"/>
      <c r="R16" s="161"/>
      <c r="S16" s="55"/>
      <c r="T16" s="55"/>
      <c r="U16" s="55"/>
    </row>
    <row r="17" spans="1:32" ht="18">
      <c r="B17" s="155" t="s">
        <v>592</v>
      </c>
      <c r="C17" s="156"/>
      <c r="D17" s="252"/>
    </row>
    <row r="18" spans="1:32" ht="13.5" thickBot="1">
      <c r="B18" s="27" t="s">
        <v>384</v>
      </c>
      <c r="C18" s="27" t="s">
        <v>385</v>
      </c>
      <c r="D18" s="27" t="s">
        <v>243</v>
      </c>
      <c r="E18" s="344" t="s">
        <v>942</v>
      </c>
      <c r="F18" s="344" t="s">
        <v>942</v>
      </c>
      <c r="G18" s="27"/>
    </row>
    <row r="19" spans="1:32" ht="22.5" customHeight="1">
      <c r="A19" s="7"/>
      <c r="B19" s="80" t="s">
        <v>71</v>
      </c>
      <c r="C19" s="28" t="s">
        <v>485</v>
      </c>
      <c r="D19" s="95" t="s">
        <v>249</v>
      </c>
      <c r="E19" s="63">
        <f ca="1">H11</f>
        <v>0.70475854265369164</v>
      </c>
      <c r="F19" s="63">
        <f ca="1">SUMPRODUCT(F6:F10,J6:J10)</f>
        <v>0.70616895738906338</v>
      </c>
      <c r="G19" s="18"/>
    </row>
    <row r="20" spans="1:32">
      <c r="A20" s="55"/>
      <c r="B20" s="55"/>
    </row>
    <row r="21" spans="1:32">
      <c r="A21" s="55"/>
      <c r="B21" s="55"/>
    </row>
    <row r="22" spans="1:32">
      <c r="A22" s="55"/>
      <c r="B22" s="55"/>
    </row>
    <row r="23" spans="1:32" ht="30.6" customHeight="1">
      <c r="A23" s="55"/>
      <c r="B23" s="55"/>
    </row>
    <row r="24" spans="1:32">
      <c r="A24" s="55"/>
      <c r="B24" s="55"/>
    </row>
    <row r="25" spans="1:32">
      <c r="A25" s="55"/>
      <c r="B25" s="55"/>
    </row>
    <row r="26" spans="1:32">
      <c r="A26" s="55"/>
      <c r="B26" s="55"/>
    </row>
    <row r="27" spans="1:32">
      <c r="A27" s="55"/>
      <c r="B27" s="55"/>
      <c r="C27" s="120"/>
      <c r="D27" s="123"/>
      <c r="F27" s="127"/>
      <c r="G27" s="123"/>
      <c r="H27" s="120"/>
      <c r="I27" s="120"/>
      <c r="J27" s="120"/>
      <c r="K27" s="120"/>
      <c r="L27" s="120"/>
      <c r="U27" s="120"/>
      <c r="V27" s="120"/>
      <c r="W27" s="120"/>
      <c r="X27" s="120"/>
      <c r="Y27" s="120"/>
      <c r="Z27" s="120"/>
      <c r="AA27" s="55"/>
      <c r="AB27" s="55"/>
      <c r="AC27" s="55"/>
      <c r="AD27" s="55"/>
      <c r="AE27" s="55"/>
      <c r="AF27" s="55"/>
    </row>
    <row r="28" spans="1:32">
      <c r="A28" s="55"/>
      <c r="B28" s="55"/>
      <c r="C28" s="120"/>
      <c r="D28" s="123"/>
      <c r="F28" s="123"/>
      <c r="G28" s="123"/>
      <c r="H28" s="123"/>
      <c r="I28" s="120"/>
      <c r="J28" s="120"/>
      <c r="K28" s="120"/>
      <c r="L28" s="120"/>
      <c r="M28" s="120"/>
      <c r="N28" s="120"/>
      <c r="O28" s="123"/>
      <c r="P28" s="123"/>
      <c r="Q28" s="123"/>
      <c r="R28" s="123"/>
      <c r="S28" s="123"/>
      <c r="T28" s="120"/>
      <c r="U28" s="123"/>
      <c r="V28" s="123"/>
      <c r="W28" s="123"/>
      <c r="X28" s="123"/>
      <c r="Y28" s="123"/>
      <c r="Z28" s="123"/>
      <c r="AA28" s="55"/>
      <c r="AB28" s="55"/>
      <c r="AC28" s="55"/>
      <c r="AD28" s="55"/>
      <c r="AE28" s="55"/>
      <c r="AF28" s="55"/>
    </row>
    <row r="29" spans="1:32">
      <c r="A29" s="55"/>
      <c r="B29" s="55"/>
      <c r="C29" s="120"/>
      <c r="D29" s="123"/>
      <c r="F29" s="123"/>
      <c r="G29" s="123"/>
      <c r="H29" s="123"/>
      <c r="I29" s="120"/>
      <c r="J29" s="120"/>
      <c r="K29" s="120"/>
      <c r="L29" s="120"/>
      <c r="M29" s="120"/>
      <c r="N29" s="120"/>
      <c r="O29" s="123"/>
      <c r="P29" s="123"/>
      <c r="Q29" s="123"/>
      <c r="R29" s="123"/>
      <c r="S29" s="123"/>
      <c r="T29" s="120"/>
      <c r="U29" s="123"/>
      <c r="V29" s="123"/>
      <c r="W29" s="123"/>
      <c r="X29" s="123"/>
      <c r="Y29" s="123"/>
      <c r="Z29" s="123"/>
      <c r="AA29" s="55"/>
      <c r="AB29" s="55"/>
      <c r="AC29" s="55"/>
      <c r="AD29" s="55"/>
      <c r="AE29" s="55"/>
      <c r="AF29" s="55"/>
    </row>
    <row r="30" spans="1:32">
      <c r="A30" s="55"/>
      <c r="B30" s="55"/>
      <c r="C30" s="120"/>
      <c r="D30" s="123"/>
      <c r="F30" s="123"/>
      <c r="G30" s="123"/>
      <c r="H30" s="123"/>
      <c r="I30" s="120"/>
      <c r="J30" s="120"/>
      <c r="K30" s="120"/>
      <c r="L30" s="120"/>
      <c r="M30" s="120"/>
      <c r="N30" s="120"/>
      <c r="O30" s="123"/>
      <c r="P30" s="123"/>
      <c r="Q30" s="123"/>
      <c r="R30" s="123"/>
      <c r="S30" s="123"/>
      <c r="T30" s="120"/>
      <c r="U30" s="123"/>
      <c r="V30" s="123"/>
      <c r="W30" s="123"/>
      <c r="X30" s="123"/>
      <c r="Y30" s="123"/>
      <c r="Z30" s="123"/>
      <c r="AA30" s="55"/>
      <c r="AB30" s="55"/>
      <c r="AC30" s="55"/>
      <c r="AD30" s="55"/>
      <c r="AE30" s="55"/>
      <c r="AF30" s="55"/>
    </row>
    <row r="31" spans="1:32">
      <c r="A31" s="55"/>
      <c r="B31" s="55"/>
      <c r="C31" s="120"/>
      <c r="D31" s="123"/>
      <c r="F31" s="123"/>
      <c r="G31" s="123"/>
      <c r="H31" s="123"/>
      <c r="I31" s="120"/>
      <c r="J31" s="120"/>
      <c r="K31" s="120"/>
      <c r="L31" s="120"/>
      <c r="M31" s="120"/>
      <c r="N31" s="120"/>
      <c r="O31" s="123"/>
      <c r="P31" s="123"/>
      <c r="Q31" s="123"/>
      <c r="R31" s="123"/>
      <c r="S31" s="123"/>
      <c r="T31" s="120"/>
      <c r="U31" s="123"/>
      <c r="V31" s="123"/>
      <c r="W31" s="123"/>
      <c r="X31" s="123"/>
      <c r="Y31" s="123"/>
      <c r="Z31" s="123"/>
      <c r="AA31" s="55"/>
      <c r="AB31" s="55"/>
      <c r="AC31" s="55"/>
      <c r="AD31" s="55"/>
      <c r="AE31" s="55"/>
      <c r="AF31" s="55"/>
    </row>
    <row r="32" spans="1:32">
      <c r="A32" s="55"/>
      <c r="B32" s="55"/>
      <c r="C32" s="120"/>
      <c r="D32" s="123"/>
      <c r="F32" s="123"/>
      <c r="G32" s="123"/>
      <c r="H32" s="123"/>
      <c r="I32" s="120"/>
      <c r="J32" s="120"/>
      <c r="K32" s="120"/>
      <c r="L32" s="120"/>
      <c r="M32" s="120"/>
      <c r="N32" s="120"/>
      <c r="O32" s="123"/>
      <c r="P32" s="123"/>
      <c r="Q32" s="123"/>
      <c r="R32" s="123"/>
      <c r="S32" s="123"/>
      <c r="T32" s="120"/>
      <c r="U32" s="123"/>
      <c r="V32" s="123"/>
      <c r="W32" s="123"/>
      <c r="X32" s="123"/>
      <c r="Y32" s="123"/>
      <c r="Z32" s="123"/>
      <c r="AA32" s="55"/>
      <c r="AB32" s="55"/>
      <c r="AC32" s="55"/>
      <c r="AD32" s="55"/>
      <c r="AE32" s="55"/>
      <c r="AF32" s="55"/>
    </row>
    <row r="33" spans="1:32">
      <c r="A33" s="55"/>
      <c r="B33" s="55"/>
      <c r="C33" s="120"/>
      <c r="D33" s="123"/>
      <c r="E33" s="123"/>
      <c r="F33" s="120"/>
      <c r="G33" s="123"/>
      <c r="H33" s="123"/>
      <c r="I33" s="120"/>
      <c r="J33" s="120"/>
      <c r="K33" s="120"/>
      <c r="L33" s="120"/>
      <c r="M33" s="120"/>
      <c r="N33" s="120"/>
      <c r="O33" s="123"/>
      <c r="P33" s="123"/>
      <c r="Q33" s="123"/>
      <c r="R33" s="123"/>
      <c r="S33" s="123"/>
      <c r="T33" s="120"/>
      <c r="U33" s="123"/>
      <c r="V33" s="123"/>
      <c r="W33" s="123"/>
      <c r="X33" s="123"/>
      <c r="Y33" s="123"/>
      <c r="Z33" s="123"/>
      <c r="AA33" s="55"/>
      <c r="AB33" s="55"/>
      <c r="AC33" s="55"/>
      <c r="AD33" s="55"/>
      <c r="AE33" s="55"/>
      <c r="AF33" s="55"/>
    </row>
    <row r="34" spans="1:32">
      <c r="A34" s="55"/>
      <c r="B34" s="55"/>
      <c r="C34" s="120"/>
      <c r="D34" s="123"/>
      <c r="E34" s="123"/>
      <c r="F34" s="120"/>
      <c r="G34" s="123"/>
      <c r="H34" s="123"/>
      <c r="I34" s="120"/>
      <c r="J34" s="120"/>
      <c r="K34" s="120"/>
      <c r="L34" s="120"/>
      <c r="M34" s="120"/>
      <c r="N34" s="120"/>
      <c r="O34" s="123"/>
      <c r="P34" s="123"/>
      <c r="Q34" s="123"/>
      <c r="R34" s="123"/>
      <c r="S34" s="123"/>
      <c r="T34" s="120"/>
      <c r="U34" s="123"/>
      <c r="V34" s="123"/>
      <c r="W34" s="123"/>
      <c r="X34" s="123"/>
      <c r="Y34" s="123"/>
      <c r="Z34" s="123"/>
      <c r="AA34" s="55"/>
      <c r="AB34" s="55"/>
      <c r="AC34" s="55"/>
      <c r="AD34" s="55"/>
      <c r="AE34" s="55"/>
      <c r="AF34" s="55"/>
    </row>
    <row r="35" spans="1:32">
      <c r="A35" s="55"/>
      <c r="B35" s="55"/>
      <c r="C35" s="120"/>
      <c r="D35" s="120"/>
      <c r="E35" s="120"/>
      <c r="F35" s="120"/>
      <c r="G35" s="123"/>
      <c r="H35" s="120"/>
      <c r="I35" s="120"/>
      <c r="J35" s="120"/>
      <c r="K35" s="120"/>
      <c r="L35" s="120"/>
      <c r="M35" s="120"/>
      <c r="N35" s="120"/>
      <c r="O35" s="120"/>
      <c r="P35" s="120"/>
      <c r="Q35" s="120"/>
      <c r="R35" s="120"/>
      <c r="S35" s="120"/>
      <c r="T35" s="120"/>
      <c r="U35" s="123"/>
      <c r="V35" s="123"/>
      <c r="W35" s="123"/>
      <c r="X35" s="123"/>
      <c r="Y35" s="123"/>
      <c r="Z35" s="123"/>
      <c r="AA35" s="55"/>
      <c r="AB35" s="55"/>
      <c r="AC35" s="55"/>
      <c r="AD35" s="55"/>
      <c r="AE35" s="55"/>
      <c r="AF35" s="55"/>
    </row>
    <row r="36" spans="1:32">
      <c r="A36" s="55"/>
      <c r="B36" s="55"/>
      <c r="C36" s="120"/>
      <c r="D36" s="120"/>
      <c r="E36" s="120"/>
      <c r="F36" s="120"/>
      <c r="G36" s="120"/>
      <c r="H36" s="120"/>
      <c r="I36" s="120"/>
      <c r="J36" s="120"/>
      <c r="K36" s="120"/>
      <c r="L36" s="120"/>
      <c r="M36" s="120"/>
      <c r="N36" s="120"/>
      <c r="O36" s="120"/>
      <c r="P36" s="120"/>
      <c r="Q36" s="120"/>
      <c r="R36" s="120"/>
      <c r="S36" s="120"/>
      <c r="T36" s="120"/>
      <c r="U36" s="123"/>
      <c r="V36" s="123"/>
      <c r="W36" s="123"/>
      <c r="X36" s="123"/>
      <c r="Y36" s="123"/>
      <c r="Z36" s="123"/>
      <c r="AA36" s="55"/>
      <c r="AB36" s="55"/>
      <c r="AC36" s="55"/>
      <c r="AD36" s="55"/>
      <c r="AE36" s="55"/>
      <c r="AF36" s="55"/>
    </row>
    <row r="37" spans="1:32">
      <c r="A37" s="55"/>
      <c r="B37" s="55"/>
      <c r="C37" s="120"/>
      <c r="D37" s="123"/>
      <c r="E37" s="123"/>
      <c r="F37" s="120"/>
      <c r="G37" s="123"/>
      <c r="H37" s="123"/>
      <c r="I37" s="120"/>
      <c r="J37" s="120"/>
      <c r="K37" s="120"/>
      <c r="L37" s="120"/>
      <c r="M37" s="120"/>
      <c r="N37" s="120"/>
      <c r="O37" s="123"/>
      <c r="P37" s="123"/>
      <c r="Q37" s="123"/>
      <c r="R37" s="123"/>
      <c r="S37" s="123"/>
      <c r="T37" s="120"/>
      <c r="U37" s="123"/>
      <c r="V37" s="123"/>
      <c r="W37" s="123"/>
      <c r="X37" s="123"/>
      <c r="Y37" s="123"/>
      <c r="Z37" s="123"/>
      <c r="AA37" s="55"/>
      <c r="AB37" s="55"/>
      <c r="AC37" s="55"/>
      <c r="AD37" s="55"/>
      <c r="AE37" s="55"/>
      <c r="AF37" s="55"/>
    </row>
    <row r="38" spans="1:32">
      <c r="A38" s="55"/>
      <c r="B38" s="55"/>
      <c r="C38" s="120"/>
      <c r="D38" s="123"/>
      <c r="E38" s="123"/>
      <c r="F38" s="120"/>
      <c r="G38" s="123"/>
      <c r="H38" s="123"/>
      <c r="I38" s="120"/>
      <c r="J38" s="120"/>
      <c r="K38" s="120"/>
      <c r="L38" s="120"/>
      <c r="M38" s="120"/>
      <c r="N38" s="120"/>
      <c r="O38" s="123"/>
      <c r="P38" s="123"/>
      <c r="Q38" s="123"/>
      <c r="R38" s="123"/>
      <c r="S38" s="123"/>
      <c r="T38" s="120"/>
      <c r="U38" s="123"/>
      <c r="V38" s="123"/>
      <c r="W38" s="123"/>
      <c r="X38" s="123"/>
      <c r="Y38" s="123"/>
      <c r="Z38" s="123"/>
      <c r="AA38" s="55"/>
      <c r="AB38" s="55"/>
      <c r="AC38" s="55"/>
      <c r="AD38" s="55"/>
      <c r="AE38" s="55"/>
      <c r="AF38" s="55"/>
    </row>
    <row r="39" spans="1:32">
      <c r="A39" s="55"/>
      <c r="B39" s="55"/>
      <c r="C39" s="120"/>
      <c r="D39" s="123"/>
      <c r="E39" s="123"/>
      <c r="F39" s="120"/>
      <c r="G39" s="123"/>
      <c r="H39" s="123"/>
      <c r="I39" s="120"/>
      <c r="J39" s="120"/>
      <c r="K39" s="120"/>
      <c r="L39" s="120"/>
      <c r="M39" s="120"/>
      <c r="N39" s="120"/>
      <c r="O39" s="123"/>
      <c r="P39" s="123"/>
      <c r="Q39" s="123"/>
      <c r="R39" s="123"/>
      <c r="S39" s="123"/>
      <c r="T39" s="120"/>
      <c r="U39" s="123"/>
      <c r="V39" s="123"/>
      <c r="W39" s="123"/>
      <c r="X39" s="123"/>
      <c r="Y39" s="123"/>
      <c r="Z39" s="123"/>
      <c r="AA39" s="55"/>
      <c r="AB39" s="55"/>
      <c r="AC39" s="55"/>
      <c r="AD39" s="55"/>
      <c r="AE39" s="55"/>
      <c r="AF39" s="55"/>
    </row>
    <row r="40" spans="1:32">
      <c r="A40" s="55"/>
      <c r="B40" s="55"/>
      <c r="C40" s="120"/>
      <c r="D40" s="123"/>
      <c r="E40" s="123"/>
      <c r="F40" s="120"/>
      <c r="G40" s="123"/>
      <c r="H40" s="123"/>
      <c r="I40" s="120"/>
      <c r="J40" s="120"/>
      <c r="K40" s="120"/>
      <c r="L40" s="120"/>
      <c r="M40" s="120"/>
      <c r="N40" s="120"/>
      <c r="O40" s="123"/>
      <c r="P40" s="123"/>
      <c r="Q40" s="123"/>
      <c r="R40" s="123"/>
      <c r="S40" s="123"/>
      <c r="T40" s="120"/>
      <c r="U40" s="123"/>
      <c r="V40" s="123"/>
      <c r="W40" s="123"/>
      <c r="X40" s="123"/>
      <c r="Y40" s="123"/>
      <c r="Z40" s="123"/>
      <c r="AA40" s="55"/>
      <c r="AB40" s="55"/>
      <c r="AC40" s="55"/>
      <c r="AD40" s="55"/>
      <c r="AE40" s="55"/>
      <c r="AF40" s="55"/>
    </row>
    <row r="41" spans="1:32">
      <c r="A41" s="55"/>
      <c r="B41" s="55"/>
      <c r="C41" s="120"/>
      <c r="D41" s="120"/>
      <c r="E41" s="120"/>
      <c r="F41" s="120"/>
      <c r="G41" s="123"/>
      <c r="H41" s="120"/>
      <c r="I41" s="120"/>
      <c r="J41" s="120"/>
      <c r="K41" s="120"/>
      <c r="L41" s="120"/>
      <c r="M41" s="120"/>
      <c r="N41" s="120"/>
      <c r="O41" s="120"/>
      <c r="P41" s="120"/>
      <c r="Q41" s="120"/>
      <c r="R41" s="120"/>
      <c r="S41" s="120"/>
      <c r="T41" s="120"/>
      <c r="U41" s="123"/>
      <c r="V41" s="123"/>
      <c r="W41" s="123"/>
      <c r="X41" s="123"/>
      <c r="Y41" s="123"/>
      <c r="Z41" s="123"/>
      <c r="AA41" s="55"/>
      <c r="AB41" s="55"/>
      <c r="AC41" s="55"/>
      <c r="AD41" s="55"/>
      <c r="AE41" s="55"/>
      <c r="AF41" s="55"/>
    </row>
    <row r="42" spans="1:32">
      <c r="C42" s="120"/>
      <c r="D42" s="120"/>
      <c r="E42" s="120"/>
      <c r="F42" s="120"/>
      <c r="G42" s="120"/>
      <c r="H42" s="120"/>
      <c r="I42" s="120"/>
      <c r="J42" s="120"/>
      <c r="K42" s="120"/>
      <c r="L42" s="120"/>
      <c r="M42" s="120"/>
      <c r="N42" s="120"/>
      <c r="O42" s="120"/>
      <c r="P42" s="120"/>
      <c r="Q42" s="120"/>
      <c r="R42" s="120"/>
      <c r="S42" s="120"/>
      <c r="T42" s="120"/>
      <c r="U42" s="123"/>
      <c r="V42" s="123"/>
      <c r="W42" s="123"/>
      <c r="X42" s="123"/>
      <c r="Y42" s="123"/>
      <c r="Z42" s="123"/>
    </row>
    <row r="43" spans="1:32">
      <c r="C43" s="120"/>
      <c r="D43" s="120"/>
      <c r="E43" s="120"/>
      <c r="F43" s="120"/>
      <c r="G43" s="120"/>
      <c r="H43" s="120"/>
      <c r="I43" s="120"/>
      <c r="J43" s="120"/>
      <c r="K43" s="120"/>
      <c r="L43" s="120"/>
      <c r="M43" s="120"/>
      <c r="N43" s="120"/>
      <c r="O43" s="120"/>
      <c r="P43" s="120"/>
      <c r="Q43" s="120"/>
      <c r="R43" s="120"/>
      <c r="S43" s="120"/>
      <c r="T43" s="120"/>
      <c r="U43" s="123"/>
      <c r="V43" s="123"/>
      <c r="W43" s="123"/>
      <c r="X43" s="123"/>
      <c r="Y43" s="123"/>
      <c r="Z43" s="123"/>
    </row>
    <row r="44" spans="1:32">
      <c r="C44" s="120"/>
      <c r="D44" s="123"/>
      <c r="E44" s="123"/>
      <c r="F44" s="120"/>
      <c r="G44" s="123"/>
      <c r="H44" s="123"/>
      <c r="I44" s="120"/>
      <c r="J44" s="120"/>
      <c r="K44" s="120"/>
      <c r="L44" s="120"/>
      <c r="M44" s="120"/>
      <c r="N44" s="120"/>
      <c r="O44" s="123"/>
      <c r="P44" s="123"/>
      <c r="Q44" s="123"/>
      <c r="R44" s="123"/>
      <c r="S44" s="123"/>
      <c r="T44" s="120"/>
      <c r="U44" s="123"/>
      <c r="V44" s="123"/>
      <c r="W44" s="123"/>
      <c r="X44" s="123"/>
      <c r="Y44" s="123"/>
      <c r="Z44" s="123"/>
    </row>
    <row r="45" spans="1:32">
      <c r="C45" s="120"/>
      <c r="D45" s="123"/>
      <c r="E45" s="123"/>
      <c r="F45" s="120"/>
      <c r="G45" s="123"/>
      <c r="H45" s="123"/>
      <c r="I45" s="120"/>
      <c r="J45" s="120"/>
      <c r="K45" s="120"/>
      <c r="L45" s="120"/>
      <c r="M45" s="120"/>
      <c r="N45" s="120"/>
      <c r="O45" s="123"/>
      <c r="P45" s="123"/>
      <c r="Q45" s="123"/>
      <c r="R45" s="123"/>
      <c r="S45" s="123"/>
      <c r="T45" s="120"/>
      <c r="U45" s="123"/>
      <c r="V45" s="123"/>
      <c r="W45" s="123"/>
      <c r="X45" s="123"/>
      <c r="Y45" s="123"/>
      <c r="Z45" s="123"/>
    </row>
    <row r="46" spans="1:32">
      <c r="C46" s="120"/>
      <c r="D46" s="123"/>
      <c r="E46" s="123"/>
      <c r="F46" s="120"/>
      <c r="G46" s="123"/>
      <c r="H46" s="123"/>
      <c r="I46" s="120"/>
      <c r="J46" s="120"/>
      <c r="K46" s="120"/>
      <c r="L46" s="120"/>
      <c r="M46" s="120"/>
      <c r="N46" s="120"/>
      <c r="O46" s="123"/>
      <c r="P46" s="123"/>
      <c r="Q46" s="123"/>
      <c r="R46" s="123"/>
      <c r="S46" s="123"/>
      <c r="T46" s="120"/>
      <c r="U46" s="123"/>
      <c r="V46" s="123"/>
      <c r="W46" s="123"/>
      <c r="X46" s="123"/>
      <c r="Y46" s="123"/>
      <c r="Z46" s="123"/>
    </row>
    <row r="47" spans="1:32">
      <c r="C47" s="120"/>
      <c r="D47" s="123"/>
      <c r="E47" s="123"/>
      <c r="F47" s="120"/>
      <c r="G47" s="123"/>
      <c r="H47" s="123"/>
      <c r="I47" s="120"/>
      <c r="J47" s="120"/>
      <c r="K47" s="120"/>
      <c r="L47" s="120"/>
      <c r="M47" s="120"/>
      <c r="N47" s="120"/>
      <c r="O47" s="123"/>
      <c r="P47" s="123"/>
      <c r="Q47" s="123"/>
      <c r="R47" s="123"/>
      <c r="S47" s="123"/>
      <c r="T47" s="120"/>
      <c r="U47" s="123"/>
      <c r="V47" s="123"/>
      <c r="W47" s="123"/>
      <c r="X47" s="123"/>
      <c r="Y47" s="123"/>
      <c r="Z47" s="123"/>
    </row>
    <row r="48" spans="1:32">
      <c r="C48" s="120"/>
      <c r="D48" s="123"/>
      <c r="E48" s="123"/>
      <c r="F48" s="120"/>
      <c r="G48" s="123"/>
      <c r="H48" s="123"/>
      <c r="I48" s="120"/>
      <c r="J48" s="120"/>
      <c r="K48" s="120"/>
      <c r="L48" s="120"/>
      <c r="M48" s="120"/>
      <c r="N48" s="120"/>
      <c r="O48" s="123"/>
      <c r="P48" s="123"/>
      <c r="Q48" s="123"/>
      <c r="R48" s="123"/>
      <c r="S48" s="123"/>
      <c r="T48" s="120"/>
      <c r="U48" s="123"/>
      <c r="V48" s="123"/>
      <c r="W48" s="123"/>
      <c r="X48" s="123"/>
      <c r="Y48" s="123"/>
      <c r="Z48" s="123"/>
    </row>
    <row r="49" spans="3:26">
      <c r="C49" s="120"/>
      <c r="D49" s="123"/>
      <c r="E49" s="123"/>
      <c r="F49" s="120"/>
      <c r="G49" s="123"/>
      <c r="H49" s="123"/>
      <c r="I49" s="120"/>
      <c r="J49" s="120"/>
      <c r="K49" s="120"/>
      <c r="L49" s="120"/>
      <c r="M49" s="120"/>
      <c r="N49" s="120"/>
      <c r="O49" s="123"/>
      <c r="P49" s="123"/>
      <c r="Q49" s="123"/>
      <c r="R49" s="123"/>
      <c r="S49" s="123"/>
      <c r="T49" s="120"/>
      <c r="U49" s="123"/>
      <c r="V49" s="123"/>
      <c r="W49" s="123"/>
      <c r="X49" s="123"/>
      <c r="Y49" s="123"/>
      <c r="Z49" s="123"/>
    </row>
    <row r="50" spans="3:26">
      <c r="C50" s="120"/>
      <c r="D50" s="123"/>
      <c r="E50" s="123"/>
      <c r="F50" s="120"/>
      <c r="G50" s="123"/>
      <c r="H50" s="123"/>
      <c r="I50" s="120"/>
      <c r="J50" s="120"/>
      <c r="K50" s="120"/>
      <c r="L50" s="120"/>
      <c r="M50" s="120"/>
      <c r="N50" s="120"/>
      <c r="O50" s="123"/>
      <c r="P50" s="123"/>
      <c r="Q50" s="123"/>
      <c r="R50" s="123"/>
      <c r="S50" s="123"/>
      <c r="T50" s="120"/>
      <c r="U50" s="123"/>
      <c r="V50" s="123"/>
      <c r="W50" s="123"/>
      <c r="X50" s="123"/>
      <c r="Y50" s="123"/>
      <c r="Z50" s="123"/>
    </row>
    <row r="51" spans="3:26">
      <c r="C51" s="120"/>
      <c r="D51" s="123"/>
      <c r="E51" s="123"/>
      <c r="F51" s="120"/>
      <c r="G51" s="123"/>
      <c r="H51" s="123"/>
      <c r="I51" s="120"/>
      <c r="J51" s="120"/>
      <c r="K51" s="120"/>
      <c r="L51" s="120"/>
      <c r="M51" s="120"/>
      <c r="N51" s="120"/>
      <c r="O51" s="123"/>
      <c r="P51" s="123"/>
      <c r="Q51" s="123"/>
      <c r="R51" s="123"/>
      <c r="S51" s="123"/>
      <c r="T51" s="120"/>
      <c r="U51" s="123"/>
      <c r="V51" s="123"/>
      <c r="W51" s="123"/>
      <c r="X51" s="123"/>
      <c r="Y51" s="123"/>
      <c r="Z51" s="123"/>
    </row>
    <row r="52" spans="3:26">
      <c r="C52" s="120"/>
      <c r="D52" s="120"/>
      <c r="E52" s="120"/>
      <c r="F52" s="120"/>
      <c r="G52" s="123"/>
      <c r="H52" s="120"/>
      <c r="I52" s="120"/>
      <c r="J52" s="120"/>
      <c r="K52" s="120"/>
      <c r="L52" s="120"/>
      <c r="M52" s="120"/>
      <c r="N52" s="120"/>
      <c r="O52" s="120"/>
      <c r="P52" s="120"/>
      <c r="Q52" s="120"/>
      <c r="R52" s="120"/>
      <c r="S52" s="120"/>
      <c r="T52" s="120"/>
      <c r="U52" s="123"/>
      <c r="V52" s="123"/>
      <c r="W52" s="123"/>
      <c r="X52" s="123"/>
      <c r="Y52" s="123"/>
      <c r="Z52" s="123"/>
    </row>
    <row r="53" spans="3:26">
      <c r="C53" s="120"/>
      <c r="D53" s="120"/>
      <c r="E53" s="120"/>
      <c r="F53" s="120"/>
      <c r="G53" s="120"/>
      <c r="H53" s="120"/>
      <c r="I53" s="120"/>
      <c r="J53" s="120"/>
      <c r="K53" s="120"/>
      <c r="L53" s="120"/>
      <c r="M53" s="120"/>
      <c r="N53" s="120"/>
      <c r="O53" s="120"/>
      <c r="P53" s="120"/>
      <c r="Q53" s="120"/>
      <c r="R53" s="120"/>
      <c r="S53" s="120"/>
      <c r="T53" s="120"/>
      <c r="U53" s="123"/>
      <c r="V53" s="123"/>
      <c r="W53" s="123"/>
      <c r="X53" s="123"/>
      <c r="Y53" s="123"/>
      <c r="Z53" s="123"/>
    </row>
    <row r="54" spans="3:26">
      <c r="C54" s="120"/>
      <c r="D54" s="120"/>
      <c r="E54" s="120"/>
      <c r="F54" s="120"/>
      <c r="G54" s="120"/>
      <c r="H54" s="120"/>
      <c r="I54" s="120"/>
      <c r="J54" s="120"/>
      <c r="K54" s="120"/>
      <c r="L54" s="120"/>
      <c r="M54" s="120"/>
      <c r="N54" s="120"/>
      <c r="O54" s="120"/>
      <c r="P54" s="120"/>
      <c r="Q54" s="120"/>
      <c r="R54" s="120"/>
      <c r="S54" s="120"/>
      <c r="T54" s="120"/>
      <c r="U54" s="123"/>
      <c r="V54" s="123"/>
      <c r="W54" s="123"/>
      <c r="X54" s="123"/>
      <c r="Y54" s="123"/>
      <c r="Z54"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46.xml><?xml version="1.0" encoding="utf-8"?>
<worksheet xmlns="http://schemas.openxmlformats.org/spreadsheetml/2006/main" xmlns:r="http://schemas.openxmlformats.org/officeDocument/2006/relationships">
  <sheetPr codeName="Sheet563111"/>
  <dimension ref="A1:HH75"/>
  <sheetViews>
    <sheetView zoomScale="75" workbookViewId="0">
      <selection activeCell="D18" sqref="D18"/>
    </sheetView>
  </sheetViews>
  <sheetFormatPr defaultColWidth="11.42578125" defaultRowHeight="12.75"/>
  <cols>
    <col min="1" max="1" width="15.85546875" customWidth="1"/>
    <col min="2" max="2" width="13.5703125" customWidth="1"/>
    <col min="3" max="3" width="40" customWidth="1"/>
    <col min="4" max="4" width="12.140625" customWidth="1"/>
    <col min="5" max="5" width="11.5703125" bestFit="1" customWidth="1"/>
    <col min="6" max="6" width="9.7109375" bestFit="1" customWidth="1"/>
    <col min="7" max="22" width="11.42578125" customWidth="1"/>
    <col min="23" max="23" width="12.7109375" customWidth="1"/>
  </cols>
  <sheetData>
    <row r="1" spans="1:29" ht="18">
      <c r="A1" s="10" t="s">
        <v>102</v>
      </c>
      <c r="D1" t="s">
        <v>250</v>
      </c>
    </row>
    <row r="2" spans="1:29" s="22" customFormat="1" ht="18">
      <c r="A2" s="83"/>
      <c r="D2" s="245"/>
      <c r="E2" s="74"/>
      <c r="F2" s="74"/>
      <c r="G2" s="74"/>
      <c r="H2" s="74"/>
      <c r="J2" s="56"/>
      <c r="Z2">
        <f ca="1">MATCH(LEFT(B6,3),OFFSET(CalibData2!$C$78,1,0,100),0)</f>
        <v>49</v>
      </c>
    </row>
    <row r="3" spans="1:29" ht="18">
      <c r="A3" s="10"/>
      <c r="B3" s="16"/>
      <c r="C3" s="17"/>
      <c r="D3" s="245"/>
      <c r="O3" s="18">
        <v>1</v>
      </c>
      <c r="P3" t="s">
        <v>666</v>
      </c>
      <c r="Z3">
        <v>0</v>
      </c>
      <c r="AA3" s="358">
        <v>1</v>
      </c>
    </row>
    <row r="4" spans="1:29" ht="18">
      <c r="B4" s="131" t="s">
        <v>594</v>
      </c>
      <c r="C4" s="98"/>
      <c r="D4" s="252" t="str">
        <f>"~FI_T: "&amp;Region</f>
        <v>~FI_T: FIM</v>
      </c>
      <c r="E4" s="4" t="s">
        <v>250</v>
      </c>
      <c r="R4" s="4"/>
      <c r="S4" s="4"/>
      <c r="Y4" s="294"/>
    </row>
    <row r="5" spans="1:29" ht="53.25" customHeight="1" thickBot="1">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"RESID~"&amp;CEILING(AuxYear+7,5)</f>
        <v>RESID~2025</v>
      </c>
      <c r="R5" s="52" t="str">
        <f ca="1">"RESID~"&amp;CEILING(AuxYear+12,5)</f>
        <v>RESID~2030</v>
      </c>
      <c r="S5" s="52" t="str">
        <f ca="1">"RESID~"&amp;CEILING(AuxYear+29,5)</f>
        <v>RESID~2050</v>
      </c>
      <c r="T5" s="52" t="s">
        <v>537</v>
      </c>
      <c r="U5" s="52" t="s">
        <v>778</v>
      </c>
      <c r="V5" s="257" t="s">
        <v>381</v>
      </c>
      <c r="X5" s="427" t="s">
        <v>995</v>
      </c>
      <c r="Y5" s="427" t="s">
        <v>996</v>
      </c>
      <c r="Z5" s="427" t="s">
        <v>997</v>
      </c>
      <c r="AA5" s="427" t="s">
        <v>998</v>
      </c>
      <c r="AC5" s="120"/>
    </row>
    <row r="6" spans="1:29" ht="15.75" customHeight="1">
      <c r="B6" s="273" t="s">
        <v>302</v>
      </c>
      <c r="C6" s="424" t="s">
        <v>677</v>
      </c>
      <c r="D6" s="82" t="str">
        <f ca="1">IEAData2!H102</f>
        <v>COMKER</v>
      </c>
      <c r="E6" s="103">
        <f ca="1">IEAData2!E175</f>
        <v>0</v>
      </c>
      <c r="F6" s="103">
        <f ca="1">AuxData2!E175</f>
        <v>0</v>
      </c>
      <c r="G6" s="167">
        <v>0.7</v>
      </c>
      <c r="H6" s="343" t="str">
        <f t="shared" ref="H6:H11" si="0">RIGHT(D6,3)</f>
        <v>KER</v>
      </c>
      <c r="I6" s="81">
        <v>1</v>
      </c>
      <c r="J6" s="6">
        <f t="shared" ref="J6:J11" si="1">G6*I6</f>
        <v>0.7</v>
      </c>
      <c r="K6" s="38">
        <f t="shared" ref="K6:K11" ca="1" si="2">F6*J6</f>
        <v>0</v>
      </c>
      <c r="L6" s="19">
        <v>1</v>
      </c>
      <c r="M6" s="116">
        <v>1</v>
      </c>
      <c r="N6" s="116">
        <v>15</v>
      </c>
      <c r="O6" s="161">
        <f t="shared" ref="O6:O11" ca="1" si="3">E6*J6/$M6</f>
        <v>0</v>
      </c>
      <c r="P6" s="104">
        <f t="shared" ref="P6:P11" ca="1" si="4">F6*J6/$M6</f>
        <v>0</v>
      </c>
      <c r="Q6" s="486">
        <f ca="1">$P6*X6</f>
        <v>0</v>
      </c>
      <c r="R6" s="486">
        <f ca="1">$P6*Y6</f>
        <v>0</v>
      </c>
      <c r="S6" s="168"/>
      <c r="T6" s="116"/>
      <c r="U6" s="116"/>
      <c r="V6" s="258">
        <f t="shared" ref="V6:V11" ca="1" si="5">IF($E$12=0,0,E6/$E$12)</f>
        <v>0</v>
      </c>
      <c r="X6" s="468">
        <v>0.3</v>
      </c>
      <c r="Y6" s="468">
        <v>0</v>
      </c>
      <c r="Z6" s="436"/>
      <c r="AA6" s="436"/>
    </row>
    <row r="7" spans="1:29" ht="15.75" customHeight="1">
      <c r="B7" s="265" t="s">
        <v>145</v>
      </c>
      <c r="C7" s="402" t="s">
        <v>138</v>
      </c>
      <c r="D7" s="36" t="s">
        <v>832</v>
      </c>
      <c r="E7" s="64">
        <f ca="1">Z7*IEAData2!$E$179</f>
        <v>1.5448708294070521</v>
      </c>
      <c r="F7" s="64">
        <f ca="1">AA7*AuxData2!$E$179</f>
        <v>0.20617294814640705</v>
      </c>
      <c r="G7" s="53">
        <v>1</v>
      </c>
      <c r="H7" s="343" t="str">
        <f t="shared" si="0"/>
        <v>ELC</v>
      </c>
      <c r="I7" s="81">
        <v>1</v>
      </c>
      <c r="J7" s="6">
        <f t="shared" si="1"/>
        <v>1</v>
      </c>
      <c r="K7" s="38">
        <f t="shared" ca="1" si="2"/>
        <v>0.20617294814640705</v>
      </c>
      <c r="L7" s="19">
        <v>1</v>
      </c>
      <c r="M7" s="411">
        <v>1</v>
      </c>
      <c r="N7" s="489">
        <v>15</v>
      </c>
      <c r="O7" s="161">
        <f t="shared" ca="1" si="3"/>
        <v>1.5448708294070521</v>
      </c>
      <c r="P7" s="104">
        <f t="shared" ca="1" si="4"/>
        <v>0.20617294814640705</v>
      </c>
      <c r="Q7" s="487">
        <f t="shared" ref="Q7:R11" ca="1" si="6">$P7*X7</f>
        <v>0</v>
      </c>
      <c r="R7" s="487">
        <f t="shared" ca="1" si="6"/>
        <v>0</v>
      </c>
      <c r="S7" s="169"/>
      <c r="T7" s="40"/>
      <c r="U7" s="40"/>
      <c r="V7" s="258">
        <f t="shared" ca="1" si="5"/>
        <v>0.3</v>
      </c>
      <c r="X7" s="444">
        <v>0</v>
      </c>
      <c r="Y7" s="444">
        <v>0</v>
      </c>
      <c r="Z7" s="439">
        <f t="array" aca="1" ref="Z7:Z10" ca="1">OFFSET(TechShar,$Z$2,Z$3,4)</f>
        <v>0.3</v>
      </c>
      <c r="AA7" s="364">
        <f t="array" aca="1" ref="AA7:AA10" ca="1">OFFSET(TechShar,$Z$2,AA$3,4)</f>
        <v>0.04</v>
      </c>
    </row>
    <row r="8" spans="1:29" ht="15.75" customHeight="1">
      <c r="B8" s="265" t="s">
        <v>146</v>
      </c>
      <c r="C8" s="402" t="s">
        <v>139</v>
      </c>
      <c r="D8" s="36" t="s">
        <v>832</v>
      </c>
      <c r="E8" s="64">
        <f ca="1">Z8*IEAData2!$E$179</f>
        <v>0.10299138862713682</v>
      </c>
      <c r="F8" s="64">
        <f ca="1">AA8*AuxData2!$E$179</f>
        <v>0.10308647407320352</v>
      </c>
      <c r="G8" s="53">
        <v>2</v>
      </c>
      <c r="H8" s="343" t="str">
        <f t="shared" si="0"/>
        <v>ELC</v>
      </c>
      <c r="I8" s="81">
        <v>1</v>
      </c>
      <c r="J8" s="6">
        <f t="shared" si="1"/>
        <v>2</v>
      </c>
      <c r="K8" s="38">
        <f t="shared" ca="1" si="2"/>
        <v>0.20617294814640705</v>
      </c>
      <c r="L8" s="19">
        <v>1</v>
      </c>
      <c r="M8" s="411">
        <v>1</v>
      </c>
      <c r="N8" s="489">
        <v>15</v>
      </c>
      <c r="O8" s="161">
        <f t="shared" ca="1" si="3"/>
        <v>0.20598277725427364</v>
      </c>
      <c r="P8" s="104">
        <f t="shared" ca="1" si="4"/>
        <v>0.20617294814640705</v>
      </c>
      <c r="Q8" s="487">
        <f t="shared" ca="1" si="6"/>
        <v>0</v>
      </c>
      <c r="R8" s="487">
        <f t="shared" ca="1" si="6"/>
        <v>0</v>
      </c>
      <c r="S8" s="169"/>
      <c r="T8" s="40"/>
      <c r="U8" s="18"/>
      <c r="V8" s="258">
        <f t="shared" ca="1" si="5"/>
        <v>0.02</v>
      </c>
      <c r="X8" s="444">
        <v>0</v>
      </c>
      <c r="Y8" s="444">
        <v>0</v>
      </c>
      <c r="Z8" s="439">
        <f ca="1"/>
        <v>0.02</v>
      </c>
      <c r="AA8" s="364">
        <f ca="1"/>
        <v>0.02</v>
      </c>
    </row>
    <row r="9" spans="1:29" ht="15.75" customHeight="1">
      <c r="B9" s="265" t="s">
        <v>261</v>
      </c>
      <c r="C9" s="402" t="s">
        <v>140</v>
      </c>
      <c r="D9" s="36" t="s">
        <v>832</v>
      </c>
      <c r="E9" s="64">
        <f ca="1">Z9*IEAData2!$E$179</f>
        <v>0.25747847156784204</v>
      </c>
      <c r="F9" s="64">
        <f ca="1">AA9*AuxData2!$E$179</f>
        <v>0.25771618518300882</v>
      </c>
      <c r="G9" s="53">
        <v>7</v>
      </c>
      <c r="H9" s="343" t="str">
        <f t="shared" si="0"/>
        <v>ELC</v>
      </c>
      <c r="I9" s="81">
        <v>1</v>
      </c>
      <c r="J9" s="6">
        <f t="shared" si="1"/>
        <v>7</v>
      </c>
      <c r="K9" s="38">
        <f t="shared" ca="1" si="2"/>
        <v>1.8040132962810618</v>
      </c>
      <c r="L9" s="19">
        <v>1</v>
      </c>
      <c r="M9" s="411">
        <v>1</v>
      </c>
      <c r="N9" s="489">
        <v>15</v>
      </c>
      <c r="O9" s="161">
        <f t="shared" ca="1" si="3"/>
        <v>1.8023493009748943</v>
      </c>
      <c r="P9" s="104">
        <f t="shared" ca="1" si="4"/>
        <v>1.8040132962810618</v>
      </c>
      <c r="Q9" s="487">
        <f t="shared" ca="1" si="6"/>
        <v>0.54120398888431853</v>
      </c>
      <c r="R9" s="487">
        <f t="shared" ca="1" si="6"/>
        <v>0</v>
      </c>
      <c r="S9" s="169"/>
      <c r="T9" s="40"/>
      <c r="U9" s="81"/>
      <c r="V9" s="258">
        <f t="shared" ca="1" si="5"/>
        <v>0.05</v>
      </c>
      <c r="X9" s="444">
        <v>0.3</v>
      </c>
      <c r="Y9" s="444">
        <v>0</v>
      </c>
      <c r="Z9" s="439">
        <f ca="1"/>
        <v>0.05</v>
      </c>
      <c r="AA9" s="364">
        <f ca="1"/>
        <v>0.05</v>
      </c>
    </row>
    <row r="10" spans="1:29" ht="15.75" customHeight="1">
      <c r="B10" s="265" t="s">
        <v>147</v>
      </c>
      <c r="C10" s="402" t="s">
        <v>141</v>
      </c>
      <c r="D10" s="36" t="s">
        <v>832</v>
      </c>
      <c r="E10" s="64">
        <f ca="1">Z10*IEAData2!$E$179</f>
        <v>3.0897416588141042</v>
      </c>
      <c r="F10" s="64">
        <f ca="1">AA10*AuxData2!$E$179</f>
        <v>3.8657427777451323</v>
      </c>
      <c r="G10" s="53">
        <v>4.5</v>
      </c>
      <c r="H10" s="343" t="str">
        <f t="shared" si="0"/>
        <v>ELC</v>
      </c>
      <c r="I10" s="81">
        <v>1</v>
      </c>
      <c r="J10" s="6">
        <f t="shared" si="1"/>
        <v>4.5</v>
      </c>
      <c r="K10" s="38">
        <f t="shared" ca="1" si="2"/>
        <v>17.395842499853096</v>
      </c>
      <c r="L10" s="19">
        <v>1</v>
      </c>
      <c r="M10" s="411">
        <v>1</v>
      </c>
      <c r="N10" s="489">
        <v>15</v>
      </c>
      <c r="O10" s="161">
        <f t="shared" ca="1" si="3"/>
        <v>13.90383746466347</v>
      </c>
      <c r="P10" s="104">
        <f t="shared" ca="1" si="4"/>
        <v>17.395842499853096</v>
      </c>
      <c r="Q10" s="487">
        <f t="shared" ca="1" si="6"/>
        <v>5.2187527499559287</v>
      </c>
      <c r="R10" s="487">
        <f t="shared" ca="1" si="6"/>
        <v>0</v>
      </c>
      <c r="S10" s="169"/>
      <c r="T10" s="40"/>
      <c r="U10" s="81"/>
      <c r="V10" s="258">
        <f t="shared" ca="1" si="5"/>
        <v>0.6</v>
      </c>
      <c r="X10" s="444">
        <v>0.3</v>
      </c>
      <c r="Y10" s="444">
        <v>0</v>
      </c>
      <c r="Z10" s="439">
        <f ca="1"/>
        <v>0.6</v>
      </c>
      <c r="AA10" s="364">
        <f ca="1"/>
        <v>0.75</v>
      </c>
    </row>
    <row r="11" spans="1:29" ht="15.75" customHeight="1" thickBot="1">
      <c r="B11" s="266" t="s">
        <v>988</v>
      </c>
      <c r="C11" s="403" t="s">
        <v>989</v>
      </c>
      <c r="D11" s="24" t="s">
        <v>832</v>
      </c>
      <c r="E11" s="34">
        <f ca="1">Z11*IEAData2!$E$179</f>
        <v>0.15448708294070534</v>
      </c>
      <c r="F11" s="34">
        <f ca="1">AA11*AuxData2!$E$179</f>
        <v>0.72160531851242471</v>
      </c>
      <c r="G11" s="54">
        <v>9</v>
      </c>
      <c r="H11" s="343" t="str">
        <f t="shared" si="0"/>
        <v>ELC</v>
      </c>
      <c r="I11" s="81">
        <v>1</v>
      </c>
      <c r="J11" s="6">
        <f t="shared" si="1"/>
        <v>9</v>
      </c>
      <c r="K11" s="38">
        <f t="shared" ca="1" si="2"/>
        <v>6.4944478666118224</v>
      </c>
      <c r="L11" s="73">
        <v>1</v>
      </c>
      <c r="M11" s="416">
        <v>1</v>
      </c>
      <c r="N11" s="490">
        <v>15</v>
      </c>
      <c r="O11" s="162">
        <f t="shared" ca="1" si="3"/>
        <v>1.3903837464663482</v>
      </c>
      <c r="P11" s="104">
        <f t="shared" ca="1" si="4"/>
        <v>6.4944478666118224</v>
      </c>
      <c r="Q11" s="488">
        <f t="shared" ca="1" si="6"/>
        <v>3.2472239333059112</v>
      </c>
      <c r="R11" s="488">
        <f t="shared" ca="1" si="6"/>
        <v>0</v>
      </c>
      <c r="S11" s="170"/>
      <c r="T11" s="54"/>
      <c r="U11" s="20"/>
      <c r="V11" s="258">
        <f t="shared" ca="1" si="5"/>
        <v>3.0000000000000027E-2</v>
      </c>
      <c r="X11" s="444">
        <v>0.5</v>
      </c>
      <c r="Y11" s="444">
        <v>0</v>
      </c>
      <c r="Z11" s="440">
        <f ca="1">1-SUM(Z7:Z10)</f>
        <v>3.0000000000000027E-2</v>
      </c>
      <c r="AA11" s="440">
        <f ca="1">1-SUM(AA7:AA10)</f>
        <v>0.14000000000000001</v>
      </c>
    </row>
    <row r="12" spans="1:29" ht="14.25">
      <c r="A12" t="s">
        <v>250</v>
      </c>
      <c r="B12" s="434" t="s">
        <v>999</v>
      </c>
      <c r="C12" s="190" t="s">
        <v>103</v>
      </c>
      <c r="D12" s="190"/>
      <c r="E12" s="191">
        <f ca="1">SUM(E6:E11)</f>
        <v>5.1495694313568405</v>
      </c>
      <c r="F12" s="191">
        <f ca="1">SUM(F6:F11)</f>
        <v>5.1543237036601761</v>
      </c>
      <c r="G12" s="191"/>
      <c r="H12" s="421">
        <f ca="1">SUMPRODUCT(E$6:E11,J$6:J11)</f>
        <v>18.847424118766039</v>
      </c>
      <c r="I12" s="190"/>
      <c r="J12" s="193"/>
      <c r="K12" s="191">
        <f ca="1">SUM(K7:K11)</f>
        <v>26.106649559038793</v>
      </c>
      <c r="L12" s="190"/>
      <c r="M12" s="190"/>
      <c r="N12" s="191"/>
      <c r="O12" s="192">
        <f ca="1">SUM(O7:O11)</f>
        <v>18.847424118766039</v>
      </c>
      <c r="P12" s="190"/>
      <c r="Q12" s="190"/>
      <c r="R12" s="192"/>
      <c r="S12" s="190"/>
      <c r="T12" s="190"/>
      <c r="U12" s="190"/>
      <c r="V12" s="258">
        <f ca="1">SUM(V6:V11)</f>
        <v>1</v>
      </c>
      <c r="X12" s="190"/>
      <c r="Y12" s="190"/>
      <c r="Z12" s="190"/>
      <c r="AA12" s="190"/>
    </row>
    <row r="13" spans="1:29">
      <c r="B13" s="123"/>
      <c r="C13" s="55"/>
      <c r="D13" s="55"/>
      <c r="E13" s="57"/>
      <c r="F13" s="57"/>
      <c r="G13" s="57"/>
      <c r="H13" s="57"/>
      <c r="I13" s="55"/>
      <c r="J13" s="254"/>
      <c r="K13" s="57"/>
      <c r="L13" s="55"/>
      <c r="M13" s="55"/>
      <c r="N13" s="57"/>
      <c r="O13" s="161"/>
      <c r="P13" s="55"/>
      <c r="Q13" s="55"/>
      <c r="R13" s="161"/>
      <c r="S13" s="55"/>
      <c r="T13" s="55"/>
      <c r="U13" s="55"/>
    </row>
    <row r="14" spans="1:29">
      <c r="B14" s="123"/>
      <c r="C14" s="55"/>
      <c r="D14" s="55"/>
      <c r="E14" s="57"/>
      <c r="F14" s="57"/>
      <c r="G14" s="57"/>
      <c r="H14" s="57"/>
      <c r="I14" s="55"/>
      <c r="J14" s="254"/>
      <c r="K14" s="57"/>
      <c r="L14" s="55"/>
      <c r="M14" s="55"/>
      <c r="N14" s="57"/>
      <c r="O14" s="161"/>
      <c r="P14" s="55"/>
      <c r="Q14" s="55"/>
      <c r="R14" s="161"/>
      <c r="S14" s="55"/>
      <c r="T14" s="55"/>
      <c r="U14" s="55"/>
    </row>
    <row r="15" spans="1:29">
      <c r="B15" s="123"/>
      <c r="C15" s="55"/>
      <c r="D15" s="55"/>
      <c r="E15" s="57"/>
      <c r="F15" s="57"/>
      <c r="G15" s="57"/>
      <c r="H15" s="57"/>
      <c r="I15" s="55"/>
      <c r="J15" s="254"/>
      <c r="K15" s="57"/>
      <c r="L15" s="55"/>
      <c r="M15" s="55"/>
      <c r="N15" s="57"/>
      <c r="O15" s="161"/>
      <c r="P15" s="55"/>
      <c r="Q15" s="55"/>
      <c r="R15" s="161"/>
      <c r="S15" s="55"/>
      <c r="T15" s="55"/>
      <c r="U15" s="55"/>
    </row>
    <row r="16" spans="1:29">
      <c r="B16" s="123"/>
      <c r="C16" s="55"/>
      <c r="D16" s="55"/>
      <c r="E16" s="57"/>
      <c r="F16" s="57"/>
      <c r="G16" s="57"/>
      <c r="H16" s="57"/>
      <c r="I16" s="55"/>
      <c r="J16" s="254"/>
      <c r="K16" s="57"/>
      <c r="L16" s="55"/>
      <c r="M16" s="55"/>
      <c r="N16" s="57"/>
      <c r="O16" s="161"/>
      <c r="P16" s="55"/>
      <c r="Q16" s="55"/>
      <c r="R16" s="161"/>
      <c r="S16" s="55"/>
      <c r="T16" s="55"/>
      <c r="U16" s="55"/>
    </row>
    <row r="17" spans="1:21">
      <c r="B17" s="123"/>
      <c r="C17" s="55"/>
      <c r="D17" s="256"/>
      <c r="E17" s="57"/>
      <c r="F17" s="57"/>
      <c r="G17" s="55"/>
      <c r="H17" s="55"/>
      <c r="I17" s="57"/>
      <c r="J17" s="161"/>
      <c r="K17" s="55"/>
      <c r="L17" s="55"/>
      <c r="R17" s="161"/>
      <c r="S17" s="55"/>
      <c r="T17" s="55"/>
      <c r="U17" s="55"/>
    </row>
    <row r="18" spans="1:21" ht="18">
      <c r="B18" s="155" t="s">
        <v>592</v>
      </c>
      <c r="C18" s="156"/>
      <c r="D18" s="252"/>
    </row>
    <row r="19" spans="1:21" ht="13.5" thickBot="1">
      <c r="B19" s="27" t="s">
        <v>384</v>
      </c>
      <c r="C19" s="27" t="s">
        <v>385</v>
      </c>
      <c r="D19" s="27" t="s">
        <v>243</v>
      </c>
      <c r="E19" s="344" t="s">
        <v>942</v>
      </c>
      <c r="F19" s="344" t="s">
        <v>942</v>
      </c>
      <c r="G19" s="27"/>
    </row>
    <row r="20" spans="1:21" ht="22.5" customHeight="1">
      <c r="A20" s="7"/>
      <c r="B20" s="80" t="s">
        <v>103</v>
      </c>
      <c r="C20" s="28" t="s">
        <v>102</v>
      </c>
      <c r="D20" s="95" t="s">
        <v>249</v>
      </c>
      <c r="E20" s="63">
        <f ca="1">H12</f>
        <v>18.847424118766039</v>
      </c>
      <c r="F20" s="63">
        <f ca="1">SUMPRODUCT(F6:F11,J6:J11)</f>
        <v>26.106649559038793</v>
      </c>
      <c r="G20" s="18"/>
    </row>
    <row r="24" spans="1:21" ht="30.6" customHeight="1"/>
    <row r="38" spans="3:216">
      <c r="C38" s="120"/>
      <c r="D38" s="123"/>
      <c r="E38" s="123"/>
      <c r="F38" s="120"/>
      <c r="G38" s="123"/>
      <c r="H38" s="120"/>
      <c r="I38" s="123"/>
      <c r="J38" s="123"/>
      <c r="K38" s="123"/>
      <c r="L38" s="123"/>
      <c r="M38" s="123"/>
      <c r="N38" s="123"/>
      <c r="O38" s="123"/>
      <c r="P38" s="123"/>
      <c r="Q38" s="123"/>
      <c r="R38" s="124"/>
      <c r="S38" s="124"/>
      <c r="T38" s="123"/>
      <c r="U38" s="123"/>
      <c r="V38" s="123"/>
      <c r="W38" s="123"/>
      <c r="X38" s="123"/>
      <c r="Y38" s="123"/>
      <c r="Z38" s="123"/>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c r="FQ38" s="55"/>
      <c r="FR38" s="55"/>
      <c r="FS38" s="55"/>
      <c r="FT38" s="55"/>
      <c r="FU38" s="55"/>
      <c r="FV38" s="55"/>
      <c r="FW38" s="55"/>
      <c r="FX38" s="55"/>
      <c r="FY38" s="55"/>
      <c r="FZ38" s="55"/>
      <c r="GA38" s="55"/>
      <c r="GB38" s="55"/>
      <c r="GC38" s="55"/>
      <c r="GD38" s="55"/>
      <c r="GE38" s="55"/>
      <c r="GF38" s="55"/>
      <c r="GG38" s="55"/>
      <c r="GH38" s="55"/>
      <c r="GI38" s="55"/>
      <c r="GJ38" s="55"/>
      <c r="GK38" s="55"/>
      <c r="GL38" s="55"/>
      <c r="GM38" s="55"/>
      <c r="GN38" s="55"/>
      <c r="GO38" s="55"/>
      <c r="GP38" s="55"/>
      <c r="GQ38" s="55"/>
      <c r="GR38" s="55"/>
      <c r="GS38" s="55"/>
      <c r="GT38" s="55"/>
      <c r="GU38" s="55"/>
      <c r="GV38" s="55"/>
      <c r="GW38" s="55"/>
      <c r="GX38" s="55"/>
      <c r="GY38" s="55"/>
      <c r="GZ38" s="55"/>
      <c r="HA38" s="55"/>
      <c r="HB38" s="55"/>
      <c r="HC38" s="55"/>
      <c r="HD38" s="55"/>
      <c r="HE38" s="55"/>
      <c r="HF38" s="55"/>
      <c r="HG38" s="55"/>
      <c r="HH38" s="55"/>
    </row>
    <row r="39" spans="3:216">
      <c r="C39" s="176"/>
      <c r="D39" s="176"/>
      <c r="E39" s="176"/>
      <c r="F39" s="176"/>
      <c r="G39" s="176"/>
      <c r="H39" s="176"/>
      <c r="I39" s="176"/>
      <c r="J39" s="176"/>
      <c r="K39" s="176"/>
      <c r="L39" s="176"/>
      <c r="M39" s="176"/>
      <c r="N39" s="176"/>
      <c r="O39" s="176"/>
      <c r="P39" s="180"/>
      <c r="Q39" s="176"/>
      <c r="R39" s="176"/>
      <c r="S39" s="176"/>
      <c r="T39" s="176"/>
      <c r="U39" s="176"/>
      <c r="V39" s="176"/>
      <c r="W39" s="176"/>
      <c r="X39" s="176"/>
      <c r="Y39" s="177"/>
      <c r="Z39" s="176"/>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c r="FQ39" s="55"/>
      <c r="FR39" s="55"/>
      <c r="FS39" s="55"/>
      <c r="FT39" s="55"/>
      <c r="FU39" s="55"/>
      <c r="FV39" s="55"/>
      <c r="FW39" s="55"/>
      <c r="FX39" s="55"/>
      <c r="FY39" s="55"/>
      <c r="FZ39" s="55"/>
      <c r="GA39" s="55"/>
      <c r="GB39" s="55"/>
      <c r="GC39" s="55"/>
      <c r="GD39" s="55"/>
      <c r="GE39" s="55"/>
      <c r="GF39" s="55"/>
      <c r="GG39" s="55"/>
      <c r="GH39" s="55"/>
      <c r="GI39" s="55"/>
      <c r="GJ39" s="55"/>
      <c r="GK39" s="55"/>
      <c r="GL39" s="55"/>
      <c r="GM39" s="55"/>
      <c r="GN39" s="55"/>
      <c r="GO39" s="55"/>
      <c r="GP39" s="55"/>
      <c r="GQ39" s="55"/>
      <c r="GR39" s="55"/>
      <c r="GS39" s="55"/>
      <c r="GT39" s="55"/>
      <c r="GU39" s="55"/>
      <c r="GV39" s="55"/>
      <c r="GW39" s="55"/>
      <c r="GX39" s="55"/>
      <c r="GY39" s="55"/>
      <c r="GZ39" s="55"/>
      <c r="HA39" s="55"/>
      <c r="HB39" s="55"/>
      <c r="HC39" s="55"/>
      <c r="HD39" s="55"/>
      <c r="HE39" s="55"/>
      <c r="HF39" s="55"/>
      <c r="HG39" s="55"/>
      <c r="HH39" s="55"/>
    </row>
    <row r="40" spans="3:216">
      <c r="C40" s="123"/>
      <c r="D40" s="123"/>
      <c r="E40" s="123"/>
      <c r="F40" s="123"/>
      <c r="G40" s="123"/>
      <c r="H40" s="128"/>
      <c r="I40" s="123"/>
      <c r="J40" s="123"/>
      <c r="K40" s="123"/>
      <c r="L40" s="123"/>
      <c r="M40" s="123"/>
      <c r="N40" s="123"/>
      <c r="O40" s="123"/>
      <c r="P40" s="128"/>
      <c r="Q40" s="123"/>
      <c r="R40" s="123"/>
      <c r="S40" s="123"/>
      <c r="T40" s="123"/>
      <c r="U40" s="123"/>
      <c r="V40" s="123"/>
      <c r="W40" s="123"/>
      <c r="X40" s="123"/>
      <c r="Y40" s="123"/>
      <c r="Z40" s="123"/>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row>
    <row r="41" spans="3:216">
      <c r="C41" s="123"/>
      <c r="D41" s="129"/>
      <c r="E41" s="123"/>
      <c r="F41" s="123"/>
      <c r="G41" s="123"/>
      <c r="H41" s="128"/>
      <c r="I41" s="123"/>
      <c r="J41" s="123"/>
      <c r="K41" s="123"/>
      <c r="L41" s="123"/>
      <c r="M41" s="123"/>
      <c r="N41" s="123"/>
      <c r="O41" s="123"/>
      <c r="P41" s="128"/>
      <c r="Q41" s="123"/>
      <c r="R41" s="123"/>
      <c r="S41" s="123"/>
      <c r="T41" s="123"/>
      <c r="U41" s="123"/>
      <c r="V41" s="123"/>
      <c r="W41" s="123"/>
      <c r="X41" s="123"/>
      <c r="Y41" s="123"/>
      <c r="Z41" s="123"/>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c r="FQ41" s="55"/>
      <c r="FR41" s="55"/>
      <c r="FS41" s="55"/>
      <c r="FT41" s="55"/>
      <c r="FU41" s="55"/>
      <c r="FV41" s="55"/>
      <c r="FW41" s="55"/>
      <c r="FX41" s="55"/>
      <c r="FY41" s="55"/>
      <c r="FZ41" s="55"/>
      <c r="GA41" s="55"/>
      <c r="GB41" s="55"/>
      <c r="GC41" s="55"/>
      <c r="GD41" s="55"/>
      <c r="GE41" s="55"/>
      <c r="GF41" s="55"/>
      <c r="GG41" s="55"/>
      <c r="GH41" s="55"/>
      <c r="GI41" s="55"/>
      <c r="GJ41" s="55"/>
      <c r="GK41" s="55"/>
      <c r="GL41" s="55"/>
      <c r="GM41" s="55"/>
      <c r="GN41" s="55"/>
      <c r="GO41" s="55"/>
      <c r="GP41" s="55"/>
      <c r="GQ41" s="55"/>
      <c r="GR41" s="55"/>
      <c r="GS41" s="55"/>
      <c r="GT41" s="55"/>
      <c r="GU41" s="55"/>
      <c r="GV41" s="55"/>
      <c r="GW41" s="55"/>
      <c r="GX41" s="55"/>
      <c r="GY41" s="55"/>
      <c r="GZ41" s="55"/>
      <c r="HA41" s="55"/>
      <c r="HB41" s="55"/>
      <c r="HC41" s="55"/>
      <c r="HD41" s="55"/>
      <c r="HE41" s="55"/>
      <c r="HF41" s="55"/>
      <c r="HG41" s="55"/>
      <c r="HH41" s="55"/>
    </row>
    <row r="42" spans="3:216">
      <c r="C42" s="123"/>
      <c r="D42" s="123"/>
      <c r="E42" s="123"/>
      <c r="F42" s="123"/>
      <c r="G42" s="123"/>
      <c r="H42" s="128"/>
      <c r="I42" s="123"/>
      <c r="J42" s="123"/>
      <c r="K42" s="123"/>
      <c r="L42" s="123"/>
      <c r="M42" s="123"/>
      <c r="N42" s="123"/>
      <c r="O42" s="123"/>
      <c r="P42" s="128"/>
      <c r="Q42" s="123"/>
      <c r="R42" s="123"/>
      <c r="S42" s="123"/>
      <c r="T42" s="123"/>
      <c r="U42" s="123"/>
      <c r="V42" s="123"/>
      <c r="W42" s="123"/>
      <c r="X42" s="123"/>
      <c r="Y42" s="123"/>
      <c r="Z42" s="123"/>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c r="FQ42" s="55"/>
      <c r="FR42" s="55"/>
      <c r="FS42" s="55"/>
      <c r="FT42" s="55"/>
      <c r="FU42" s="55"/>
      <c r="FV42" s="55"/>
      <c r="FW42" s="55"/>
      <c r="FX42" s="55"/>
      <c r="FY42" s="55"/>
      <c r="FZ42" s="55"/>
      <c r="GA42" s="55"/>
      <c r="GB42" s="55"/>
      <c r="GC42" s="55"/>
      <c r="GD42" s="55"/>
      <c r="GE42" s="55"/>
      <c r="GF42" s="55"/>
      <c r="GG42" s="55"/>
      <c r="GH42" s="55"/>
      <c r="GI42" s="55"/>
      <c r="GJ42" s="55"/>
      <c r="GK42" s="55"/>
      <c r="GL42" s="55"/>
      <c r="GM42" s="55"/>
      <c r="GN42" s="55"/>
      <c r="GO42" s="55"/>
      <c r="GP42" s="55"/>
      <c r="GQ42" s="55"/>
      <c r="GR42" s="55"/>
      <c r="GS42" s="55"/>
      <c r="GT42" s="55"/>
      <c r="GU42" s="55"/>
      <c r="GV42" s="55"/>
      <c r="GW42" s="55"/>
      <c r="GX42" s="55"/>
      <c r="GY42" s="55"/>
      <c r="GZ42" s="55"/>
      <c r="HA42" s="55"/>
      <c r="HB42" s="55"/>
      <c r="HC42" s="55"/>
      <c r="HD42" s="55"/>
      <c r="HE42" s="55"/>
      <c r="HF42" s="55"/>
      <c r="HG42" s="55"/>
      <c r="HH42" s="55"/>
    </row>
    <row r="43" spans="3:216">
      <c r="C43" s="123"/>
      <c r="D43" s="129"/>
      <c r="E43" s="123"/>
      <c r="F43" s="123"/>
      <c r="G43" s="123"/>
      <c r="H43" s="128"/>
      <c r="I43" s="123"/>
      <c r="J43" s="123"/>
      <c r="K43" s="123"/>
      <c r="L43" s="123"/>
      <c r="M43" s="123"/>
      <c r="N43" s="123"/>
      <c r="O43" s="123"/>
      <c r="P43" s="128"/>
      <c r="Q43" s="123"/>
      <c r="R43" s="123"/>
      <c r="S43" s="123"/>
      <c r="T43" s="123"/>
      <c r="U43" s="123"/>
      <c r="V43" s="123"/>
      <c r="W43" s="123"/>
      <c r="X43" s="123"/>
      <c r="Y43" s="123"/>
      <c r="Z43" s="123"/>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row>
    <row r="44" spans="3:216">
      <c r="C44" s="123"/>
      <c r="D44" s="123"/>
      <c r="E44" s="123"/>
      <c r="F44" s="120"/>
      <c r="G44" s="123"/>
      <c r="H44" s="128"/>
      <c r="I44" s="123"/>
      <c r="J44" s="123"/>
      <c r="K44" s="123"/>
      <c r="L44" s="123"/>
      <c r="M44" s="123"/>
      <c r="N44" s="123"/>
      <c r="O44" s="123"/>
      <c r="P44" s="128"/>
      <c r="Q44" s="123"/>
      <c r="R44" s="123"/>
      <c r="S44" s="123"/>
      <c r="T44" s="123"/>
      <c r="U44" s="123"/>
      <c r="V44" s="123"/>
      <c r="W44" s="123"/>
      <c r="X44" s="123"/>
      <c r="Y44" s="123"/>
      <c r="Z44" s="123"/>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row>
    <row r="45" spans="3:216">
      <c r="C45" s="123"/>
      <c r="D45" s="129"/>
      <c r="E45" s="123"/>
      <c r="F45" s="123"/>
      <c r="G45" s="123"/>
      <c r="H45" s="128"/>
      <c r="I45" s="123"/>
      <c r="J45" s="123"/>
      <c r="K45" s="123"/>
      <c r="L45" s="123"/>
      <c r="M45" s="123"/>
      <c r="N45" s="123"/>
      <c r="O45" s="123"/>
      <c r="P45" s="128"/>
      <c r="Q45" s="123"/>
      <c r="R45" s="123"/>
      <c r="S45" s="123"/>
      <c r="T45" s="123"/>
      <c r="U45" s="123"/>
      <c r="V45" s="123"/>
      <c r="W45" s="123"/>
      <c r="X45" s="123"/>
      <c r="Y45" s="123"/>
      <c r="Z45" s="123"/>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row>
    <row r="46" spans="3:216">
      <c r="C46" s="123"/>
      <c r="D46" s="123"/>
      <c r="E46" s="123"/>
      <c r="F46" s="120"/>
      <c r="G46" s="123"/>
      <c r="H46" s="128"/>
      <c r="I46" s="123"/>
      <c r="J46" s="123"/>
      <c r="K46" s="123"/>
      <c r="L46" s="123"/>
      <c r="M46" s="123"/>
      <c r="N46" s="123"/>
      <c r="O46" s="123"/>
      <c r="P46" s="128"/>
      <c r="Q46" s="123"/>
      <c r="R46" s="123"/>
      <c r="S46" s="123"/>
      <c r="T46" s="123"/>
      <c r="U46" s="123"/>
      <c r="V46" s="123"/>
      <c r="W46" s="123"/>
      <c r="X46" s="123"/>
      <c r="Y46" s="123"/>
      <c r="Z46" s="123"/>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row>
    <row r="47" spans="3:216">
      <c r="C47" s="123"/>
      <c r="D47" s="129"/>
      <c r="E47" s="123"/>
      <c r="F47" s="123"/>
      <c r="G47" s="123"/>
      <c r="H47" s="128"/>
      <c r="I47" s="123"/>
      <c r="J47" s="123"/>
      <c r="K47" s="123"/>
      <c r="L47" s="123"/>
      <c r="M47" s="123"/>
      <c r="N47" s="123"/>
      <c r="O47" s="123"/>
      <c r="P47" s="128"/>
      <c r="Q47" s="123"/>
      <c r="R47" s="123"/>
      <c r="S47" s="123"/>
      <c r="T47" s="123"/>
      <c r="U47" s="123"/>
      <c r="V47" s="123"/>
      <c r="W47" s="123"/>
      <c r="X47" s="123"/>
      <c r="Y47" s="123"/>
      <c r="Z47" s="123"/>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row>
    <row r="48" spans="3:216">
      <c r="C48" s="123"/>
      <c r="D48" s="123"/>
      <c r="E48" s="123"/>
      <c r="F48" s="120"/>
      <c r="G48" s="123"/>
      <c r="H48" s="128"/>
      <c r="I48" s="123"/>
      <c r="J48" s="123"/>
      <c r="K48" s="123"/>
      <c r="L48" s="123"/>
      <c r="M48" s="123"/>
      <c r="N48" s="123"/>
      <c r="O48" s="123"/>
      <c r="P48" s="128"/>
      <c r="Q48" s="123"/>
      <c r="R48" s="123"/>
      <c r="S48" s="123"/>
      <c r="T48" s="123"/>
      <c r="U48" s="123"/>
      <c r="V48" s="123"/>
      <c r="W48" s="123"/>
      <c r="X48" s="123"/>
      <c r="Y48" s="123"/>
      <c r="Z48" s="123"/>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row>
    <row r="49" spans="3:216">
      <c r="C49" s="123"/>
      <c r="D49" s="129"/>
      <c r="E49" s="123"/>
      <c r="F49" s="123"/>
      <c r="G49" s="123"/>
      <c r="H49" s="128"/>
      <c r="I49" s="123"/>
      <c r="J49" s="123"/>
      <c r="K49" s="123"/>
      <c r="L49" s="123"/>
      <c r="M49" s="123"/>
      <c r="N49" s="123"/>
      <c r="O49" s="123"/>
      <c r="P49" s="128"/>
      <c r="Q49" s="123"/>
      <c r="R49" s="123"/>
      <c r="S49" s="123"/>
      <c r="T49" s="123"/>
      <c r="U49" s="123"/>
      <c r="V49" s="123"/>
      <c r="W49" s="123"/>
      <c r="X49" s="123"/>
      <c r="Y49" s="123"/>
      <c r="Z49" s="123"/>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row>
    <row r="50" spans="3:216">
      <c r="C50" s="123"/>
      <c r="D50" s="123"/>
      <c r="E50" s="123"/>
      <c r="F50" s="123"/>
      <c r="G50" s="123"/>
      <c r="H50" s="128"/>
      <c r="I50" s="123"/>
      <c r="J50" s="123"/>
      <c r="K50" s="123"/>
      <c r="L50" s="123"/>
      <c r="M50" s="123"/>
      <c r="N50" s="123"/>
      <c r="O50" s="123"/>
      <c r="P50" s="128"/>
      <c r="Q50" s="123"/>
      <c r="R50" s="123"/>
      <c r="S50" s="123"/>
      <c r="T50" s="123"/>
      <c r="U50" s="123"/>
      <c r="V50" s="123"/>
      <c r="W50" s="123"/>
      <c r="X50" s="123"/>
      <c r="Y50" s="123"/>
      <c r="Z50" s="123"/>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row>
    <row r="51" spans="3:216">
      <c r="C51" s="123"/>
      <c r="D51" s="129"/>
      <c r="E51" s="123"/>
      <c r="F51" s="123"/>
      <c r="G51" s="123"/>
      <c r="H51" s="128"/>
      <c r="I51" s="123"/>
      <c r="J51" s="123"/>
      <c r="K51" s="123"/>
      <c r="L51" s="123"/>
      <c r="M51" s="123"/>
      <c r="N51" s="123"/>
      <c r="O51" s="123"/>
      <c r="P51" s="128"/>
      <c r="Q51" s="123"/>
      <c r="R51" s="123"/>
      <c r="S51" s="123"/>
      <c r="T51" s="123"/>
      <c r="U51" s="123"/>
      <c r="V51" s="123"/>
      <c r="W51" s="123"/>
      <c r="X51" s="123"/>
      <c r="Y51" s="123"/>
      <c r="Z51" s="123"/>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row>
    <row r="52" spans="3:216">
      <c r="C52" s="123"/>
      <c r="D52" s="123"/>
      <c r="E52" s="123"/>
      <c r="F52" s="123"/>
      <c r="G52" s="123"/>
      <c r="H52" s="128"/>
      <c r="I52" s="123"/>
      <c r="J52" s="123"/>
      <c r="K52" s="123"/>
      <c r="L52" s="123"/>
      <c r="M52" s="123"/>
      <c r="N52" s="123"/>
      <c r="O52" s="123"/>
      <c r="P52" s="128"/>
      <c r="Q52" s="123"/>
      <c r="R52" s="123"/>
      <c r="S52" s="123"/>
      <c r="T52" s="123"/>
      <c r="U52" s="123"/>
      <c r="V52" s="123"/>
      <c r="W52" s="123"/>
      <c r="X52" s="123"/>
      <c r="Y52" s="123"/>
      <c r="Z52" s="123"/>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row>
    <row r="53" spans="3:216">
      <c r="C53" s="123"/>
      <c r="D53" s="129"/>
      <c r="E53" s="123"/>
      <c r="F53" s="123"/>
      <c r="G53" s="123"/>
      <c r="H53" s="128"/>
      <c r="I53" s="123"/>
      <c r="J53" s="123"/>
      <c r="K53" s="123"/>
      <c r="L53" s="123"/>
      <c r="M53" s="123"/>
      <c r="N53" s="123"/>
      <c r="O53" s="123"/>
      <c r="P53" s="128"/>
      <c r="Q53" s="123"/>
      <c r="R53" s="123"/>
      <c r="S53" s="123"/>
      <c r="T53" s="123"/>
      <c r="U53" s="123"/>
      <c r="V53" s="123"/>
      <c r="W53" s="123"/>
      <c r="X53" s="123"/>
      <c r="Y53" s="123"/>
      <c r="Z53" s="123"/>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row>
    <row r="54" spans="3:216">
      <c r="C54" s="123"/>
      <c r="D54" s="123"/>
      <c r="E54" s="123"/>
      <c r="F54" s="123"/>
      <c r="G54" s="123"/>
      <c r="H54" s="128"/>
      <c r="I54" s="123"/>
      <c r="J54" s="123"/>
      <c r="K54" s="123"/>
      <c r="L54" s="123"/>
      <c r="M54" s="123"/>
      <c r="N54" s="123"/>
      <c r="O54" s="123"/>
      <c r="P54" s="128"/>
      <c r="Q54" s="123"/>
      <c r="R54" s="123"/>
      <c r="S54" s="123"/>
      <c r="T54" s="123"/>
      <c r="U54" s="123"/>
      <c r="V54" s="123"/>
      <c r="W54" s="123"/>
      <c r="X54" s="123"/>
      <c r="Y54" s="123"/>
      <c r="Z54" s="123"/>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row>
    <row r="55" spans="3:216">
      <c r="C55" s="123"/>
      <c r="D55" s="129"/>
      <c r="E55" s="123"/>
      <c r="F55" s="123"/>
      <c r="G55" s="123"/>
      <c r="H55" s="128"/>
      <c r="I55" s="123"/>
      <c r="J55" s="123"/>
      <c r="K55" s="123"/>
      <c r="L55" s="123"/>
      <c r="M55" s="123"/>
      <c r="N55" s="123"/>
      <c r="O55" s="123"/>
      <c r="P55" s="128"/>
      <c r="Q55" s="123"/>
      <c r="R55" s="123"/>
      <c r="S55" s="123"/>
      <c r="T55" s="123"/>
      <c r="U55" s="123"/>
      <c r="V55" s="123"/>
      <c r="W55" s="123"/>
      <c r="X55" s="123"/>
      <c r="Y55" s="123"/>
      <c r="Z55" s="123"/>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row>
    <row r="56" spans="3:216">
      <c r="C56" s="125"/>
      <c r="D56" s="123"/>
      <c r="E56" s="123"/>
      <c r="F56" s="123"/>
      <c r="G56" s="123"/>
      <c r="H56" s="128"/>
      <c r="I56" s="123"/>
      <c r="J56" s="123"/>
      <c r="K56" s="123"/>
      <c r="L56" s="123"/>
      <c r="M56" s="123"/>
      <c r="N56" s="123"/>
      <c r="O56" s="123"/>
      <c r="P56" s="128"/>
      <c r="Q56" s="123"/>
      <c r="R56" s="123"/>
      <c r="S56" s="123"/>
      <c r="T56" s="123"/>
      <c r="U56" s="123"/>
      <c r="V56" s="123"/>
      <c r="W56" s="123"/>
      <c r="X56" s="123"/>
      <c r="Y56" s="123"/>
      <c r="Z56" s="123"/>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row>
    <row r="57" spans="3:216">
      <c r="C57" s="120"/>
      <c r="D57" s="123"/>
      <c r="E57" s="123"/>
      <c r="F57" s="123"/>
      <c r="G57" s="123"/>
      <c r="H57" s="123"/>
      <c r="I57" s="123"/>
      <c r="J57" s="123"/>
      <c r="K57" s="123"/>
      <c r="L57" s="123"/>
      <c r="M57" s="123"/>
      <c r="N57" s="123"/>
      <c r="O57" s="123"/>
      <c r="P57" s="123"/>
      <c r="Q57" s="123"/>
      <c r="R57" s="124"/>
      <c r="S57" s="124"/>
      <c r="T57" s="123"/>
      <c r="U57" s="123"/>
      <c r="V57" s="123"/>
      <c r="W57" s="123"/>
      <c r="X57" s="123"/>
      <c r="Y57" s="123"/>
      <c r="Z57" s="123"/>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row>
    <row r="58" spans="3:216">
      <c r="C58" s="120"/>
      <c r="D58" s="123"/>
      <c r="E58" s="123"/>
      <c r="F58" s="120"/>
      <c r="G58" s="123"/>
      <c r="H58" s="120"/>
      <c r="I58" s="123"/>
      <c r="J58" s="123"/>
      <c r="K58" s="123"/>
      <c r="L58" s="123"/>
      <c r="M58" s="123"/>
      <c r="N58" s="123"/>
      <c r="O58" s="123"/>
      <c r="P58" s="123"/>
      <c r="Q58" s="123"/>
      <c r="R58" s="124"/>
      <c r="S58" s="124"/>
      <c r="T58" s="123"/>
      <c r="U58" s="123"/>
      <c r="V58" s="123"/>
      <c r="W58" s="123"/>
      <c r="X58" s="123"/>
      <c r="Y58" s="123"/>
      <c r="Z58" s="123"/>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row>
    <row r="59" spans="3:216">
      <c r="C59" s="120"/>
      <c r="D59" s="123"/>
      <c r="E59" s="123"/>
      <c r="F59" s="120"/>
      <c r="G59" s="123"/>
      <c r="H59" s="120"/>
      <c r="I59" s="123"/>
      <c r="J59" s="123"/>
      <c r="K59" s="123"/>
      <c r="L59" s="123"/>
      <c r="M59" s="123"/>
      <c r="N59" s="123"/>
      <c r="O59" s="123"/>
      <c r="P59" s="123"/>
      <c r="Q59" s="123"/>
      <c r="R59" s="124"/>
      <c r="S59" s="124"/>
      <c r="T59" s="123"/>
      <c r="U59" s="123"/>
      <c r="V59" s="123"/>
      <c r="W59" s="123"/>
      <c r="X59" s="123"/>
      <c r="Y59" s="123"/>
      <c r="Z59" s="123"/>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row>
    <row r="60" spans="3:216">
      <c r="C60" s="123"/>
      <c r="D60" s="125"/>
      <c r="E60" s="123"/>
      <c r="F60" s="123"/>
      <c r="G60" s="123"/>
      <c r="H60" s="128"/>
      <c r="I60" s="123"/>
      <c r="J60" s="123"/>
      <c r="K60" s="123"/>
      <c r="L60" s="123"/>
      <c r="M60" s="123"/>
      <c r="N60" s="123"/>
      <c r="O60" s="123"/>
      <c r="P60" s="128"/>
      <c r="Q60" s="123"/>
      <c r="R60" s="123"/>
      <c r="S60" s="123"/>
      <c r="T60" s="123"/>
      <c r="U60" s="123"/>
      <c r="V60" s="123"/>
      <c r="W60" s="123"/>
      <c r="X60" s="123"/>
      <c r="Y60" s="123"/>
      <c r="Z60" s="123"/>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row>
    <row r="61" spans="3:216">
      <c r="C61" s="123"/>
      <c r="D61" s="120"/>
      <c r="E61" s="123"/>
      <c r="F61" s="123"/>
      <c r="G61" s="123"/>
      <c r="H61" s="128"/>
      <c r="I61" s="123"/>
      <c r="J61" s="123"/>
      <c r="K61" s="123"/>
      <c r="L61" s="123"/>
      <c r="M61" s="123"/>
      <c r="N61" s="123"/>
      <c r="O61" s="123"/>
      <c r="P61" s="128"/>
      <c r="Q61" s="123"/>
      <c r="R61" s="123"/>
      <c r="S61" s="123"/>
      <c r="T61" s="123"/>
      <c r="U61" s="123"/>
      <c r="V61" s="123"/>
      <c r="W61" s="123"/>
      <c r="X61" s="123"/>
      <c r="Y61" s="123"/>
      <c r="Z61" s="123"/>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row>
    <row r="62" spans="3:216">
      <c r="C62" s="123"/>
      <c r="D62" s="125"/>
      <c r="E62" s="123"/>
      <c r="F62" s="123"/>
      <c r="G62" s="123"/>
      <c r="H62" s="128"/>
      <c r="I62" s="123"/>
      <c r="J62" s="123"/>
      <c r="K62" s="123"/>
      <c r="L62" s="123"/>
      <c r="M62" s="123"/>
      <c r="N62" s="123"/>
      <c r="O62" s="123"/>
      <c r="P62" s="128"/>
      <c r="Q62" s="123"/>
      <c r="R62" s="123"/>
      <c r="S62" s="123"/>
      <c r="T62" s="123"/>
      <c r="U62" s="123"/>
      <c r="V62" s="123"/>
      <c r="W62" s="123"/>
      <c r="X62" s="123"/>
      <c r="Y62" s="123"/>
      <c r="Z62" s="123"/>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row>
    <row r="63" spans="3:216">
      <c r="C63" s="123"/>
      <c r="D63" s="120"/>
      <c r="E63" s="123"/>
      <c r="F63" s="123"/>
      <c r="G63" s="123"/>
      <c r="H63" s="128"/>
      <c r="I63" s="123"/>
      <c r="J63" s="123"/>
      <c r="K63" s="123"/>
      <c r="L63" s="123"/>
      <c r="M63" s="123"/>
      <c r="N63" s="123"/>
      <c r="O63" s="123"/>
      <c r="P63" s="128"/>
      <c r="Q63" s="123"/>
      <c r="R63" s="123"/>
      <c r="S63" s="123"/>
      <c r="T63" s="123"/>
      <c r="U63" s="123"/>
      <c r="V63" s="123"/>
      <c r="W63" s="123"/>
      <c r="X63" s="123"/>
      <c r="Y63" s="123"/>
      <c r="Z63" s="123"/>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row>
    <row r="64" spans="3:216">
      <c r="C64" s="123"/>
      <c r="D64" s="125"/>
      <c r="E64" s="123"/>
      <c r="F64" s="123"/>
      <c r="G64" s="123"/>
      <c r="H64" s="128"/>
      <c r="I64" s="123"/>
      <c r="J64" s="123"/>
      <c r="K64" s="123"/>
      <c r="L64" s="123"/>
      <c r="M64" s="123"/>
      <c r="N64" s="123"/>
      <c r="O64" s="123"/>
      <c r="P64" s="128"/>
      <c r="Q64" s="123"/>
      <c r="R64" s="123"/>
      <c r="S64" s="123"/>
      <c r="T64" s="123"/>
      <c r="U64" s="123"/>
      <c r="V64" s="123"/>
      <c r="W64" s="123"/>
      <c r="X64" s="123"/>
      <c r="Y64" s="123"/>
      <c r="Z64" s="123"/>
    </row>
    <row r="65" spans="3:26">
      <c r="C65" s="123"/>
      <c r="D65" s="120"/>
      <c r="E65" s="123"/>
      <c r="F65" s="123"/>
      <c r="G65" s="123"/>
      <c r="H65" s="128"/>
      <c r="I65" s="123"/>
      <c r="J65" s="123"/>
      <c r="K65" s="123"/>
      <c r="L65" s="123"/>
      <c r="M65" s="123"/>
      <c r="N65" s="123"/>
      <c r="O65" s="123"/>
      <c r="P65" s="128"/>
      <c r="Q65" s="123"/>
      <c r="R65" s="123"/>
      <c r="S65" s="123"/>
      <c r="T65" s="123"/>
      <c r="U65" s="123"/>
      <c r="V65" s="123"/>
      <c r="W65" s="123"/>
      <c r="X65" s="123"/>
      <c r="Y65" s="123"/>
      <c r="Z65" s="123"/>
    </row>
    <row r="66" spans="3:26">
      <c r="C66" s="123"/>
      <c r="D66" s="125"/>
      <c r="E66" s="123"/>
      <c r="F66" s="123"/>
      <c r="G66" s="123"/>
      <c r="H66" s="128"/>
      <c r="I66" s="123"/>
      <c r="J66" s="123"/>
      <c r="K66" s="123"/>
      <c r="L66" s="123"/>
      <c r="M66" s="123"/>
      <c r="N66" s="123"/>
      <c r="O66" s="123"/>
      <c r="P66" s="128"/>
      <c r="Q66" s="123"/>
      <c r="R66" s="123"/>
      <c r="S66" s="123"/>
      <c r="T66" s="123"/>
      <c r="U66" s="123"/>
      <c r="V66" s="123"/>
      <c r="W66" s="123"/>
      <c r="X66" s="123"/>
      <c r="Y66" s="123"/>
      <c r="Z66" s="123"/>
    </row>
    <row r="67" spans="3:26">
      <c r="C67" s="123"/>
      <c r="D67" s="123"/>
      <c r="E67" s="123"/>
      <c r="F67" s="120"/>
      <c r="G67" s="123"/>
      <c r="H67" s="128"/>
      <c r="I67" s="123"/>
      <c r="J67" s="123"/>
      <c r="K67" s="123"/>
      <c r="L67" s="123"/>
      <c r="M67" s="123"/>
      <c r="N67" s="123"/>
      <c r="O67" s="123"/>
      <c r="P67" s="128"/>
      <c r="Q67" s="123"/>
      <c r="R67" s="123"/>
      <c r="S67" s="123"/>
      <c r="T67" s="123"/>
      <c r="U67" s="123"/>
      <c r="V67" s="123"/>
      <c r="W67" s="123"/>
      <c r="X67" s="123"/>
      <c r="Y67" s="123"/>
      <c r="Z67" s="123"/>
    </row>
    <row r="68" spans="3:26">
      <c r="C68" s="123"/>
      <c r="D68" s="129"/>
      <c r="E68" s="123"/>
      <c r="F68" s="123"/>
      <c r="G68" s="123"/>
      <c r="H68" s="128"/>
      <c r="I68" s="123"/>
      <c r="J68" s="123"/>
      <c r="K68" s="123"/>
      <c r="L68" s="123"/>
      <c r="M68" s="123"/>
      <c r="N68" s="123"/>
      <c r="O68" s="123"/>
      <c r="P68" s="128"/>
      <c r="Q68" s="123"/>
      <c r="R68" s="123"/>
      <c r="S68" s="123"/>
      <c r="T68" s="123"/>
      <c r="U68" s="123"/>
      <c r="V68" s="123"/>
      <c r="W68" s="123"/>
      <c r="X68" s="123"/>
      <c r="Y68" s="123"/>
      <c r="Z68" s="123"/>
    </row>
    <row r="69" spans="3:26">
      <c r="C69" s="123"/>
      <c r="D69" s="123"/>
      <c r="E69" s="123"/>
      <c r="F69" s="120"/>
      <c r="G69" s="123"/>
      <c r="H69" s="128"/>
      <c r="I69" s="123"/>
      <c r="J69" s="123"/>
      <c r="K69" s="123"/>
      <c r="L69" s="123"/>
      <c r="M69" s="123"/>
      <c r="N69" s="123"/>
      <c r="O69" s="123"/>
      <c r="P69" s="128"/>
      <c r="Q69" s="123"/>
      <c r="R69" s="123"/>
      <c r="S69" s="123"/>
      <c r="T69" s="123"/>
      <c r="U69" s="123"/>
      <c r="V69" s="123"/>
      <c r="W69" s="123"/>
      <c r="X69" s="123"/>
      <c r="Y69" s="123"/>
      <c r="Z69" s="123"/>
    </row>
    <row r="70" spans="3:26">
      <c r="C70" s="123"/>
      <c r="D70" s="129"/>
      <c r="E70" s="123"/>
      <c r="F70" s="123"/>
      <c r="G70" s="123"/>
      <c r="H70" s="128"/>
      <c r="I70" s="123"/>
      <c r="J70" s="123"/>
      <c r="K70" s="123"/>
      <c r="L70" s="123"/>
      <c r="M70" s="123"/>
      <c r="N70" s="123"/>
      <c r="O70" s="123"/>
      <c r="P70" s="128"/>
      <c r="Q70" s="123"/>
      <c r="R70" s="123"/>
      <c r="S70" s="123"/>
      <c r="T70" s="123"/>
      <c r="U70" s="123"/>
      <c r="V70" s="123"/>
      <c r="W70" s="123"/>
      <c r="X70" s="123"/>
      <c r="Y70" s="123"/>
      <c r="Z70" s="123"/>
    </row>
    <row r="71" spans="3:26">
      <c r="C71" s="123"/>
      <c r="D71" s="129"/>
      <c r="E71" s="123"/>
      <c r="F71" s="123"/>
      <c r="G71" s="123"/>
      <c r="H71" s="128"/>
      <c r="I71" s="123"/>
      <c r="J71" s="123"/>
      <c r="K71" s="123"/>
      <c r="L71" s="123"/>
      <c r="M71" s="123"/>
      <c r="N71" s="123"/>
      <c r="O71" s="123"/>
      <c r="P71" s="128"/>
      <c r="Q71" s="123"/>
      <c r="R71" s="123"/>
      <c r="S71" s="123"/>
      <c r="T71" s="123"/>
      <c r="U71" s="123"/>
      <c r="V71" s="123"/>
      <c r="W71" s="123"/>
      <c r="X71" s="123"/>
      <c r="Y71" s="123"/>
      <c r="Z71" s="123"/>
    </row>
    <row r="72" spans="3:26">
      <c r="C72" s="123"/>
      <c r="D72" s="125"/>
      <c r="E72" s="123"/>
      <c r="F72" s="123"/>
      <c r="G72" s="123"/>
      <c r="H72" s="128"/>
      <c r="I72" s="123"/>
      <c r="J72" s="123"/>
      <c r="K72" s="123"/>
      <c r="L72" s="123"/>
      <c r="M72" s="123"/>
      <c r="N72" s="123"/>
      <c r="O72" s="123"/>
      <c r="P72" s="128"/>
      <c r="Q72" s="123"/>
      <c r="R72" s="123"/>
      <c r="S72" s="123"/>
      <c r="T72" s="123"/>
      <c r="U72" s="123"/>
      <c r="V72" s="123"/>
      <c r="W72" s="123"/>
      <c r="X72" s="123"/>
      <c r="Y72" s="123"/>
      <c r="Z72" s="123"/>
    </row>
    <row r="73" spans="3:26">
      <c r="C73" s="123"/>
      <c r="D73" s="120"/>
      <c r="E73" s="123"/>
      <c r="F73" s="123"/>
      <c r="G73" s="123"/>
      <c r="H73" s="128"/>
      <c r="I73" s="123"/>
      <c r="J73" s="123"/>
      <c r="K73" s="123"/>
      <c r="L73" s="123"/>
      <c r="M73" s="123"/>
      <c r="N73" s="123"/>
      <c r="O73" s="123"/>
      <c r="P73" s="128"/>
      <c r="Q73" s="123"/>
      <c r="R73" s="123"/>
      <c r="S73" s="123"/>
      <c r="T73" s="123"/>
      <c r="U73" s="123"/>
      <c r="V73" s="123"/>
      <c r="W73" s="123"/>
      <c r="X73" s="123"/>
      <c r="Y73" s="123"/>
      <c r="Z73" s="123"/>
    </row>
    <row r="74" spans="3:26">
      <c r="C74" s="123"/>
      <c r="D74" s="125"/>
      <c r="E74" s="123"/>
      <c r="F74" s="123"/>
      <c r="G74" s="123"/>
      <c r="H74" s="128"/>
      <c r="I74" s="123"/>
      <c r="J74" s="123"/>
      <c r="K74" s="123"/>
      <c r="L74" s="123"/>
      <c r="M74" s="123"/>
      <c r="N74" s="123"/>
      <c r="O74" s="123"/>
      <c r="P74" s="128"/>
      <c r="Q74" s="123"/>
      <c r="R74" s="123"/>
      <c r="S74" s="123"/>
      <c r="T74" s="123"/>
      <c r="U74" s="123"/>
      <c r="V74" s="123"/>
      <c r="W74" s="123"/>
      <c r="X74" s="123"/>
      <c r="Y74" s="123"/>
      <c r="Z74" s="123"/>
    </row>
    <row r="75" spans="3:26">
      <c r="C75" s="123"/>
      <c r="D75" s="125"/>
      <c r="E75" s="123"/>
      <c r="F75" s="123"/>
      <c r="G75" s="123"/>
      <c r="H75" s="128"/>
      <c r="I75" s="123"/>
      <c r="J75" s="123"/>
      <c r="K75" s="123"/>
      <c r="L75" s="123"/>
      <c r="M75" s="123"/>
      <c r="N75" s="123"/>
      <c r="O75" s="123"/>
      <c r="P75" s="128"/>
      <c r="Q75" s="123"/>
      <c r="R75" s="123"/>
      <c r="S75" s="123"/>
      <c r="T75" s="123"/>
      <c r="U75" s="123"/>
      <c r="V75" s="123"/>
      <c r="W75" s="123"/>
      <c r="X75" s="123"/>
      <c r="Y75" s="123"/>
      <c r="Z75" s="123"/>
    </row>
  </sheetData>
  <phoneticPr fontId="0" type="noConversion"/>
  <pageMargins left="0.75" right="0.75" top="1" bottom="1" header="0.5" footer="0.5"/>
  <pageSetup orientation="landscape" horizontalDpi="300" verticalDpi="300" r:id="rId1"/>
  <headerFooter alignWithMargins="0"/>
  <legacyDrawing r:id="rId2"/>
</worksheet>
</file>

<file path=xl/worksheets/sheet47.xml><?xml version="1.0" encoding="utf-8"?>
<worksheet xmlns="http://schemas.openxmlformats.org/spreadsheetml/2006/main" xmlns:r="http://schemas.openxmlformats.org/officeDocument/2006/relationships">
  <sheetPr codeName="Sheet552"/>
  <dimension ref="A1:V30"/>
  <sheetViews>
    <sheetView zoomScale="75" workbookViewId="0">
      <selection activeCell="G22" sqref="G22:H22"/>
    </sheetView>
  </sheetViews>
  <sheetFormatPr defaultColWidth="11.42578125" defaultRowHeight="12.75"/>
  <cols>
    <col min="1" max="1" width="15.85546875" customWidth="1"/>
    <col min="2" max="2" width="13.5703125" customWidth="1"/>
    <col min="3" max="3" width="38.5703125" customWidth="1"/>
    <col min="4" max="4" width="10.85546875" customWidth="1"/>
    <col min="5" max="6" width="9.7109375" bestFit="1" customWidth="1"/>
  </cols>
  <sheetData>
    <row r="1" spans="1:22" ht="18">
      <c r="A1" s="10" t="s">
        <v>640</v>
      </c>
    </row>
    <row r="2" spans="1:22" ht="18">
      <c r="A2" s="10"/>
      <c r="D2" s="245"/>
    </row>
    <row r="3" spans="1:22" ht="18">
      <c r="A3" s="10"/>
      <c r="B3" s="16"/>
      <c r="C3" s="17"/>
      <c r="D3" s="245"/>
      <c r="O3" s="18">
        <v>1</v>
      </c>
      <c r="P3" t="s">
        <v>666</v>
      </c>
    </row>
    <row r="4" spans="1:22" ht="18">
      <c r="B4" s="131" t="s">
        <v>594</v>
      </c>
      <c r="C4" s="98"/>
      <c r="D4" s="252" t="str">
        <f>"~FI_T: "&amp;Region</f>
        <v>~FI_T: FIM</v>
      </c>
      <c r="E4" s="4" t="s">
        <v>250</v>
      </c>
      <c r="R4" s="4"/>
      <c r="S4" s="4"/>
    </row>
    <row r="5" spans="1:22" ht="39" thickBot="1">
      <c r="A5" s="14"/>
      <c r="B5" s="52" t="s">
        <v>57</v>
      </c>
      <c r="C5" s="52" t="s">
        <v>58</v>
      </c>
      <c r="D5" s="52" t="s">
        <v>56</v>
      </c>
      <c r="E5" s="94" t="str">
        <f ca="1">CONCATENATE("\I:",IEAData2!$F$2," final energy")</f>
        <v>\I:2010 final energy</v>
      </c>
      <c r="F5" s="94" t="str">
        <f ca="1">CONCATENATE("\I:",AuxData2!$F$2," final energy")</f>
        <v>\I:2017 final energy</v>
      </c>
      <c r="G5" s="94" t="str">
        <f ca="1">CONCATENATE("\I:",IEAData2!$D$2," EFF")</f>
        <v>\I: EFF</v>
      </c>
      <c r="H5" s="94" t="str">
        <f ca="1">CONCATENATE("\I:",IEAData2!$D$2," Service Demand")</f>
        <v>\I: Service Demand</v>
      </c>
      <c r="I5" s="94" t="s">
        <v>1091</v>
      </c>
      <c r="J5" s="52" t="s">
        <v>534</v>
      </c>
      <c r="K5" s="52" t="s">
        <v>758</v>
      </c>
      <c r="L5" s="52" t="s">
        <v>661</v>
      </c>
      <c r="M5" s="52" t="s">
        <v>662</v>
      </c>
      <c r="N5" s="52" t="s">
        <v>88</v>
      </c>
      <c r="O5" s="52" t="s">
        <v>541</v>
      </c>
      <c r="P5" s="52" t="str">
        <f ca="1">O5&amp;"~"&amp;AuxYear</f>
        <v>RESID~2017</v>
      </c>
      <c r="Q5" s="52" t="str">
        <f ca="1">"RESID~"&amp;CEILING(AuxYear+9,5)</f>
        <v>RESID~2030</v>
      </c>
      <c r="R5" s="52" t="str">
        <f ca="1">"RESID~"&amp;CEILING(AuxYear+19,5)</f>
        <v>RESID~2040</v>
      </c>
      <c r="S5" s="52" t="str">
        <f ca="1">"RESID~"&amp;CEILING(AuxYear+29,5)</f>
        <v>RESID~2050</v>
      </c>
      <c r="T5" s="52" t="s">
        <v>537</v>
      </c>
      <c r="U5" s="52" t="s">
        <v>778</v>
      </c>
      <c r="V5" s="257" t="s">
        <v>381</v>
      </c>
    </row>
    <row r="6" spans="1:22" ht="15" customHeight="1">
      <c r="A6" s="14"/>
      <c r="B6" s="434" t="s">
        <v>999</v>
      </c>
      <c r="C6" s="462"/>
      <c r="D6" s="462"/>
      <c r="E6" s="483"/>
      <c r="F6" s="483"/>
      <c r="G6" s="483"/>
      <c r="H6" s="483"/>
      <c r="I6" s="462"/>
      <c r="J6" s="484"/>
      <c r="K6" s="483"/>
      <c r="L6" s="462"/>
      <c r="M6" s="462"/>
      <c r="N6" s="483"/>
      <c r="O6" s="485"/>
      <c r="P6" s="462"/>
      <c r="Q6" s="462"/>
      <c r="R6" s="485"/>
      <c r="S6" s="462"/>
      <c r="T6" s="462"/>
      <c r="U6" s="462"/>
      <c r="V6" s="257"/>
    </row>
    <row r="7" spans="1:22" ht="15" customHeight="1" thickBot="1">
      <c r="A7" s="74"/>
      <c r="B7" s="266" t="s">
        <v>484</v>
      </c>
      <c r="C7" s="26" t="s">
        <v>31</v>
      </c>
      <c r="D7" s="24" t="s">
        <v>834</v>
      </c>
      <c r="E7" s="34">
        <f ca="1">IEAData2!$G$179</f>
        <v>1.1788954496439605</v>
      </c>
      <c r="F7" s="34">
        <f ca="1">AuxData2!$G$179</f>
        <v>1.181363675430861</v>
      </c>
      <c r="G7" s="54">
        <v>1</v>
      </c>
      <c r="H7" s="464" t="str">
        <f>RIGHT(D7,3)</f>
        <v>ELC</v>
      </c>
      <c r="I7" s="20">
        <v>1</v>
      </c>
      <c r="J7" s="21">
        <f>G7*I7</f>
        <v>1</v>
      </c>
      <c r="K7" s="465">
        <f ca="1">F7*J7</f>
        <v>1.181363675430861</v>
      </c>
      <c r="L7" s="73">
        <v>1</v>
      </c>
      <c r="M7" s="20">
        <v>1</v>
      </c>
      <c r="N7" s="20">
        <v>15</v>
      </c>
      <c r="O7" s="162">
        <f ca="1">E7*J7/$M7</f>
        <v>1.1788954496439605</v>
      </c>
      <c r="P7" s="117">
        <f ca="1">F7*J7/$M7</f>
        <v>1.181363675430861</v>
      </c>
      <c r="Q7" s="352">
        <f ca="1">P7*0.65</f>
        <v>0.76788638903005968</v>
      </c>
      <c r="R7" s="54">
        <f ca="1">Q7*0.3</f>
        <v>0.2303659167090179</v>
      </c>
      <c r="S7" s="54"/>
      <c r="T7" s="54"/>
      <c r="U7" s="54"/>
      <c r="V7" s="258">
        <f ca="1">IF($E$8=0,0,E7/$E$8)</f>
        <v>1</v>
      </c>
    </row>
    <row r="8" spans="1:22" ht="15" customHeight="1">
      <c r="B8" s="434" t="s">
        <v>999</v>
      </c>
      <c r="C8" s="452" t="s">
        <v>70</v>
      </c>
      <c r="D8" s="452"/>
      <c r="E8" s="453">
        <f ca="1">SUM(E7:E7)</f>
        <v>1.1788954496439605</v>
      </c>
      <c r="F8" s="453">
        <f ca="1">SUM(F7:F7)</f>
        <v>1.181363675430861</v>
      </c>
      <c r="G8" s="453"/>
      <c r="H8" s="453">
        <f ca="1">SUMPRODUCT(E$7:E7,J$7:J7)</f>
        <v>1.1788954496439605</v>
      </c>
      <c r="I8" s="452"/>
      <c r="J8" s="454"/>
      <c r="K8" s="453">
        <f ca="1">SUM(K7:K7)</f>
        <v>1.181363675430861</v>
      </c>
      <c r="L8" s="452"/>
      <c r="M8" s="452"/>
      <c r="N8" s="453"/>
      <c r="O8" s="260">
        <f ca="1">SUM(O7:O7)</f>
        <v>1.1788954496439605</v>
      </c>
      <c r="P8" s="452"/>
      <c r="Q8" s="452"/>
      <c r="R8" s="260"/>
      <c r="S8" s="452"/>
      <c r="T8" s="452"/>
      <c r="U8" s="452"/>
      <c r="V8" s="259">
        <f ca="1">SUM(V7)</f>
        <v>1</v>
      </c>
    </row>
    <row r="9" spans="1:22" ht="15" customHeight="1" thickBot="1">
      <c r="A9" s="7"/>
      <c r="B9" s="469" t="s">
        <v>481</v>
      </c>
      <c r="C9" s="470" t="s">
        <v>32</v>
      </c>
      <c r="D9" s="471" t="s">
        <v>833</v>
      </c>
      <c r="E9" s="472">
        <f ca="1">IEAData2!$H$179</f>
        <v>1.2690340452150792</v>
      </c>
      <c r="F9" s="472">
        <f ca="1">AuxData2!$H$179</f>
        <v>1.2704027822280028</v>
      </c>
      <c r="G9" s="473">
        <v>1</v>
      </c>
      <c r="H9" s="474" t="str">
        <f>RIGHT(D9,3)</f>
        <v>ELC</v>
      </c>
      <c r="I9" s="475">
        <v>1</v>
      </c>
      <c r="J9" s="476">
        <f>G9*I9</f>
        <v>1</v>
      </c>
      <c r="K9" s="477">
        <f ca="1">F9*J9</f>
        <v>1.2704027822280028</v>
      </c>
      <c r="L9" s="478">
        <v>1</v>
      </c>
      <c r="M9" s="475">
        <v>1</v>
      </c>
      <c r="N9" s="475">
        <v>10</v>
      </c>
      <c r="O9" s="479">
        <f ca="1">E9*J9/$M9</f>
        <v>1.2690340452150792</v>
      </c>
      <c r="P9" s="480">
        <f ca="1">F9*J9/$M9</f>
        <v>1.2704027822280028</v>
      </c>
      <c r="Q9" s="481">
        <f ca="1">P9*0.6</f>
        <v>0.76224166933680171</v>
      </c>
      <c r="R9" s="480">
        <f ca="1">Q9*0.2</f>
        <v>0.15244833386736034</v>
      </c>
      <c r="S9" s="482"/>
      <c r="T9" s="482"/>
      <c r="U9" s="482"/>
      <c r="V9" s="258">
        <f ca="1">IF($E$10=0,0,E9/$E$10)</f>
        <v>1</v>
      </c>
    </row>
    <row r="10" spans="1:22" ht="15" customHeight="1">
      <c r="A10" s="55"/>
      <c r="B10" s="434" t="s">
        <v>999</v>
      </c>
      <c r="C10" s="452" t="s">
        <v>482</v>
      </c>
      <c r="D10" s="452"/>
      <c r="E10" s="453">
        <f ca="1">SUM(E9:E9)</f>
        <v>1.2690340452150792</v>
      </c>
      <c r="F10" s="453">
        <f ca="1">SUM(F9:F9)</f>
        <v>1.2704027822280028</v>
      </c>
      <c r="G10" s="453"/>
      <c r="H10" s="453">
        <f ca="1">SUMPRODUCT(E$9:E9,J$9:J9)</f>
        <v>1.2690340452150792</v>
      </c>
      <c r="I10" s="452"/>
      <c r="J10" s="454"/>
      <c r="K10" s="453">
        <f ca="1">SUM(K9:K9)</f>
        <v>1.2704027822280028</v>
      </c>
      <c r="L10" s="452"/>
      <c r="M10" s="452"/>
      <c r="N10" s="453"/>
      <c r="O10" s="260">
        <f ca="1">SUM(O9:O9)</f>
        <v>1.2690340452150792</v>
      </c>
      <c r="P10" s="452"/>
      <c r="Q10" s="452"/>
      <c r="R10" s="260"/>
      <c r="S10" s="452"/>
      <c r="T10" s="452"/>
      <c r="U10" s="452"/>
      <c r="V10" s="259">
        <f ca="1">SUM(V9)</f>
        <v>1</v>
      </c>
    </row>
    <row r="11" spans="1:22" ht="15" customHeight="1">
      <c r="A11" s="55"/>
      <c r="B11" s="267" t="s">
        <v>483</v>
      </c>
      <c r="C11" s="99" t="s">
        <v>32</v>
      </c>
      <c r="D11" s="99" t="s">
        <v>834</v>
      </c>
      <c r="E11" s="103">
        <f ca="1">IEAData2!$I$179</f>
        <v>7.0874373601522063</v>
      </c>
      <c r="F11" s="103">
        <f ca="1">AuxData2!$I$179</f>
        <v>7.0916153274583706</v>
      </c>
      <c r="G11" s="69">
        <v>1</v>
      </c>
      <c r="H11" s="343" t="str">
        <f>RIGHT(D11,3)</f>
        <v>ELC</v>
      </c>
      <c r="I11" s="81">
        <v>1</v>
      </c>
      <c r="J11" s="6">
        <f>G11*I11</f>
        <v>1</v>
      </c>
      <c r="K11" s="38">
        <f ca="1">F11*J11</f>
        <v>7.0916153274583706</v>
      </c>
      <c r="L11" s="57">
        <v>1</v>
      </c>
      <c r="M11" s="81">
        <v>1</v>
      </c>
      <c r="N11" s="81">
        <v>10</v>
      </c>
      <c r="O11" s="161">
        <f ca="1">E11*J11/$M11</f>
        <v>7.0874373601522063</v>
      </c>
      <c r="P11" s="118">
        <f ca="1">F11*J11/$M11</f>
        <v>7.0916153274583706</v>
      </c>
      <c r="Q11" s="118">
        <f ca="1">P11*0.6</f>
        <v>4.254969196475022</v>
      </c>
      <c r="R11" s="53">
        <f ca="1">Q11*0.2</f>
        <v>0.85099383929500449</v>
      </c>
      <c r="S11" s="53"/>
      <c r="T11" s="53"/>
      <c r="U11" s="53"/>
      <c r="V11" s="258">
        <f ca="1">IF($E$14=0,0,E11/$E$14)</f>
        <v>0.99580183008305301</v>
      </c>
    </row>
    <row r="12" spans="1:22" ht="15" customHeight="1">
      <c r="A12" s="55"/>
      <c r="B12" s="267" t="s">
        <v>69</v>
      </c>
      <c r="C12" s="99" t="s">
        <v>33</v>
      </c>
      <c r="D12" s="99" t="str">
        <f ca="1">IEAData2!H100</f>
        <v>COMDST</v>
      </c>
      <c r="E12" s="103">
        <f ca="1">IEAData2!$I$173</f>
        <v>2.987970639816508E-2</v>
      </c>
      <c r="F12" s="103">
        <f ca="1">AuxData2!$I$173</f>
        <v>0</v>
      </c>
      <c r="G12" s="69">
        <v>1</v>
      </c>
      <c r="H12" s="343" t="str">
        <f>RIGHT(D12,3)</f>
        <v>DST</v>
      </c>
      <c r="I12" s="81">
        <v>0.5</v>
      </c>
      <c r="J12" s="6">
        <f>G12*I12</f>
        <v>0.5</v>
      </c>
      <c r="K12" s="38">
        <f ca="1">F12*J12</f>
        <v>0</v>
      </c>
      <c r="L12" s="57">
        <v>1</v>
      </c>
      <c r="M12" s="81">
        <v>1</v>
      </c>
      <c r="N12" s="81">
        <v>10</v>
      </c>
      <c r="O12" s="161">
        <f ca="1">E12*J12/$M12</f>
        <v>1.493985319908254E-2</v>
      </c>
      <c r="P12" s="118">
        <f ca="1">F12*J12/$M12</f>
        <v>0</v>
      </c>
      <c r="Q12" s="118">
        <f ca="1">P12*0.6</f>
        <v>0</v>
      </c>
      <c r="R12" s="53">
        <f ca="1">Q12*0.2</f>
        <v>0</v>
      </c>
      <c r="S12" s="53"/>
      <c r="T12" s="53"/>
      <c r="U12" s="53"/>
      <c r="V12" s="258">
        <f ca="1">IF($E$14=0,0,E12/$E$14)</f>
        <v>4.1981699169469774E-3</v>
      </c>
    </row>
    <row r="13" spans="1:22" ht="15" customHeight="1" thickBot="1">
      <c r="A13" s="55"/>
      <c r="B13" s="266" t="s">
        <v>668</v>
      </c>
      <c r="C13" s="26" t="s">
        <v>34</v>
      </c>
      <c r="D13" s="24" t="str">
        <f ca="1">IEAData2!H99</f>
        <v>COMNGA</v>
      </c>
      <c r="E13" s="34">
        <f ca="1">IEAData2!$I$172</f>
        <v>0</v>
      </c>
      <c r="F13" s="34">
        <f ca="1">AuxData2!$I$172</f>
        <v>0</v>
      </c>
      <c r="G13" s="71">
        <v>1</v>
      </c>
      <c r="H13" s="343" t="str">
        <f>RIGHT(D13,3)</f>
        <v>NGA</v>
      </c>
      <c r="I13" s="81">
        <v>0.5</v>
      </c>
      <c r="J13" s="6">
        <f>G13*I13</f>
        <v>0.5</v>
      </c>
      <c r="K13" s="38">
        <f ca="1">F13*J13</f>
        <v>0</v>
      </c>
      <c r="L13" s="73">
        <v>1</v>
      </c>
      <c r="M13" s="20">
        <v>1</v>
      </c>
      <c r="N13" s="20">
        <v>10</v>
      </c>
      <c r="O13" s="162">
        <f ca="1">E13*J13/$M13</f>
        <v>0</v>
      </c>
      <c r="P13" s="117">
        <f ca="1">F13*J13/$M13</f>
        <v>0</v>
      </c>
      <c r="Q13" s="117">
        <f ca="1">P13*0.6</f>
        <v>0</v>
      </c>
      <c r="R13" s="54">
        <f ca="1">Q13*0.2</f>
        <v>0</v>
      </c>
      <c r="S13" s="54"/>
      <c r="T13" s="54"/>
      <c r="U13" s="54"/>
      <c r="V13" s="258">
        <f ca="1">IF($E$14=0,0,E13/$E$14)</f>
        <v>0</v>
      </c>
    </row>
    <row r="14" spans="1:22" ht="15" customHeight="1">
      <c r="A14" s="55"/>
      <c r="B14" s="434" t="s">
        <v>999</v>
      </c>
      <c r="C14" s="190" t="s">
        <v>215</v>
      </c>
      <c r="D14" s="190"/>
      <c r="E14" s="191">
        <f ca="1">SUM(E11:E13)</f>
        <v>7.1173170665503713</v>
      </c>
      <c r="F14" s="191">
        <f ca="1">SUM(F11:F13)</f>
        <v>7.0916153274583706</v>
      </c>
      <c r="G14" s="191"/>
      <c r="H14" s="191">
        <f ca="1">SUMPRODUCT(E$11:E13,J$11:J13)</f>
        <v>7.1023772133512892</v>
      </c>
      <c r="I14" s="190"/>
      <c r="J14" s="193"/>
      <c r="K14" s="191">
        <f ca="1">SUM(K11:K13)</f>
        <v>7.0916153274583706</v>
      </c>
      <c r="L14" s="190"/>
      <c r="M14" s="190"/>
      <c r="N14" s="191"/>
      <c r="O14" s="192">
        <f ca="1">SUM(O11:O13)</f>
        <v>7.1023772133512892</v>
      </c>
      <c r="P14" s="190"/>
      <c r="Q14" s="190"/>
      <c r="R14" s="192"/>
      <c r="S14" s="190"/>
      <c r="T14" s="190"/>
      <c r="U14" s="190"/>
      <c r="V14" s="259">
        <f ca="1">SUM(V11:V13)</f>
        <v>1</v>
      </c>
    </row>
    <row r="15" spans="1:22">
      <c r="A15" s="55"/>
      <c r="B15" s="123"/>
      <c r="C15" s="55"/>
      <c r="D15" s="55"/>
      <c r="E15" s="57"/>
      <c r="G15" s="57"/>
      <c r="H15" s="57"/>
      <c r="I15" s="55"/>
      <c r="J15" s="254"/>
      <c r="K15" s="57"/>
      <c r="L15" s="55"/>
      <c r="M15" s="55"/>
      <c r="N15" s="57"/>
      <c r="O15" s="161"/>
      <c r="P15" s="55"/>
      <c r="Q15" s="55"/>
      <c r="R15" s="161"/>
      <c r="S15" s="55"/>
      <c r="T15" s="55"/>
      <c r="U15" s="55"/>
    </row>
    <row r="16" spans="1:22">
      <c r="A16" s="55"/>
      <c r="B16" s="123"/>
      <c r="C16" s="55"/>
      <c r="D16" s="256"/>
      <c r="E16" s="57"/>
      <c r="F16" s="57"/>
      <c r="G16" s="57"/>
      <c r="H16" s="55"/>
      <c r="I16" s="254"/>
      <c r="J16" s="57"/>
      <c r="K16" s="255"/>
      <c r="L16" s="55"/>
      <c r="M16" s="55"/>
      <c r="N16" s="57"/>
      <c r="O16" s="161"/>
      <c r="P16" s="55"/>
      <c r="Q16" s="55"/>
      <c r="R16" s="161"/>
      <c r="S16" s="55"/>
      <c r="T16" s="55"/>
      <c r="U16" s="55"/>
    </row>
    <row r="20" spans="2:13" ht="18">
      <c r="B20" s="155" t="s">
        <v>592</v>
      </c>
      <c r="C20" s="156"/>
      <c r="D20" s="252" t="str">
        <f>"~FI_T: "&amp;Region</f>
        <v>~FI_T: FIM</v>
      </c>
    </row>
    <row r="21" spans="2:13" ht="13.5" thickBot="1">
      <c r="B21" s="27" t="s">
        <v>384</v>
      </c>
      <c r="C21" s="27" t="s">
        <v>385</v>
      </c>
      <c r="D21" s="27" t="s">
        <v>243</v>
      </c>
      <c r="E21" s="344" t="s">
        <v>942</v>
      </c>
      <c r="F21" s="344" t="s">
        <v>942</v>
      </c>
      <c r="G21" s="344" t="s">
        <v>379</v>
      </c>
      <c r="H21" s="344" t="str">
        <f ca="1">G21&amp;"~"&amp;AuxYear</f>
        <v>DEMAND~2017</v>
      </c>
      <c r="I21" s="344" t="s">
        <v>940</v>
      </c>
      <c r="J21" s="344" t="str">
        <f ca="1">I21&amp;"~"&amp;AuxYear</f>
        <v>COM_IE~2017</v>
      </c>
      <c r="K21" s="27"/>
    </row>
    <row r="22" spans="2:13" ht="15" customHeight="1">
      <c r="B22" s="345" t="str">
        <f ca="1">'CCL2'!B30</f>
        <v>CC1</v>
      </c>
      <c r="C22" s="345" t="str">
        <f ca="1">'CCL2'!C30</f>
        <v>Commercial Cooling - Region1</v>
      </c>
      <c r="D22" s="95" t="s">
        <v>249</v>
      </c>
      <c r="E22" s="63">
        <f ca="1">'CCL2'!E30</f>
        <v>2.4692809319050495</v>
      </c>
      <c r="F22" s="63">
        <f ca="1">'CCL2'!F30</f>
        <v>2.3914301033147254</v>
      </c>
      <c r="G22" s="63">
        <f ca="1">IF(E22,1,0)</f>
        <v>1</v>
      </c>
      <c r="H22" s="63">
        <f t="shared" ref="H22:H28" ca="1" si="0">IF(F22,1,0)</f>
        <v>1</v>
      </c>
      <c r="I22" s="368">
        <f ca="1">IF(E22,1/E22,1)</f>
        <v>0.40497619654338007</v>
      </c>
      <c r="J22" s="368">
        <f ca="1">IF(F22,1/F22,1)</f>
        <v>0.41815982771727889</v>
      </c>
      <c r="K22" s="18"/>
    </row>
    <row r="23" spans="2:13" ht="15" customHeight="1">
      <c r="B23" s="345" t="str">
        <f ca="1">'CCL2'!B31</f>
        <v>CC2</v>
      </c>
      <c r="C23" s="345" t="str">
        <f ca="1">'CCL2'!C31</f>
        <v>Commercial Cooling - Region2</v>
      </c>
      <c r="D23" s="95" t="s">
        <v>249</v>
      </c>
      <c r="E23" s="63">
        <f ca="1">'CCL2'!E31</f>
        <v>0</v>
      </c>
      <c r="F23" s="63">
        <f ca="1">'CCL2'!F31</f>
        <v>0</v>
      </c>
      <c r="G23" s="63">
        <f t="shared" ref="G23:G28" ca="1" si="1">IF(E23,1,0)</f>
        <v>0</v>
      </c>
      <c r="H23" s="63">
        <f t="shared" ca="1" si="0"/>
        <v>0</v>
      </c>
      <c r="I23" s="368">
        <f t="shared" ref="I23:I28" ca="1" si="2">IF(E23,1/E23,1)</f>
        <v>1</v>
      </c>
      <c r="J23" s="368">
        <f t="shared" ref="J23:J28" ca="1" si="3">IF(F23,1/F23,1)</f>
        <v>1</v>
      </c>
      <c r="K23" s="18"/>
    </row>
    <row r="24" spans="2:13" ht="15" customHeight="1">
      <c r="B24" s="561" t="str">
        <f ca="1">'CCK2'!B19</f>
        <v>CCK</v>
      </c>
      <c r="C24" s="561" t="str">
        <f ca="1">'CCK2'!C19</f>
        <v>Commercial Cooking</v>
      </c>
      <c r="D24" s="95" t="s">
        <v>249</v>
      </c>
      <c r="E24" s="63">
        <f ca="1">'CCK2'!E19</f>
        <v>0.70475854265369164</v>
      </c>
      <c r="F24" s="63">
        <f ca="1">'CCK2'!F19</f>
        <v>0.70616895738906338</v>
      </c>
      <c r="G24" s="63">
        <f t="shared" ca="1" si="1"/>
        <v>1</v>
      </c>
      <c r="H24" s="63">
        <f t="shared" ca="1" si="0"/>
        <v>1</v>
      </c>
      <c r="I24" s="368">
        <f t="shared" ca="1" si="2"/>
        <v>1.4189256879875607</v>
      </c>
      <c r="J24" s="368">
        <f t="shared" ca="1" si="3"/>
        <v>1.4160917009115292</v>
      </c>
      <c r="K24" s="18"/>
    </row>
    <row r="25" spans="2:13" ht="15" customHeight="1">
      <c r="B25" s="561" t="str">
        <f ca="1">'CLA2'!B20</f>
        <v>CLA</v>
      </c>
      <c r="C25" s="561" t="str">
        <f ca="1">'CLA2'!C20</f>
        <v>Commercial Lighting</v>
      </c>
      <c r="D25" s="95" t="s">
        <v>249</v>
      </c>
      <c r="E25" s="63">
        <f ca="1">'CLA2'!E20</f>
        <v>18.847424118766039</v>
      </c>
      <c r="F25" s="342">
        <f ca="1">'CLA2'!F20</f>
        <v>26.106649559038793</v>
      </c>
      <c r="G25" s="63">
        <f t="shared" ca="1" si="1"/>
        <v>1</v>
      </c>
      <c r="H25" s="63">
        <f t="shared" ca="1" si="0"/>
        <v>1</v>
      </c>
      <c r="I25" s="368">
        <f t="shared" ca="1" si="2"/>
        <v>5.305764828650076E-2</v>
      </c>
      <c r="J25" s="368">
        <f t="shared" ca="1" si="3"/>
        <v>3.8304417337757315E-2</v>
      </c>
      <c r="K25" s="18"/>
    </row>
    <row r="26" spans="2:13" ht="15" customHeight="1">
      <c r="B26" s="80" t="s">
        <v>70</v>
      </c>
      <c r="C26" s="28" t="s">
        <v>640</v>
      </c>
      <c r="D26" s="95" t="s">
        <v>249</v>
      </c>
      <c r="E26" s="63">
        <f ca="1">H8</f>
        <v>1.1788954496439605</v>
      </c>
      <c r="F26" s="63">
        <f ca="1">SUMPRODUCT(F7:F7,J7:J7)</f>
        <v>1.181363675430861</v>
      </c>
      <c r="G26" s="63">
        <f t="shared" ca="1" si="1"/>
        <v>1</v>
      </c>
      <c r="H26" s="63">
        <f t="shared" ca="1" si="0"/>
        <v>1</v>
      </c>
      <c r="I26" s="368">
        <f t="shared" ca="1" si="2"/>
        <v>0.84825164123079033</v>
      </c>
      <c r="J26" s="368">
        <f t="shared" ca="1" si="3"/>
        <v>0.84647938716694082</v>
      </c>
      <c r="K26" s="18"/>
    </row>
    <row r="27" spans="2:13" ht="15" customHeight="1">
      <c r="B27" s="80" t="s">
        <v>482</v>
      </c>
      <c r="C27" s="28" t="s">
        <v>641</v>
      </c>
      <c r="D27" s="95" t="s">
        <v>249</v>
      </c>
      <c r="E27" s="63">
        <f ca="1">H10</f>
        <v>1.2690340452150792</v>
      </c>
      <c r="F27" s="63">
        <f ca="1">SUMPRODUCT(F9:F9,J9:J9)</f>
        <v>1.2704027822280028</v>
      </c>
      <c r="G27" s="63">
        <f t="shared" ca="1" si="1"/>
        <v>1</v>
      </c>
      <c r="H27" s="63">
        <f t="shared" ca="1" si="0"/>
        <v>1</v>
      </c>
      <c r="I27" s="368">
        <f t="shared" ca="1" si="2"/>
        <v>0.78800092382905096</v>
      </c>
      <c r="J27" s="368">
        <f t="shared" ca="1" si="3"/>
        <v>0.7871519284980022</v>
      </c>
      <c r="K27" s="18"/>
    </row>
    <row r="28" spans="2:13" ht="15" customHeight="1">
      <c r="B28" s="80" t="s">
        <v>215</v>
      </c>
      <c r="C28" s="28" t="s">
        <v>216</v>
      </c>
      <c r="D28" s="95" t="s">
        <v>249</v>
      </c>
      <c r="E28" s="63">
        <f ca="1">H14</f>
        <v>7.1023772133512892</v>
      </c>
      <c r="F28" s="63">
        <f ca="1">SUMPRODUCT(F11:F13,J11:J13)</f>
        <v>7.0916153274583706</v>
      </c>
      <c r="G28" s="63">
        <f t="shared" ca="1" si="1"/>
        <v>1</v>
      </c>
      <c r="H28" s="63">
        <f t="shared" ca="1" si="0"/>
        <v>1</v>
      </c>
      <c r="I28" s="368">
        <f t="shared" ca="1" si="2"/>
        <v>0.14079792863158072</v>
      </c>
      <c r="J28" s="368">
        <f t="shared" ca="1" si="3"/>
        <v>0.14101159662849327</v>
      </c>
      <c r="K28" s="18"/>
      <c r="M28" s="55"/>
    </row>
    <row r="29" spans="2:13">
      <c r="B29" s="55"/>
      <c r="C29" s="55"/>
      <c r="D29" s="55"/>
      <c r="E29" s="55"/>
      <c r="F29" s="55"/>
      <c r="G29" s="55"/>
      <c r="H29" s="55"/>
      <c r="I29" s="55"/>
      <c r="J29" s="55"/>
      <c r="K29" s="55"/>
      <c r="M29" s="55"/>
    </row>
    <row r="30" spans="2:13">
      <c r="B30" s="55"/>
      <c r="C30" s="55"/>
      <c r="D30" s="55"/>
      <c r="E30" s="55"/>
      <c r="F30" s="55"/>
      <c r="G30" s="55"/>
      <c r="H30" s="55"/>
      <c r="I30" s="55"/>
      <c r="J30" s="55"/>
      <c r="K30" s="55"/>
      <c r="L30" s="55"/>
      <c r="M30" s="55"/>
    </row>
  </sheetData>
  <phoneticPr fontId="0" type="noConversion"/>
  <pageMargins left="0.75" right="0.75" top="1" bottom="1" header="0.5" footer="0.5"/>
  <pageSetup orientation="landscape" horizontalDpi="300" verticalDpi="300" r:id="rId1"/>
  <headerFooter alignWithMargins="0"/>
  <legacyDrawing r:id="rId2"/>
</worksheet>
</file>

<file path=xl/worksheets/sheet48.xml><?xml version="1.0" encoding="utf-8"?>
<worksheet xmlns="http://schemas.openxmlformats.org/spreadsheetml/2006/main" xmlns:r="http://schemas.openxmlformats.org/officeDocument/2006/relationships">
  <dimension ref="B1:AD81"/>
  <sheetViews>
    <sheetView topLeftCell="A43" zoomScale="80" workbookViewId="0">
      <selection activeCell="B73" sqref="B73"/>
    </sheetView>
  </sheetViews>
  <sheetFormatPr defaultRowHeight="12.75"/>
  <cols>
    <col min="2" max="2" width="11.5703125" customWidth="1"/>
    <col min="3" max="3" width="10.5703125" customWidth="1"/>
    <col min="4" max="4" width="10.28515625" customWidth="1"/>
    <col min="5" max="5" width="9.28515625" customWidth="1"/>
    <col min="6" max="6" width="6.28515625" customWidth="1"/>
    <col min="15" max="15" width="9.28515625" bestFit="1" customWidth="1"/>
    <col min="16" max="16" width="8.140625" customWidth="1"/>
    <col min="17" max="17" width="6" customWidth="1"/>
    <col min="18" max="18" width="7.42578125" customWidth="1"/>
    <col min="19" max="19" width="7.140625" customWidth="1"/>
    <col min="21" max="21" width="15.28515625" customWidth="1"/>
  </cols>
  <sheetData>
    <row r="1" spans="2:30">
      <c r="B1" s="620" t="s">
        <v>1256</v>
      </c>
      <c r="C1" s="279">
        <f ca="1">IF(RIGHT(CELL("FILENAME",$A$1),1)="2",2,T(0))</f>
        <v>2</v>
      </c>
    </row>
    <row r="2" spans="2:30">
      <c r="B2" s="7" t="s">
        <v>776</v>
      </c>
      <c r="C2" s="294">
        <f ca="1">MATCH("TOT",OFFSET(INDIRECT(C4&amp;"!C5"),1,0,20),0)</f>
        <v>16</v>
      </c>
      <c r="D2" s="294">
        <f ca="1">MATCH("TOT",OFFSET(INDIRECT(D4&amp;"!C5"),1+C2,0,20),0)+C2</f>
        <v>30</v>
      </c>
      <c r="E2" s="294">
        <f ca="1">MATCH("TOT",OFFSET(INDIRECT(E4&amp;"!C5"),1,0,20),0)</f>
        <v>13</v>
      </c>
      <c r="F2" s="294">
        <f ca="1">MATCH("TOT",OFFSET(INDIRECT(F4&amp;"!C5"),1,0,20),0)</f>
        <v>7</v>
      </c>
      <c r="G2" s="294">
        <f ca="1">MATCH("TOT",OFFSET(INDIRECT(G4&amp;"!C5"),1,0,20),0)</f>
        <v>9</v>
      </c>
      <c r="J2" s="7" t="s">
        <v>776</v>
      </c>
      <c r="K2" s="294">
        <f ca="1">MATCH("TOT",OFFSET(INDIRECT(K4&amp;"!C5"),1,0,20),0)</f>
        <v>14</v>
      </c>
      <c r="L2" s="294">
        <v>0</v>
      </c>
      <c r="Q2" s="294">
        <f ca="1">MATCH("COE",OFFSET(INDIRECT(Q4&amp;"!C5"),1,0,20),0)</f>
        <v>5</v>
      </c>
      <c r="Y2" s="294" t="s">
        <v>1000</v>
      </c>
      <c r="Z2" s="294" t="s">
        <v>1000</v>
      </c>
      <c r="AA2" s="433" t="s">
        <v>44</v>
      </c>
      <c r="AB2" s="294" t="s">
        <v>1002</v>
      </c>
      <c r="AC2" s="294" t="s">
        <v>1003</v>
      </c>
    </row>
    <row r="3" spans="2:30">
      <c r="C3" s="294">
        <f ca="1">MATCH("TOT",OFFSET(INDIRECT(C5&amp;"!C5"),1,0,20),0)</f>
        <v>13</v>
      </c>
      <c r="D3" s="294">
        <f ca="1">MATCH("TOT",OFFSET(INDIRECT(D5&amp;"!C5"),1+C3,0,20),0)+C3</f>
        <v>25</v>
      </c>
      <c r="E3" s="294">
        <f ca="1">MATCH("TOT",OFFSET(INDIRECT(E5&amp;"!C5"),1+E2,0,20),0)+E2</f>
        <v>25</v>
      </c>
      <c r="F3" s="294">
        <f ca="1">MATCH("TOT",OFFSET(INDIRECT(F5&amp;"!C5"),1+F2,0,20),0)+F2</f>
        <v>13</v>
      </c>
      <c r="G3" s="294">
        <f ca="1">MATCH("TOT",OFFSET(INDIRECT(G5&amp;"!C5"),1+G2,0,20),0)+G2</f>
        <v>17</v>
      </c>
      <c r="K3" s="294">
        <f ca="1">MATCH("TOT",OFFSET(INDIRECT(K5&amp;"!C5"),1+K2,0,20),0)+K2</f>
        <v>27</v>
      </c>
      <c r="L3" s="294">
        <v>0</v>
      </c>
      <c r="M3" s="294">
        <f ca="1">MATCH(LEFT(M5,3),OFFSET(INDIRECT(M5&amp;"!C5"),1,0,20),0)</f>
        <v>12</v>
      </c>
      <c r="N3" s="294">
        <f ca="1">MATCH(LEFT(N5,3),OFFSET(INDIRECT(N5&amp;"!C5"),1,0,20),0)</f>
        <v>7</v>
      </c>
      <c r="O3" s="294">
        <f ca="1">MATCH(LEFT(O5,3),OFFSET(INDIRECT(O5&amp;"!C5"),1,0,20),0)</f>
        <v>6</v>
      </c>
      <c r="Q3" s="294">
        <f ca="1">MATCH("COT",OFFSET(INDIRECT(Q5&amp;"!C5"),1+Q2,0,20),0)+Q2</f>
        <v>9</v>
      </c>
      <c r="Y3" s="334" t="s">
        <v>44</v>
      </c>
      <c r="Z3" s="334" t="s">
        <v>44</v>
      </c>
      <c r="AA3" s="334" t="s">
        <v>44</v>
      </c>
      <c r="AB3" s="334" t="s">
        <v>1002</v>
      </c>
      <c r="AC3" s="334" t="s">
        <v>1003</v>
      </c>
    </row>
    <row r="4" spans="2:30">
      <c r="C4" s="294" t="str">
        <f t="shared" ref="C4:G5" ca="1" si="0">Y2&amp;$C$1</f>
        <v>RHT2</v>
      </c>
      <c r="D4" s="294" t="str">
        <f t="shared" ca="1" si="0"/>
        <v>RHT2</v>
      </c>
      <c r="E4" s="433" t="str">
        <f t="shared" ca="1" si="0"/>
        <v>RHW2</v>
      </c>
      <c r="F4" s="294" t="str">
        <f t="shared" ca="1" si="0"/>
        <v>RLT2</v>
      </c>
      <c r="G4" s="294" t="str">
        <f t="shared" ca="1" si="0"/>
        <v>RCK2</v>
      </c>
      <c r="K4" s="433" t="str">
        <f t="shared" ref="K4:O5" ca="1" si="1">Y4&amp;$C$1</f>
        <v>CHT2</v>
      </c>
      <c r="L4" s="433" t="str">
        <f t="shared" ca="1" si="1"/>
        <v>CH32</v>
      </c>
      <c r="M4" s="433" t="str">
        <f t="shared" ca="1" si="1"/>
        <v>2</v>
      </c>
      <c r="N4" s="433" t="str">
        <f t="shared" ca="1" si="1"/>
        <v>2</v>
      </c>
      <c r="O4" s="433" t="str">
        <f t="shared" ca="1" si="1"/>
        <v>2</v>
      </c>
      <c r="Q4" s="433" t="str">
        <f ca="1">AD4&amp;$C$1</f>
        <v>COT2</v>
      </c>
      <c r="Y4" s="433" t="s">
        <v>1004</v>
      </c>
      <c r="Z4" s="433" t="s">
        <v>239</v>
      </c>
      <c r="AA4" s="433"/>
      <c r="AB4" s="433"/>
      <c r="AC4" s="433"/>
      <c r="AD4" s="294" t="s">
        <v>215</v>
      </c>
    </row>
    <row r="5" spans="2:30">
      <c r="B5" t="s">
        <v>881</v>
      </c>
      <c r="C5" s="334" t="str">
        <f t="shared" ca="1" si="0"/>
        <v>RHW2</v>
      </c>
      <c r="D5" s="334" t="str">
        <f t="shared" ca="1" si="0"/>
        <v>RHW2</v>
      </c>
      <c r="E5" s="334" t="str">
        <f t="shared" ca="1" si="0"/>
        <v>RHW2</v>
      </c>
      <c r="F5" s="334" t="str">
        <f t="shared" ca="1" si="0"/>
        <v>RLT2</v>
      </c>
      <c r="G5" s="334" t="str">
        <f t="shared" ca="1" si="0"/>
        <v>RCK2</v>
      </c>
      <c r="H5" s="147" t="s">
        <v>779</v>
      </c>
      <c r="J5" t="s">
        <v>881</v>
      </c>
      <c r="K5" s="334" t="str">
        <f t="shared" ca="1" si="1"/>
        <v>CHT2</v>
      </c>
      <c r="L5" s="334" t="str">
        <f t="shared" ca="1" si="1"/>
        <v>CH32</v>
      </c>
      <c r="M5" s="334" t="str">
        <f t="shared" ca="1" si="1"/>
        <v>CHW2</v>
      </c>
      <c r="N5" s="334" t="str">
        <f t="shared" ca="1" si="1"/>
        <v>CLA2</v>
      </c>
      <c r="O5" s="334" t="str">
        <f t="shared" ca="1" si="1"/>
        <v>CCK2</v>
      </c>
      <c r="P5" s="147"/>
      <c r="Q5" s="334" t="str">
        <f ca="1">AD5&amp;$C$1</f>
        <v>COT2</v>
      </c>
      <c r="U5" s="334" t="s">
        <v>808</v>
      </c>
      <c r="Y5" s="334" t="s">
        <v>1004</v>
      </c>
      <c r="Z5" s="334" t="s">
        <v>239</v>
      </c>
      <c r="AA5" s="334" t="s">
        <v>235</v>
      </c>
      <c r="AB5" s="334" t="s">
        <v>103</v>
      </c>
      <c r="AC5" s="334" t="s">
        <v>71</v>
      </c>
      <c r="AD5" s="334" t="s">
        <v>215</v>
      </c>
    </row>
    <row r="6" spans="2:30">
      <c r="B6" s="76" t="s">
        <v>870</v>
      </c>
      <c r="C6" s="319">
        <f t="shared" ref="C6:C16" ca="1" si="2">SUMIF(OFFSET(INDIRECT(C$4&amp;"!H5"),1,0,C$2),$B6,OFFSET(INDIRECT(C$4&amp;"!L$5"),1,0,C$2))/OFFSET(HT_DD,0,1)+SUMIF(OFFSET(INDIRECT(C$5&amp;"!H5"),1,0,C$3),$B6,OFFSET(INDIRECT(C$5&amp;"!L$5"),1,0,C$3))</f>
        <v>0.14715774181194599</v>
      </c>
      <c r="D6" s="320">
        <f t="shared" ref="D6:D16" ca="1" si="3">SUMIF(OFFSET(INDIRECT(D$4&amp;"!H5"),C$2,0,D$2),$B6,OFFSET(INDIRECT(D$4&amp;"!L$5"),C$2,0,D$2))/OFFSET(HT_DD,0,1)+SUMIF(OFFSET(INDIRECT(D$5&amp;"!H5"),C$3,0,D$2),$B6,OFFSET(INDIRECT(D$5&amp;"!L$5"),C$3,0,D$2))</f>
        <v>0.20205451856745965</v>
      </c>
      <c r="E6" s="320">
        <f t="shared" ref="E6:E16" ca="1" si="4">SUMIF(OFFSET(INDIRECT(E$4&amp;"!H5"),1,0,E$3),$B6,OFFSET(INDIRECT(E$4&amp;"!L$5"),1,0,E$3))</f>
        <v>7.7972370795881096E-2</v>
      </c>
      <c r="F6" s="320">
        <f ca="1">SUMIF(OFFSET(INDIRECT(F$4&amp;"!H5"),1,0,F$3),$B6,OFFSET(INDIRECT(F$4&amp;"!K$5"),1,0,F$3))</f>
        <v>0</v>
      </c>
      <c r="G6" s="320">
        <f ca="1">SUMIF(OFFSET(INDIRECT(G$4&amp;"!H5"),1,0,G$3),$B6,OFFSET(INDIRECT(G$4&amp;"!K$5"),1,0,G$3))</f>
        <v>6.7392739726027398E-2</v>
      </c>
      <c r="H6" s="321">
        <f ca="1">SUM(C6:D6)</f>
        <v>0.34921226037940567</v>
      </c>
      <c r="J6" s="76" t="s">
        <v>870</v>
      </c>
      <c r="K6" s="319">
        <f t="shared" ref="K6:K16" ca="1" si="5">SUMIF(OFFSET(INDIRECT(K$4&amp;"!H5"),1,0,K$3),$B6,OFFSET(INDIRECT(K$4&amp;"!L$5"),1,0,K$3))/OFFSET(HT_DD,0,1)</f>
        <v>0.19897528943411602</v>
      </c>
      <c r="L6" s="320">
        <v>0</v>
      </c>
      <c r="M6" s="320">
        <f ca="1">SUMIF(OFFSET(INDIRECT(M$5&amp;"!H5"),1,0,M$3),$J6,OFFSET(INDIRECT(M$5&amp;"!L$5"),1,0,M$3))</f>
        <v>4.675919301701726E-2</v>
      </c>
      <c r="N6" s="320">
        <f ca="1">SUMIF(OFFSET(INDIRECT(N$5&amp;"!H5"),1,0,N$3),$J6,OFFSET(INDIRECT(N$5&amp;"!K$5"),1,0,N$3))</f>
        <v>0</v>
      </c>
      <c r="O6" s="321">
        <f t="shared" ref="O6:O16" ca="1" si="6">SUMIF(OFFSET(INDIRECT(O$5&amp;"!H5"),1,0,O$3),$J6,OFFSET(INDIRECT(O$5&amp;"!K$5"),1,0,O$3))</f>
        <v>3.1104000000000003E-2</v>
      </c>
      <c r="P6" s="321">
        <f ca="1">SUM(K6:L6)</f>
        <v>0.19897528943411602</v>
      </c>
      <c r="Q6" s="348">
        <f ca="1">SUMIF(OFFSET(INDIRECT(Q$5&amp;"!H5"),1+Q$2,0,Q$3),$J6,OFFSET(INDIRECT(Q$5&amp;"!K$5"),1+Q$2,0,Q$3))</f>
        <v>0</v>
      </c>
      <c r="T6" t="s">
        <v>427</v>
      </c>
      <c r="U6" s="332">
        <f ca="1">'AGR2'!H16</f>
        <v>3.9577699546243073E-2</v>
      </c>
      <c r="V6">
        <v>620.36938894533364</v>
      </c>
    </row>
    <row r="7" spans="2:30">
      <c r="B7" s="76" t="s">
        <v>871</v>
      </c>
      <c r="C7" s="319">
        <f t="shared" ca="1" si="2"/>
        <v>0.54163032844117687</v>
      </c>
      <c r="D7" s="320">
        <f t="shared" ca="1" si="3"/>
        <v>0.33621126849675764</v>
      </c>
      <c r="E7" s="320">
        <f t="shared" ca="1" si="4"/>
        <v>0.18323975769904685</v>
      </c>
      <c r="F7" s="320">
        <f t="shared" ref="F7:G16" ca="1" si="7">SUMIF(OFFSET(INDIRECT(F$4&amp;"!H5"),1,0,F$3),$B7,OFFSET(INDIRECT(F$4&amp;"!K$5"),1,0,F$3))</f>
        <v>0</v>
      </c>
      <c r="G7" s="320">
        <f t="shared" ca="1" si="7"/>
        <v>0</v>
      </c>
      <c r="H7" s="321">
        <f t="shared" ref="H7:H16" ca="1" si="8">SUM(C7:D7)</f>
        <v>0.87784159693793451</v>
      </c>
      <c r="J7" s="76" t="s">
        <v>871</v>
      </c>
      <c r="K7" s="319">
        <f t="shared" ca="1" si="5"/>
        <v>0.40261075606343733</v>
      </c>
      <c r="L7" s="320">
        <v>0</v>
      </c>
      <c r="M7" s="320">
        <f t="shared" ref="M7:M16" ca="1" si="9">SUMIF(OFFSET(INDIRECT(M$5&amp;"!H5"),1,0,M$3),$J7,OFFSET(INDIRECT(M$5&amp;"!L$5"),1,0,M$3))</f>
        <v>9.1009880291188214E-2</v>
      </c>
      <c r="N7" s="320">
        <f t="shared" ref="N7:N16" ca="1" si="10">SUMIF(OFFSET(INDIRECT(N$5&amp;"!H5"),1,0,N$3),$J7,OFFSET(INDIRECT(N$5&amp;"!K$5"),1,0,N$3))</f>
        <v>0</v>
      </c>
      <c r="O7" s="321">
        <f t="shared" ca="1" si="6"/>
        <v>0</v>
      </c>
      <c r="P7" s="321">
        <f t="shared" ref="P7:P16" ca="1" si="11">SUM(K7:L7)</f>
        <v>0.40261075606343733</v>
      </c>
      <c r="Q7" s="321">
        <f t="shared" ref="Q7:Q16" ca="1" si="12">SUMIF(OFFSET(INDIRECT(Q$5&amp;"!H5"),1+Q$2,0,Q$3),$J7,OFFSET(INDIRECT(Q$5&amp;"!K$5"),1+Q$2,0,Q$3))</f>
        <v>0</v>
      </c>
      <c r="T7" t="s">
        <v>428</v>
      </c>
      <c r="U7" s="332">
        <f ca="1">'AGR2'!H17</f>
        <v>8.2247933975115785E-3</v>
      </c>
      <c r="V7">
        <v>444.03947104608</v>
      </c>
    </row>
    <row r="8" spans="2:30">
      <c r="B8" s="76" t="s">
        <v>872</v>
      </c>
      <c r="C8" s="319">
        <f t="shared" ca="1" si="2"/>
        <v>0</v>
      </c>
      <c r="D8" s="320">
        <f t="shared" ca="1" si="3"/>
        <v>0</v>
      </c>
      <c r="E8" s="320">
        <f t="shared" ca="1" si="4"/>
        <v>0</v>
      </c>
      <c r="F8" s="320">
        <f t="shared" ca="1" si="7"/>
        <v>0</v>
      </c>
      <c r="G8" s="320">
        <f t="shared" ca="1" si="7"/>
        <v>0</v>
      </c>
      <c r="H8" s="321">
        <f t="shared" ca="1" si="8"/>
        <v>0</v>
      </c>
      <c r="J8" s="76" t="s">
        <v>872</v>
      </c>
      <c r="K8" s="319">
        <f t="shared" ca="1" si="5"/>
        <v>0</v>
      </c>
      <c r="L8" s="320">
        <v>0</v>
      </c>
      <c r="M8" s="320">
        <f t="shared" ca="1" si="9"/>
        <v>0</v>
      </c>
      <c r="N8" s="320">
        <f t="shared" ca="1" si="10"/>
        <v>0</v>
      </c>
      <c r="O8" s="321">
        <f t="shared" ca="1" si="6"/>
        <v>0</v>
      </c>
      <c r="P8" s="321">
        <f t="shared" ca="1" si="11"/>
        <v>0</v>
      </c>
      <c r="Q8" s="348">
        <f t="shared" ca="1" si="12"/>
        <v>0</v>
      </c>
      <c r="T8" t="s">
        <v>583</v>
      </c>
      <c r="U8" s="332">
        <f ca="1">'AGR2'!H18</f>
        <v>0</v>
      </c>
      <c r="V8">
        <v>27.853943040000004</v>
      </c>
    </row>
    <row r="9" spans="2:30">
      <c r="B9" s="76" t="s">
        <v>873</v>
      </c>
      <c r="C9" s="319">
        <f t="shared" ca="1" si="2"/>
        <v>0</v>
      </c>
      <c r="D9" s="320">
        <f t="shared" ca="1" si="3"/>
        <v>0</v>
      </c>
      <c r="E9" s="320">
        <f t="shared" ca="1" si="4"/>
        <v>0</v>
      </c>
      <c r="F9" s="320">
        <f t="shared" ca="1" si="7"/>
        <v>0</v>
      </c>
      <c r="G9" s="320">
        <f t="shared" ca="1" si="7"/>
        <v>0</v>
      </c>
      <c r="H9" s="321">
        <f t="shared" ca="1" si="8"/>
        <v>0</v>
      </c>
      <c r="J9" s="76" t="s">
        <v>873</v>
      </c>
      <c r="K9" s="319">
        <f t="shared" ca="1" si="5"/>
        <v>0</v>
      </c>
      <c r="L9" s="320">
        <v>0</v>
      </c>
      <c r="M9" s="320">
        <f t="shared" ca="1" si="9"/>
        <v>0</v>
      </c>
      <c r="N9" s="320">
        <f t="shared" ca="1" si="10"/>
        <v>0</v>
      </c>
      <c r="O9" s="321">
        <f t="shared" ca="1" si="6"/>
        <v>0</v>
      </c>
      <c r="P9" s="321">
        <f t="shared" ca="1" si="11"/>
        <v>0</v>
      </c>
      <c r="Q9" s="348">
        <f t="shared" ca="1" si="12"/>
        <v>0</v>
      </c>
      <c r="T9" t="s">
        <v>584</v>
      </c>
      <c r="U9" s="332">
        <f ca="1">'AGR2'!H19</f>
        <v>0</v>
      </c>
      <c r="V9">
        <v>0.4720575132</v>
      </c>
    </row>
    <row r="10" spans="2:30">
      <c r="B10" s="76" t="s">
        <v>1026</v>
      </c>
      <c r="C10" s="319">
        <f t="shared" ca="1" si="2"/>
        <v>0</v>
      </c>
      <c r="D10" s="320">
        <f t="shared" ca="1" si="3"/>
        <v>0</v>
      </c>
      <c r="E10" s="320">
        <f t="shared" ca="1" si="4"/>
        <v>0</v>
      </c>
      <c r="F10" s="320">
        <f t="shared" ca="1" si="7"/>
        <v>0</v>
      </c>
      <c r="G10" s="320">
        <f t="shared" ca="1" si="7"/>
        <v>0</v>
      </c>
      <c r="H10" s="321">
        <f t="shared" ca="1" si="8"/>
        <v>0</v>
      </c>
      <c r="J10" s="76" t="s">
        <v>1026</v>
      </c>
      <c r="K10" s="319">
        <f t="shared" ca="1" si="5"/>
        <v>0</v>
      </c>
      <c r="L10" s="320">
        <v>0</v>
      </c>
      <c r="M10" s="320">
        <f t="shared" ca="1" si="9"/>
        <v>0</v>
      </c>
      <c r="N10" s="320">
        <f t="shared" ca="1" si="10"/>
        <v>0</v>
      </c>
      <c r="O10" s="321">
        <f t="shared" ca="1" si="6"/>
        <v>0</v>
      </c>
      <c r="P10" s="321">
        <f t="shared" ca="1" si="11"/>
        <v>0</v>
      </c>
      <c r="Q10" s="348">
        <f t="shared" ca="1" si="12"/>
        <v>0</v>
      </c>
      <c r="T10" t="s">
        <v>1018</v>
      </c>
      <c r="U10" s="332">
        <f ca="1">'AGR2'!H20</f>
        <v>0</v>
      </c>
      <c r="V10">
        <v>13.838420700000004</v>
      </c>
    </row>
    <row r="11" spans="2:30">
      <c r="B11" s="76" t="s">
        <v>405</v>
      </c>
      <c r="C11" s="319">
        <f t="shared" ca="1" si="2"/>
        <v>0</v>
      </c>
      <c r="D11" s="320">
        <f t="shared" ca="1" si="3"/>
        <v>0</v>
      </c>
      <c r="E11" s="320">
        <f t="shared" ca="1" si="4"/>
        <v>0</v>
      </c>
      <c r="F11" s="320">
        <f t="shared" ca="1" si="7"/>
        <v>0</v>
      </c>
      <c r="G11" s="320">
        <f t="shared" ca="1" si="7"/>
        <v>0</v>
      </c>
      <c r="H11" s="321">
        <f t="shared" ca="1" si="8"/>
        <v>0</v>
      </c>
      <c r="J11" s="76" t="s">
        <v>405</v>
      </c>
      <c r="K11" s="319">
        <f t="shared" ca="1" si="5"/>
        <v>0</v>
      </c>
      <c r="L11" s="320">
        <v>0</v>
      </c>
      <c r="M11" s="320">
        <f t="shared" ca="1" si="9"/>
        <v>0</v>
      </c>
      <c r="N11" s="320">
        <f t="shared" ca="1" si="10"/>
        <v>0</v>
      </c>
      <c r="O11" s="321">
        <f t="shared" ca="1" si="6"/>
        <v>0</v>
      </c>
      <c r="P11" s="321">
        <f t="shared" ca="1" si="11"/>
        <v>0</v>
      </c>
      <c r="Q11" s="348">
        <f t="shared" ca="1" si="12"/>
        <v>0</v>
      </c>
      <c r="T11" t="s">
        <v>430</v>
      </c>
      <c r="U11" s="332">
        <f ca="1">'AGR2'!H21</f>
        <v>0</v>
      </c>
      <c r="V11">
        <v>7.6288729499999999</v>
      </c>
    </row>
    <row r="12" spans="2:30">
      <c r="B12" s="76" t="s">
        <v>874</v>
      </c>
      <c r="C12" s="319">
        <f t="shared" ca="1" si="2"/>
        <v>5.5439042983496098E-2</v>
      </c>
      <c r="D12" s="320">
        <f t="shared" ca="1" si="3"/>
        <v>1.5485580387756669E-2</v>
      </c>
      <c r="E12" s="320">
        <f t="shared" ca="1" si="4"/>
        <v>1.1921225248723657E-2</v>
      </c>
      <c r="F12" s="320">
        <f t="shared" ca="1" si="7"/>
        <v>0</v>
      </c>
      <c r="G12" s="320">
        <f t="shared" ca="1" si="7"/>
        <v>2.714219813732273E-4</v>
      </c>
      <c r="H12" s="321">
        <f t="shared" ca="1" si="8"/>
        <v>7.0924623371252771E-2</v>
      </c>
      <c r="J12" s="76" t="s">
        <v>874</v>
      </c>
      <c r="K12" s="319">
        <f t="shared" ca="1" si="5"/>
        <v>3.584314460998049E-2</v>
      </c>
      <c r="L12" s="320">
        <v>0</v>
      </c>
      <c r="M12" s="320">
        <f t="shared" ca="1" si="9"/>
        <v>0</v>
      </c>
      <c r="N12" s="320">
        <f t="shared" ca="1" si="10"/>
        <v>0</v>
      </c>
      <c r="O12" s="321">
        <f t="shared" ca="1" si="6"/>
        <v>0</v>
      </c>
      <c r="P12" s="321">
        <f t="shared" ca="1" si="11"/>
        <v>3.584314460998049E-2</v>
      </c>
      <c r="Q12" s="348">
        <f t="shared" ca="1" si="12"/>
        <v>0</v>
      </c>
      <c r="T12" t="s">
        <v>431</v>
      </c>
      <c r="U12" s="332">
        <f ca="1">'AGR2'!H22</f>
        <v>1.798081445780509E-2</v>
      </c>
      <c r="V12">
        <v>31.543927303680004</v>
      </c>
    </row>
    <row r="13" spans="2:30">
      <c r="B13" s="76" t="s">
        <v>106</v>
      </c>
      <c r="C13" s="319">
        <f t="shared" ca="1" si="2"/>
        <v>3.9616690494727038</v>
      </c>
      <c r="D13" s="320">
        <f t="shared" ca="1" si="3"/>
        <v>0.67166451527142568</v>
      </c>
      <c r="E13" s="320">
        <f t="shared" ca="1" si="4"/>
        <v>1.1209101487201516</v>
      </c>
      <c r="F13" s="320">
        <f t="shared" ca="1" si="7"/>
        <v>4.1236714853362244</v>
      </c>
      <c r="G13" s="320">
        <f t="shared" ca="1" si="7"/>
        <v>0.48422372416492865</v>
      </c>
      <c r="H13" s="321">
        <f t="shared" ca="1" si="8"/>
        <v>4.6333335647441292</v>
      </c>
      <c r="J13" s="76" t="s">
        <v>106</v>
      </c>
      <c r="K13" s="319">
        <f t="shared" ca="1" si="5"/>
        <v>0.81835763152785634</v>
      </c>
      <c r="L13" s="320">
        <v>0</v>
      </c>
      <c r="M13" s="320">
        <f t="shared" ca="1" si="9"/>
        <v>0.15196519960801033</v>
      </c>
      <c r="N13" s="320">
        <f t="shared" ca="1" si="10"/>
        <v>26.106649559038793</v>
      </c>
      <c r="O13" s="321">
        <f t="shared" ca="1" si="6"/>
        <v>0.67506495738906336</v>
      </c>
      <c r="P13" s="321">
        <f t="shared" ca="1" si="11"/>
        <v>0.81835763152785634</v>
      </c>
      <c r="Q13" s="321">
        <f t="shared" ca="1" si="12"/>
        <v>7.0916153274583706</v>
      </c>
      <c r="T13" t="s">
        <v>432</v>
      </c>
      <c r="U13" s="332">
        <f ca="1">'AGR2'!H23</f>
        <v>3.8131466688E-2</v>
      </c>
      <c r="V13">
        <v>0</v>
      </c>
    </row>
    <row r="14" spans="2:30">
      <c r="B14" s="76" t="s">
        <v>573</v>
      </c>
      <c r="C14" s="319">
        <f t="shared" ca="1" si="2"/>
        <v>1.4373864732814368</v>
      </c>
      <c r="D14" s="320">
        <f t="shared" ca="1" si="3"/>
        <v>21.357905883071485</v>
      </c>
      <c r="E14" s="320">
        <f t="shared" ca="1" si="4"/>
        <v>5.204873046580861</v>
      </c>
      <c r="F14" s="320">
        <f t="shared" ca="1" si="7"/>
        <v>0</v>
      </c>
      <c r="G14" s="320">
        <f t="shared" ca="1" si="7"/>
        <v>0</v>
      </c>
      <c r="H14" s="321">
        <f t="shared" ca="1" si="8"/>
        <v>22.79529235635292</v>
      </c>
      <c r="J14" s="76" t="s">
        <v>573</v>
      </c>
      <c r="K14" s="319">
        <f t="shared" ca="1" si="5"/>
        <v>10.411400175534652</v>
      </c>
      <c r="L14" s="320">
        <v>0</v>
      </c>
      <c r="M14" s="320">
        <f t="shared" ca="1" si="9"/>
        <v>2.4552333845085399</v>
      </c>
      <c r="N14" s="320">
        <f t="shared" ca="1" si="10"/>
        <v>0</v>
      </c>
      <c r="O14" s="321">
        <f t="shared" ca="1" si="6"/>
        <v>0</v>
      </c>
      <c r="P14" s="321">
        <f t="shared" ca="1" si="11"/>
        <v>10.411400175534652</v>
      </c>
      <c r="Q14" s="348">
        <f t="shared" ca="1" si="12"/>
        <v>0</v>
      </c>
      <c r="T14" t="s">
        <v>433</v>
      </c>
      <c r="U14" s="332">
        <f ca="1">'AGR2'!H24</f>
        <v>5.135385863777471E-2</v>
      </c>
      <c r="V14">
        <v>516.84933032706169</v>
      </c>
    </row>
    <row r="15" spans="2:30">
      <c r="B15" s="76" t="s">
        <v>579</v>
      </c>
      <c r="C15" s="319">
        <f t="shared" ca="1" si="2"/>
        <v>0</v>
      </c>
      <c r="D15" s="320">
        <f t="shared" ca="1" si="3"/>
        <v>0</v>
      </c>
      <c r="E15" s="320">
        <f t="shared" ca="1" si="4"/>
        <v>0</v>
      </c>
      <c r="F15" s="320">
        <f t="shared" ca="1" si="7"/>
        <v>0</v>
      </c>
      <c r="G15" s="320">
        <f t="shared" ca="1" si="7"/>
        <v>0</v>
      </c>
      <c r="H15" s="321">
        <f t="shared" ca="1" si="8"/>
        <v>0</v>
      </c>
      <c r="J15" s="76" t="s">
        <v>579</v>
      </c>
      <c r="K15" s="319">
        <f t="shared" ca="1" si="5"/>
        <v>0</v>
      </c>
      <c r="L15" s="320">
        <v>0</v>
      </c>
      <c r="M15" s="320">
        <f t="shared" ca="1" si="9"/>
        <v>0</v>
      </c>
      <c r="N15" s="320">
        <f t="shared" ca="1" si="10"/>
        <v>0</v>
      </c>
      <c r="O15" s="321">
        <f t="shared" ca="1" si="6"/>
        <v>0</v>
      </c>
      <c r="P15" s="321">
        <f t="shared" ca="1" si="11"/>
        <v>0</v>
      </c>
      <c r="Q15" s="348">
        <f t="shared" ca="1" si="12"/>
        <v>0</v>
      </c>
      <c r="T15" t="s">
        <v>150</v>
      </c>
      <c r="U15" s="332">
        <f ca="1">'AGR2'!H25</f>
        <v>0</v>
      </c>
      <c r="V15">
        <v>2.5221141874566002</v>
      </c>
    </row>
    <row r="16" spans="2:30">
      <c r="B16" s="76" t="s">
        <v>580</v>
      </c>
      <c r="C16" s="319">
        <f t="shared" ca="1" si="2"/>
        <v>0</v>
      </c>
      <c r="D16" s="320">
        <f t="shared" ca="1" si="3"/>
        <v>0</v>
      </c>
      <c r="E16" s="320">
        <f t="shared" ca="1" si="4"/>
        <v>0</v>
      </c>
      <c r="F16" s="320">
        <f t="shared" ca="1" si="7"/>
        <v>0</v>
      </c>
      <c r="G16" s="320">
        <f t="shared" ca="1" si="7"/>
        <v>0</v>
      </c>
      <c r="H16" s="321">
        <f t="shared" ca="1" si="8"/>
        <v>0</v>
      </c>
      <c r="J16" s="76" t="s">
        <v>580</v>
      </c>
      <c r="K16" s="319">
        <f t="shared" ca="1" si="5"/>
        <v>0</v>
      </c>
      <c r="L16" s="320">
        <v>0</v>
      </c>
      <c r="M16" s="320">
        <f t="shared" ca="1" si="9"/>
        <v>0</v>
      </c>
      <c r="N16" s="320">
        <f t="shared" ca="1" si="10"/>
        <v>0</v>
      </c>
      <c r="O16" s="321">
        <f t="shared" ca="1" si="6"/>
        <v>0</v>
      </c>
      <c r="P16" s="321">
        <f t="shared" ca="1" si="11"/>
        <v>0</v>
      </c>
      <c r="Q16" s="348">
        <f t="shared" ca="1" si="12"/>
        <v>0</v>
      </c>
      <c r="T16" t="s">
        <v>151</v>
      </c>
      <c r="U16" s="333">
        <f ca="1">'AGR2'!H26</f>
        <v>0</v>
      </c>
      <c r="V16">
        <v>0</v>
      </c>
    </row>
    <row r="17" spans="2:21">
      <c r="C17" s="322">
        <f t="shared" ref="C17:H17" ca="1" si="13">SUM(C6:C16)</f>
        <v>6.1432826359907597</v>
      </c>
      <c r="D17" s="322">
        <f ca="1">SUM(D6:D16)</f>
        <v>22.583321765794885</v>
      </c>
      <c r="E17" s="322">
        <f t="shared" ca="1" si="13"/>
        <v>6.598916549044664</v>
      </c>
      <c r="F17" s="322">
        <f t="shared" ca="1" si="13"/>
        <v>4.1236714853362244</v>
      </c>
      <c r="G17" s="322">
        <f t="shared" ca="1" si="13"/>
        <v>0.55188788587232929</v>
      </c>
      <c r="H17" s="322">
        <f t="shared" ca="1" si="13"/>
        <v>28.726604401785643</v>
      </c>
      <c r="K17" s="322">
        <f t="shared" ref="K17:Q17" ca="1" si="14">SUM(K6:K16)</f>
        <v>11.867186997170043</v>
      </c>
      <c r="L17" s="322">
        <f t="shared" si="14"/>
        <v>0</v>
      </c>
      <c r="M17" s="322">
        <f t="shared" ca="1" si="14"/>
        <v>2.7449676574247555</v>
      </c>
      <c r="N17" s="322">
        <f t="shared" ca="1" si="14"/>
        <v>26.106649559038793</v>
      </c>
      <c r="O17" s="322">
        <f t="shared" ca="1" si="14"/>
        <v>0.70616895738906338</v>
      </c>
      <c r="P17" s="322">
        <f t="shared" ca="1" si="14"/>
        <v>11.867186997170043</v>
      </c>
      <c r="Q17" s="322">
        <f t="shared" ca="1" si="14"/>
        <v>7.0916153274583706</v>
      </c>
      <c r="U17" s="331">
        <f ca="1">SUM(U6:U16)</f>
        <v>0.15526863272733443</v>
      </c>
    </row>
    <row r="22" spans="2:21">
      <c r="I22" s="76"/>
      <c r="J22" s="76"/>
      <c r="K22" s="316" t="s">
        <v>759</v>
      </c>
      <c r="L22" s="317">
        <v>0.5</v>
      </c>
    </row>
    <row r="23" spans="2:21">
      <c r="I23" s="76"/>
      <c r="J23" s="76"/>
      <c r="K23" s="316" t="s">
        <v>760</v>
      </c>
      <c r="L23" s="317">
        <v>0.99</v>
      </c>
    </row>
    <row r="24" spans="2:21" ht="18">
      <c r="B24" s="150" t="s">
        <v>761</v>
      </c>
      <c r="C24" s="131"/>
      <c r="D24" s="131"/>
      <c r="E24" s="245" t="str">
        <f>"~FI_T: FLO_MARK~"&amp;Region</f>
        <v>~FI_T: FLO_MARK~FIM</v>
      </c>
    </row>
    <row r="25" spans="2:21" ht="22.5">
      <c r="B25" s="323" t="s">
        <v>57</v>
      </c>
      <c r="C25" s="323" t="s">
        <v>384</v>
      </c>
      <c r="D25" s="323" t="s">
        <v>385</v>
      </c>
      <c r="E25" s="323" t="s">
        <v>762</v>
      </c>
      <c r="F25" s="327">
        <v>0</v>
      </c>
      <c r="G25" s="323">
        <f ca="1">AuxYear</f>
        <v>2017</v>
      </c>
      <c r="H25" s="323">
        <f ca="1">BaseYear-5</f>
        <v>2005</v>
      </c>
      <c r="I25" s="323">
        <f ca="1">CEILING(AuxYear+2,5)</f>
        <v>2020</v>
      </c>
      <c r="J25" s="323">
        <f ca="1">CEILING(AuxYear+12,5)</f>
        <v>2030</v>
      </c>
      <c r="K25" s="323">
        <f ca="1">BaseYear+30</f>
        <v>2040</v>
      </c>
      <c r="L25" s="323">
        <v>2050</v>
      </c>
      <c r="M25" s="323">
        <v>2070</v>
      </c>
      <c r="N25" s="323">
        <v>2100</v>
      </c>
      <c r="O25" s="324" t="s">
        <v>782</v>
      </c>
      <c r="Q25" s="324" t="s">
        <v>763</v>
      </c>
      <c r="R25" s="324" t="s">
        <v>783</v>
      </c>
      <c r="S25" s="324" t="s">
        <v>941</v>
      </c>
      <c r="T25" s="324" t="s">
        <v>764</v>
      </c>
      <c r="U25" s="325" t="s">
        <v>765</v>
      </c>
    </row>
    <row r="26" spans="2:21">
      <c r="B26" s="318" t="s">
        <v>883</v>
      </c>
      <c r="C26" s="318"/>
      <c r="D26" s="318"/>
      <c r="E26" s="318"/>
      <c r="F26" s="328">
        <v>0</v>
      </c>
      <c r="G26" s="576">
        <f>RIGHT(G25,4)*1</f>
        <v>2017</v>
      </c>
      <c r="H26" s="576">
        <f>RIGHT(H25,4)*1</f>
        <v>2005</v>
      </c>
      <c r="I26" s="576">
        <f t="shared" ref="I26:N26" si="15">RIGHT(I25,4)*1</f>
        <v>2020</v>
      </c>
      <c r="J26" s="576">
        <f t="shared" si="15"/>
        <v>2030</v>
      </c>
      <c r="K26" s="576">
        <f t="shared" si="15"/>
        <v>2040</v>
      </c>
      <c r="L26" s="576">
        <f t="shared" si="15"/>
        <v>2050</v>
      </c>
      <c r="M26" s="576">
        <f t="shared" si="15"/>
        <v>2070</v>
      </c>
      <c r="N26" s="576">
        <f t="shared" si="15"/>
        <v>2100</v>
      </c>
      <c r="O26" s="328">
        <f ca="1">AuxYear</f>
        <v>2017</v>
      </c>
      <c r="Q26" s="326"/>
      <c r="R26" s="318"/>
      <c r="S26" s="318"/>
      <c r="T26" s="318"/>
      <c r="U26" s="318"/>
    </row>
    <row r="27" spans="2:21">
      <c r="B27" s="293" t="s">
        <v>227</v>
      </c>
      <c r="C27" s="293" t="s">
        <v>884</v>
      </c>
      <c r="D27" s="293"/>
      <c r="E27" s="293" t="s">
        <v>767</v>
      </c>
      <c r="F27" s="314"/>
      <c r="G27" s="577"/>
      <c r="H27" s="528"/>
      <c r="I27" s="577">
        <f ca="1">MAX(0.005*($Q27&gt;0),IF(O27&gt;0,MAX(0.001,$T27/(1+($T27/O27-1)*(1+$Q27)^(O$26-I$26)))),$T27-($T27-O27)*(1-$R27)^(I$26-O$26),MIN($T27,O27+$S27*(I$26-O$26)*($T27-O27)/$T27))</f>
        <v>0.64857141940897012</v>
      </c>
      <c r="J27" s="577">
        <f ca="1">MAX(0.005*($Q27&gt;0),IF(I27&gt;0,MAX(0.001,$T27/(1+($T27/I27-1)*(1+$Q27)^(I$26-J$26)))),$T27-($T27-I27)*(1-$R27)^(J$26-I$26),MIN($T27,I27+$S27*(J$26-I$26)*($T27-I27)/$T27))</f>
        <v>0.66025876630546276</v>
      </c>
      <c r="K27" s="577">
        <f ca="1">MAX(0.005*($Q27&gt;0),IF(J27&gt;0,MAX(0.001,$T27/(1+($T27/J27-1)*(1+$Q27)^(J$26-K$26)))),$T27-($T27-J27)*(1-$R27)^(K$26-J$26),MIN($T27,J27+$S27*(K$26-J$26)*($T27-J27)/$T27))</f>
        <v>0.67104407689582468</v>
      </c>
      <c r="L27" s="577">
        <f ca="1">MAX(0.005*($Q27&gt;0),IF(K27&gt;0,MAX(0.001,$T27/(1+($T27/K27-1)*(1+$Q27)^(K$26-L$26)))),$T27-($T27-K27)*(1-$R27)^(L$26-K$26),MIN($T27,K27+$S27*(L$26-K$26)*($T27-K27)/$T27))</f>
        <v>0.68099697087259892</v>
      </c>
      <c r="M27" s="577">
        <f ca="1">MAX(0.005*($Q27&gt;0),IF(L27&gt;0,MAX(0.001,$T27/(1+($T27/L27-1)*(1+$Q27)^(L$26-M$26)))),$T27-($T27-L27)*(1-$R27)^(M$26-L$26),MIN($T27,L27+$S27*(M$26-L$26)*($T27-L27)/$T27))</f>
        <v>0.6986575360250975</v>
      </c>
      <c r="N27" s="577">
        <f ca="1">MAX(0.005*($Q27&gt;0),IF(M27&gt;0,MAX(0.001,$T27/(1+($T27/M27-1)*(1+$Q27)^(M$26-N$26)))),$T27-($T27-M27)*(1-$R27)^(N$26-M$26),MIN($T27,M27+$S27*(N$26-M$26)*($T27-M27)/$T27))</f>
        <v>0.72035809788893768</v>
      </c>
      <c r="O27" s="578">
        <f ca="1">IF(C13&gt;0,C13/C$17)</f>
        <v>0.64487820017640851</v>
      </c>
      <c r="Q27" s="582">
        <v>0</v>
      </c>
      <c r="R27" s="583">
        <v>8.0000000000000002E-3</v>
      </c>
      <c r="S27" s="579">
        <v>6.9999999999999999E-4</v>
      </c>
      <c r="T27" s="583">
        <f ca="1">MIN(MAX(0.8,O27*1.05+0.01),MAX(O27^IF(R27,0.25,0.25),0.1))</f>
        <v>0.8</v>
      </c>
      <c r="U27" s="293" t="s">
        <v>777</v>
      </c>
    </row>
    <row r="28" spans="2:21">
      <c r="B28" s="293" t="s">
        <v>230</v>
      </c>
      <c r="C28" s="293" t="s">
        <v>884</v>
      </c>
      <c r="D28" s="293"/>
      <c r="E28" s="293" t="s">
        <v>767</v>
      </c>
      <c r="F28" s="314">
        <f ca="1">IF(G28&gt;0,BaseYear,"")</f>
        <v>2010</v>
      </c>
      <c r="G28" s="577">
        <f ca="1">MAX(0,O28-0.001)</f>
        <v>0.23297694009069825</v>
      </c>
      <c r="H28" s="293">
        <v>0</v>
      </c>
      <c r="I28" s="577">
        <f>-Q28</f>
        <v>-5.0000000000000001E-3</v>
      </c>
      <c r="J28" s="577"/>
      <c r="K28" s="577"/>
      <c r="L28" s="577">
        <f>-Q28</f>
        <v>-5.0000000000000001E-3</v>
      </c>
      <c r="M28" s="577"/>
      <c r="N28" s="577">
        <f>-T28</f>
        <v>-5.0000000000000001E-3</v>
      </c>
      <c r="O28" s="578">
        <f ca="1">IF(C14&gt;0,C14/C$17,0)</f>
        <v>0.23397694009069825</v>
      </c>
      <c r="Q28" s="582">
        <v>5.0000000000000001E-3</v>
      </c>
      <c r="R28" s="295"/>
      <c r="S28" s="293"/>
      <c r="T28" s="295">
        <v>5.0000000000000001E-3</v>
      </c>
      <c r="U28" s="293" t="s">
        <v>780</v>
      </c>
    </row>
    <row r="29" spans="2:21">
      <c r="B29" s="293" t="s">
        <v>230</v>
      </c>
      <c r="C29" s="293" t="s">
        <v>884</v>
      </c>
      <c r="D29" s="293"/>
      <c r="E29" s="293" t="s">
        <v>766</v>
      </c>
      <c r="F29" s="314">
        <v>1</v>
      </c>
      <c r="G29" s="577"/>
      <c r="H29" s="293"/>
      <c r="I29" s="577">
        <f ca="1">MAX(0.005*($Q29&gt;0),IF(O29&gt;0,MAX(0.001,$T29/(1+($T29/O29-1)*(1+$Q29)^(O$26-I$26)))),$T29-($T29-O29)*(1-$R29)^(I$26-O$26),MIN($T29,O29+$S29*(I$26-O$26)*($T29-O29)/$T29))</f>
        <v>0.24096175571602468</v>
      </c>
      <c r="J29" s="577">
        <f t="shared" ref="J29:N33" ca="1" si="16">MAX(0.005*($Q29&gt;0),IF(I29&gt;0,MAX(0.001,$T29/(1+($T29/I29-1)*(1+$Q29)^(I$26-J$26)))),$T29-($T29-I29)*(1-$R29)^(J$26-I$26),MIN($T29,I29+$S29*(J$26-I$26)*($T29-I29)/$T29))</f>
        <v>0.26491127223358435</v>
      </c>
      <c r="K29" s="577">
        <f t="shared" ca="1" si="16"/>
        <v>0.28972388571073887</v>
      </c>
      <c r="L29" s="577">
        <f t="shared" ca="1" si="16"/>
        <v>0.31515948863607474</v>
      </c>
      <c r="M29" s="577">
        <f t="shared" ca="1" si="16"/>
        <v>0.36681912405794814</v>
      </c>
      <c r="N29" s="577">
        <f t="shared" ca="1" si="16"/>
        <v>0.44207866037940574</v>
      </c>
      <c r="O29" s="578">
        <f ca="1">O28</f>
        <v>0.23397694009069825</v>
      </c>
      <c r="Q29" s="582">
        <v>1.4999999999999999E-2</v>
      </c>
      <c r="R29" s="295">
        <v>0</v>
      </c>
      <c r="S29" s="293">
        <v>1E-3</v>
      </c>
      <c r="T29" s="584">
        <f ca="1">MIN(MAX(0.8,O29+0.01),MAX(O29^IF(R29,0.2,0.25),0.1))</f>
        <v>0.69549380231811853</v>
      </c>
      <c r="U29" s="293" t="s">
        <v>784</v>
      </c>
    </row>
    <row r="30" spans="2:21">
      <c r="B30" s="293" t="s">
        <v>1032</v>
      </c>
      <c r="C30" s="293" t="s">
        <v>884</v>
      </c>
      <c r="D30" s="293"/>
      <c r="E30" s="293" t="s">
        <v>766</v>
      </c>
      <c r="F30" s="314">
        <v>1</v>
      </c>
      <c r="G30" s="577"/>
      <c r="H30" s="579"/>
      <c r="I30" s="577">
        <f ca="1">MAX(0.005*($Q30&gt;0),IF(O30&gt;0,MAX(0.001,$T30/(1+($T30/O30-1)*(1+$Q30)^(O$26-I$26)))),$T30-($T30-O30)*(1-$R30)^(I$26-O$26),MIN($T30,O30+$S30*(I$26-O$26)*($T30-O30)/$T30))</f>
        <v>8.3765019520001816E-4</v>
      </c>
      <c r="J30" s="577">
        <f t="shared" ca="1" si="16"/>
        <v>3.5794714544769429E-3</v>
      </c>
      <c r="K30" s="577">
        <f t="shared" ca="1" si="16"/>
        <v>6.2454818456913336E-3</v>
      </c>
      <c r="L30" s="577">
        <f t="shared" ca="1" si="16"/>
        <v>8.8377775258034336E-3</v>
      </c>
      <c r="M30" s="577">
        <f t="shared" ca="1" si="16"/>
        <v>1.3809321191272608E-2</v>
      </c>
      <c r="N30" s="577">
        <f t="shared" ca="1" si="16"/>
        <v>2.0762932179095167E-2</v>
      </c>
      <c r="O30" s="578">
        <f ca="1">C10/C$17</f>
        <v>0</v>
      </c>
      <c r="Q30" s="585">
        <v>0</v>
      </c>
      <c r="R30" s="583">
        <v>2.8E-3</v>
      </c>
      <c r="S30" s="293"/>
      <c r="T30" s="584">
        <f ca="1">MIN(MAX(0.8,O30+0.01),MAX(O30^IF(R30,0.2,0.25),0.1))</f>
        <v>0.1</v>
      </c>
      <c r="U30" s="293" t="s">
        <v>781</v>
      </c>
    </row>
    <row r="31" spans="2:21">
      <c r="B31" s="293" t="s">
        <v>223</v>
      </c>
      <c r="C31" s="293" t="s">
        <v>884</v>
      </c>
      <c r="D31" s="293"/>
      <c r="E31" s="293" t="s">
        <v>767</v>
      </c>
      <c r="F31" s="314">
        <f ca="1">IF(G31&gt;0,BaseYear,"")</f>
        <v>2010</v>
      </c>
      <c r="G31" s="577">
        <f ca="1">MAX(0,O31-0.001)</f>
        <v>8.7166272094988062E-2</v>
      </c>
      <c r="H31" s="579"/>
      <c r="I31" s="577">
        <f>-Q31</f>
        <v>-4.4999999999999998E-2</v>
      </c>
      <c r="J31" s="577"/>
      <c r="K31" s="577"/>
      <c r="L31" s="577">
        <f>-Q31</f>
        <v>-4.4999999999999998E-2</v>
      </c>
      <c r="M31" s="577"/>
      <c r="N31" s="577"/>
      <c r="O31" s="578">
        <f ca="1">C7/C$17</f>
        <v>8.8166272094988063E-2</v>
      </c>
      <c r="Q31" s="585">
        <v>4.4999999999999998E-2</v>
      </c>
      <c r="R31" s="583"/>
      <c r="S31" s="293"/>
      <c r="T31" s="584">
        <f ca="1">MIN(MAX(0.8,O31+0.01),MAX(O31^IF(R31,0.2,0.25),0.1))</f>
        <v>0.54491105584944111</v>
      </c>
      <c r="U31" s="293" t="s">
        <v>960</v>
      </c>
    </row>
    <row r="32" spans="2:21">
      <c r="B32" s="293" t="s">
        <v>222</v>
      </c>
      <c r="C32" s="293" t="s">
        <v>884</v>
      </c>
      <c r="D32" s="293"/>
      <c r="E32" s="293" t="s">
        <v>766</v>
      </c>
      <c r="F32" s="314">
        <v>1</v>
      </c>
      <c r="G32" s="577"/>
      <c r="H32" s="579"/>
      <c r="I32" s="577">
        <f ca="1">MAX(0.005*($Q32&gt;0),IF(O32&gt;0,MAX(0.001,$T32/(1+($T32/O32-1)*(1+$Q32)^(O$26-I$26)))),$T32-($T32-O32)*(1-$R32)^(I$26-O$26),MIN($T32,O32+$S32*(I$26-O$26)*($T32-O32)/$T32))</f>
        <v>3.732424405779744E-2</v>
      </c>
      <c r="J32" s="577">
        <f t="shared" ca="1" si="16"/>
        <v>7.9088521148189095E-2</v>
      </c>
      <c r="K32" s="577">
        <f t="shared" ca="1" si="16"/>
        <v>0.11685938472444019</v>
      </c>
      <c r="L32" s="577">
        <f t="shared" ca="1" si="16"/>
        <v>0.15101867670040459</v>
      </c>
      <c r="M32" s="577">
        <f t="shared" ca="1" si="16"/>
        <v>0.20985084994900954</v>
      </c>
      <c r="N32" s="577">
        <f t="shared" ca="1" si="16"/>
        <v>0.27863667149754673</v>
      </c>
      <c r="O32" s="578">
        <f ca="1">C6/C$17</f>
        <v>2.3954252234760331E-2</v>
      </c>
      <c r="Q32" s="585">
        <v>0</v>
      </c>
      <c r="R32" s="295">
        <v>0.01</v>
      </c>
      <c r="S32" s="293"/>
      <c r="T32" s="584">
        <f ca="1">MIN(MAX(0.8,O32+0.01),MAX(O32^IF(R32,0.2,0.25),0.1))</f>
        <v>0.47410717042058154</v>
      </c>
      <c r="U32" s="293" t="s">
        <v>925</v>
      </c>
    </row>
    <row r="33" spans="2:21">
      <c r="B33" s="293" t="s">
        <v>226</v>
      </c>
      <c r="C33" s="293" t="s">
        <v>884</v>
      </c>
      <c r="D33" s="293"/>
      <c r="E33" s="293" t="s">
        <v>766</v>
      </c>
      <c r="F33" s="314">
        <v>1</v>
      </c>
      <c r="G33" s="577"/>
      <c r="H33" s="293"/>
      <c r="I33" s="577">
        <f ca="1">MAX(0.005*($Q33&gt;0),IF(O33&gt;0,MAX(0.001,$T33/(1+($T33/O33-1)*(1+$Q33)^(O$26-I$26)))),$T33-($T33-O33)*(1-$R33)^(I$26-O$26),MIN($T33,O33+$S33*(I$26-O$26)*($T33-O33)/$T33))</f>
        <v>2.0746675333299106E-2</v>
      </c>
      <c r="J33" s="577">
        <f t="shared" ca="1" si="16"/>
        <v>5.8618901536201432E-2</v>
      </c>
      <c r="K33" s="577">
        <f t="shared" ca="1" si="16"/>
        <v>9.2606961757918715E-2</v>
      </c>
      <c r="L33" s="577">
        <f t="shared" ca="1" si="16"/>
        <v>0.12310921508324747</v>
      </c>
      <c r="M33" s="577">
        <f t="shared" ca="1" si="16"/>
        <v>0.17785711489590236</v>
      </c>
      <c r="N33" s="577">
        <f t="shared" ca="1" si="16"/>
        <v>0.2431341721655822</v>
      </c>
      <c r="O33" s="578">
        <f ca="1">C12/C$17</f>
        <v>9.0243354031447967E-3</v>
      </c>
      <c r="Q33" s="582">
        <v>0.01</v>
      </c>
      <c r="R33" s="295">
        <v>0.01</v>
      </c>
      <c r="S33" s="293">
        <v>4.0000000000000001E-3</v>
      </c>
      <c r="T33" s="584">
        <f ca="1">MIN(MAX(0.8,O33+0.01),MAX(O33^IF(R33,0.2,0.25),0.1))</f>
        <v>0.39001655836909005</v>
      </c>
      <c r="U33" s="293" t="s">
        <v>785</v>
      </c>
    </row>
    <row r="34" spans="2:21">
      <c r="B34" s="318" t="s">
        <v>793</v>
      </c>
      <c r="C34" s="318"/>
      <c r="D34" s="318"/>
      <c r="E34" s="318"/>
      <c r="F34" s="328"/>
      <c r="G34" s="318"/>
      <c r="H34" s="318"/>
      <c r="I34" s="318"/>
      <c r="J34" s="318"/>
      <c r="K34" s="318"/>
      <c r="L34" s="318"/>
      <c r="M34" s="318"/>
      <c r="N34" s="318"/>
      <c r="O34" s="326"/>
      <c r="Q34" s="326"/>
      <c r="R34" s="318"/>
      <c r="S34" s="318"/>
      <c r="T34" s="318"/>
      <c r="U34" s="318"/>
    </row>
    <row r="35" spans="2:21">
      <c r="B35" s="293" t="s">
        <v>653</v>
      </c>
      <c r="C35" s="293" t="s">
        <v>885</v>
      </c>
      <c r="D35" s="293"/>
      <c r="E35" s="293" t="s">
        <v>767</v>
      </c>
      <c r="F35" s="314">
        <f ca="1">IF(G35&gt;0,BaseYear,"")</f>
        <v>2010</v>
      </c>
      <c r="G35" s="577">
        <f ca="1">MAX(0,O35-0.001)</f>
        <v>2.8741617386364351E-2</v>
      </c>
      <c r="H35" s="528">
        <v>0</v>
      </c>
      <c r="I35" s="577">
        <f>-Q35</f>
        <v>0</v>
      </c>
      <c r="J35" s="577"/>
      <c r="K35" s="577"/>
      <c r="L35" s="577">
        <f>-Q35</f>
        <v>0</v>
      </c>
      <c r="M35" s="577"/>
      <c r="N35" s="577">
        <f>-T35</f>
        <v>0</v>
      </c>
      <c r="O35" s="578">
        <f ca="1">IF(D13&gt;0,D13/D$17)</f>
        <v>2.9741617386364352E-2</v>
      </c>
      <c r="Q35" s="582">
        <v>0</v>
      </c>
      <c r="R35" s="295"/>
      <c r="S35" s="293"/>
      <c r="T35" s="295">
        <v>0</v>
      </c>
      <c r="U35" s="293" t="s">
        <v>777</v>
      </c>
    </row>
    <row r="36" spans="2:21">
      <c r="B36" s="293" t="s">
        <v>155</v>
      </c>
      <c r="C36" s="293" t="s">
        <v>885</v>
      </c>
      <c r="D36" s="293"/>
      <c r="E36" s="293" t="s">
        <v>767</v>
      </c>
      <c r="F36" s="314">
        <f ca="1">IF(G36&gt;0,BaseYear,"")</f>
        <v>2010</v>
      </c>
      <c r="G36" s="577">
        <f ca="1">MAX(0,O36-0.001)</f>
        <v>0.94473801429958648</v>
      </c>
      <c r="H36" s="293">
        <v>0</v>
      </c>
      <c r="I36" s="577">
        <f>-Q36</f>
        <v>-5.0000000000000001E-3</v>
      </c>
      <c r="J36" s="577"/>
      <c r="K36" s="577"/>
      <c r="L36" s="577">
        <f>-Q36</f>
        <v>-5.0000000000000001E-3</v>
      </c>
      <c r="M36" s="577"/>
      <c r="N36" s="577">
        <f>-T36</f>
        <v>-5.0000000000000001E-3</v>
      </c>
      <c r="O36" s="578">
        <f ca="1">IF(D14&gt;0,D14/D$17,0)</f>
        <v>0.94573801429958648</v>
      </c>
      <c r="Q36" s="582">
        <v>5.0000000000000001E-3</v>
      </c>
      <c r="R36" s="295"/>
      <c r="S36" s="293"/>
      <c r="T36" s="295">
        <v>5.0000000000000001E-3</v>
      </c>
      <c r="U36" s="293" t="s">
        <v>780</v>
      </c>
    </row>
    <row r="37" spans="2:21">
      <c r="B37" s="293" t="s">
        <v>155</v>
      </c>
      <c r="C37" s="293" t="s">
        <v>885</v>
      </c>
      <c r="D37" s="293"/>
      <c r="E37" s="293" t="s">
        <v>766</v>
      </c>
      <c r="F37" s="314">
        <v>1</v>
      </c>
      <c r="G37" s="577"/>
      <c r="H37" s="293"/>
      <c r="I37" s="577">
        <f ca="1">MAX(0.005*($Q37&gt;0),IF(O37&gt;0,MAX(0.001,$T37/(1+($T37/O37-1)*(1+$Q37)^(O$26-I$26)))),$T37-($T37-O37)*(1-$R37)^(I$26-O$26),MIN($T37,O37+$S37*(I$26-O$26)*($T37-O37)/$T37))</f>
        <v>0.94797862894660301</v>
      </c>
      <c r="J37" s="577">
        <f t="shared" ref="J37:N40" ca="1" si="17">MAX(0.005*($Q37&gt;0),IF(I37&gt;0,MAX(0.001,$T37/(1+($T37/I37-1)*(1+$Q37)^(I$26-J$26)))),$T37-($T37-I37)*(1-$R37)^(J$26-I$26),MIN($T37,I37+$S37*(J$26-I$26)*($T37-I37)/$T37))</f>
        <v>0.95461680155592943</v>
      </c>
      <c r="K37" s="577">
        <f t="shared" ca="1" si="17"/>
        <v>0.96013223090054178</v>
      </c>
      <c r="L37" s="577">
        <f t="shared" ca="1" si="17"/>
        <v>0.96470461694970078</v>
      </c>
      <c r="M37" s="577">
        <f t="shared" ca="1" si="17"/>
        <v>0.97161430622491707</v>
      </c>
      <c r="N37" s="577">
        <f t="shared" ca="1" si="17"/>
        <v>0.97807166425999492</v>
      </c>
      <c r="O37" s="578">
        <f ca="1">O36</f>
        <v>0.94573801429958648</v>
      </c>
      <c r="Q37" s="582">
        <v>0.02</v>
      </c>
      <c r="R37" s="295">
        <v>0</v>
      </c>
      <c r="S37" s="293">
        <v>1E-3</v>
      </c>
      <c r="T37" s="531">
        <f ca="1">MIN(MAX(0.99,O37*1.05+0.01),MAX(O37^IF(R37,0.2,0.25),0.1))</f>
        <v>0.9861493924722351</v>
      </c>
      <c r="U37" s="293" t="s">
        <v>784</v>
      </c>
    </row>
    <row r="38" spans="2:21">
      <c r="B38" s="293" t="s">
        <v>1033</v>
      </c>
      <c r="C38" s="293" t="s">
        <v>885</v>
      </c>
      <c r="D38" s="293"/>
      <c r="E38" s="293" t="s">
        <v>766</v>
      </c>
      <c r="F38" s="314">
        <v>1</v>
      </c>
      <c r="G38" s="577"/>
      <c r="H38" s="579"/>
      <c r="I38" s="577">
        <f ca="1">MAX(0.005*($Q38&gt;0),IF(O38&gt;0,MAX(0.001,$T38/(1+($T38/O38-1)*(1+$Q38)^(O$26-I$26)))),$T38-($T38-O38)*(1-$R38)^(I$26-O$26),MIN($T38,O38+$S38*(I$26-O$26)*($T38-O38)/$T38))</f>
        <v>5.0000000000000001E-3</v>
      </c>
      <c r="J38" s="577">
        <f t="shared" ca="1" si="17"/>
        <v>7.6267330306718922E-3</v>
      </c>
      <c r="K38" s="577">
        <f t="shared" ca="1" si="17"/>
        <v>1.0180837362244594E-2</v>
      </c>
      <c r="L38" s="577">
        <f t="shared" ca="1" si="17"/>
        <v>1.2664321165274939E-2</v>
      </c>
      <c r="M38" s="577">
        <f t="shared" ca="1" si="17"/>
        <v>1.7427183775421656E-2</v>
      </c>
      <c r="N38" s="577">
        <f t="shared" ca="1" si="17"/>
        <v>2.4088916228752116E-2</v>
      </c>
      <c r="O38" s="578">
        <f ca="1">IF(D10&gt;0,D10/D$17,0)</f>
        <v>0</v>
      </c>
      <c r="Q38" s="586">
        <f ca="1">Tiny</f>
        <v>1.0000000000000001E-9</v>
      </c>
      <c r="R38" s="583">
        <v>2.8E-3</v>
      </c>
      <c r="S38" s="293"/>
      <c r="T38" s="584">
        <f ca="1">MIN(MAX(0.8,O38+0.01),MAX(O38^IF(R38,0.2,0.25),0.1))</f>
        <v>0.1</v>
      </c>
      <c r="U38" s="293" t="s">
        <v>781</v>
      </c>
    </row>
    <row r="39" spans="2:21">
      <c r="B39" s="293" t="s">
        <v>648</v>
      </c>
      <c r="C39" s="293" t="s">
        <v>885</v>
      </c>
      <c r="D39" s="293"/>
      <c r="E39" s="293" t="s">
        <v>766</v>
      </c>
      <c r="F39" s="314">
        <v>1</v>
      </c>
      <c r="G39" s="577"/>
      <c r="H39" s="579"/>
      <c r="I39" s="577">
        <f ca="1">MAX(0.005*($Q39&gt;0),IF(O39&gt;0,MAX(0.001,$T39/(1+($T39/O39-1)*(1+$Q39)^(O$26-I$26)))),$T39-($T39-O39)*(1-$R39)^(I$26-O$26),MIN($T39,O39+$S39*(I$26-O$26)*($T39-O39)/$T39))</f>
        <v>2.0245308304945364E-2</v>
      </c>
      <c r="J39" s="577">
        <f t="shared" ca="1" si="17"/>
        <v>5.5537987560887125E-2</v>
      </c>
      <c r="K39" s="577">
        <f t="shared" ca="1" si="17"/>
        <v>8.7456054058995869E-2</v>
      </c>
      <c r="L39" s="577">
        <f t="shared" ca="1" si="17"/>
        <v>0.11632218126882449</v>
      </c>
      <c r="M39" s="577">
        <f t="shared" ca="1" si="17"/>
        <v>0.16603799499880037</v>
      </c>
      <c r="N39" s="577">
        <f t="shared" ca="1" si="17"/>
        <v>0.22416508605354951</v>
      </c>
      <c r="O39" s="578">
        <f ca="1">IF(D6&gt;0,D6/D$17,0)</f>
        <v>8.9470681356316299E-3</v>
      </c>
      <c r="Q39" s="585">
        <v>0</v>
      </c>
      <c r="R39" s="295">
        <v>0.01</v>
      </c>
      <c r="S39" s="293"/>
      <c r="T39" s="584">
        <f ca="1">MIN(MAX(0.8,O39+0.01),MAX(O39^IF(R39,0.2,0.25),0.1))</f>
        <v>0.38934638699067725</v>
      </c>
      <c r="U39" s="293" t="s">
        <v>925</v>
      </c>
    </row>
    <row r="40" spans="2:21">
      <c r="B40" s="293" t="s">
        <v>652</v>
      </c>
      <c r="C40" s="293" t="s">
        <v>885</v>
      </c>
      <c r="D40" s="293"/>
      <c r="E40" s="293" t="s">
        <v>766</v>
      </c>
      <c r="F40" s="314">
        <v>1</v>
      </c>
      <c r="G40" s="577"/>
      <c r="H40" s="293"/>
      <c r="I40" s="577">
        <f ca="1">MAX(0.005*($Q40&gt;0),IF(O40&gt;0,MAX(0.001,$T40/(1+($T40/O40-1)*(1+$Q40)^(O$26-I$26)))),$T40-($T40-O40)*(1-$R40)^(I$26-O$26),MIN($T40,O40+$S40*(I$26-O$26)*($T40-O40)/$T40))</f>
        <v>7.5836363278060648E-3</v>
      </c>
      <c r="J40" s="577">
        <f t="shared" ca="1" si="17"/>
        <v>2.9130916556616288E-2</v>
      </c>
      <c r="K40" s="577">
        <f t="shared" ca="1" si="17"/>
        <v>4.8617890560743837E-2</v>
      </c>
      <c r="L40" s="577">
        <f t="shared" ca="1" si="17"/>
        <v>6.6241560546239336E-2</v>
      </c>
      <c r="M40" s="577">
        <f t="shared" ca="1" si="17"/>
        <v>9.659461372405298E-2</v>
      </c>
      <c r="N40" s="577">
        <f t="shared" ca="1" si="17"/>
        <v>0.1320830137618989</v>
      </c>
      <c r="O40" s="578">
        <f ca="1">IF(D12&gt;0,D12/D$17,0)</f>
        <v>6.857087078842145E-4</v>
      </c>
      <c r="Q40" s="582">
        <v>0.01</v>
      </c>
      <c r="R40" s="295">
        <v>0.01</v>
      </c>
      <c r="S40" s="293">
        <v>2E-3</v>
      </c>
      <c r="T40" s="584">
        <f ca="1">MIN(MAX(0.8,O40+0.01),MAX(O40^IF(R40,0.2,0.25),0.1))</f>
        <v>0.23293134420574044</v>
      </c>
      <c r="U40" s="293" t="s">
        <v>785</v>
      </c>
    </row>
    <row r="41" spans="2:21">
      <c r="B41" s="318" t="s">
        <v>915</v>
      </c>
      <c r="C41" s="318"/>
      <c r="D41" s="318"/>
      <c r="E41" s="318"/>
      <c r="F41" s="328"/>
      <c r="G41" s="318"/>
      <c r="H41" s="318"/>
      <c r="I41" s="318"/>
      <c r="J41" s="318"/>
      <c r="K41" s="318"/>
      <c r="L41" s="318"/>
      <c r="M41" s="318"/>
      <c r="N41" s="318"/>
      <c r="O41" s="326"/>
      <c r="Q41" s="326"/>
      <c r="R41" s="318"/>
      <c r="S41" s="318"/>
      <c r="T41" s="318"/>
      <c r="U41" s="318"/>
    </row>
    <row r="42" spans="2:21">
      <c r="B42" s="293" t="s">
        <v>916</v>
      </c>
      <c r="C42" s="293" t="s">
        <v>884</v>
      </c>
      <c r="D42" s="293"/>
      <c r="E42" s="293" t="s">
        <v>766</v>
      </c>
      <c r="F42" s="314">
        <v>1</v>
      </c>
      <c r="G42" s="577"/>
      <c r="H42" s="528"/>
      <c r="I42" s="577">
        <f ca="1">MAX(0.005*($Q42&gt;0),IF(O42&gt;0,MAX(0.001,$T42/(1+($T42/O42-1)*(1+$Q42)^(O$26-I$26)))),$T42-($T42-O42)*(1-$R42)^(I$26-O$26),MIN($T42,O42+$S42*(I$26-O$26)*($T42-O42)/$T42))</f>
        <v>2.6165897592577425E-3</v>
      </c>
      <c r="J42" s="577">
        <f ca="1">MAX(0.005*($Q42&gt;0),IF(I42&gt;0,MAX(0.001,$T42/(1+($T42/I42-1)*(1+$Q42)^(I$26-J$26)))),$T42-($T42-I42)*(1-$R42)^(J$26-I$26),MIN($T42,I42+$S42*(J$26-I$26)*($T42-I42)/$T42))</f>
        <v>2.6165897592577425E-3</v>
      </c>
      <c r="K42" s="577">
        <f ca="1">MAX(0.005*($Q42&gt;0),IF(J42&gt;0,MAX(0.001,$T42/(1+($T42/J42-1)*(1+$Q42)^(J$26-K$26)))),$T42-($T42-J42)*(1-$R42)^(K$26-J$26),MIN($T42,J42+$S42*(K$26-J$26)*($T42-J42)/$T42))</f>
        <v>2.6165897592577425E-3</v>
      </c>
      <c r="L42" s="577">
        <f ca="1">MAX(0.005*($Q42&gt;0),IF(K42&gt;0,MAX(0.001,$T42/(1+($T42/K42-1)*(1+$Q42)^(K$26-L$26)))),$T42-($T42-K42)*(1-$R42)^(L$26-K$26),MIN($T42,K42+$S42*(L$26-K$26)*($T42-K42)/$T42))</f>
        <v>2.6165897592577425E-3</v>
      </c>
      <c r="M42" s="577">
        <f ca="1">MAX(0.005*($Q42&gt;0),IF(L42&gt;0,MAX(0.001,$T42/(1+($T42/L42-1)*(1+$Q42)^(L$26-M$26)))),$T42-($T42-L42)*(1-$R42)^(M$26-L$26),MIN($T42,L42+$S42*(M$26-L$26)*($T42-L42)/$T42))</f>
        <v>2.6165897592577425E-3</v>
      </c>
      <c r="N42" s="577">
        <f ca="1">MAX(0.005*($Q42&gt;0),IF(M42&gt;0,MAX(0.001,$T42/(1+($T42/M42-1)*(1+$Q42)^(M$26-N$26)))),$T42-($T42-M42)*(1-$R42)^(N$26-M$26),MIN($T42,M42+$S42*(N$26-M$26)*($T42-M42)/$T42))</f>
        <v>2.6165897592577425E-3</v>
      </c>
      <c r="O42" s="578">
        <f ca="1">'RHT2'!L16/C17</f>
        <v>2.6165897592577386E-3</v>
      </c>
      <c r="Q42" s="582">
        <v>0</v>
      </c>
      <c r="R42" s="295"/>
      <c r="S42" s="293"/>
      <c r="T42" s="295">
        <v>0.1</v>
      </c>
      <c r="U42" s="293" t="s">
        <v>785</v>
      </c>
    </row>
    <row r="43" spans="2:21">
      <c r="B43" s="293" t="s">
        <v>894</v>
      </c>
      <c r="C43" s="293" t="s">
        <v>909</v>
      </c>
      <c r="D43" s="293"/>
      <c r="E43" s="293" t="s">
        <v>767</v>
      </c>
      <c r="F43" s="314" t="str">
        <f ca="1">IF(G43&gt;0,BaseYear,"")</f>
        <v/>
      </c>
      <c r="G43" s="577">
        <f ca="1">MAX(0,O43-0.001)</f>
        <v>0</v>
      </c>
      <c r="H43" s="293">
        <v>0</v>
      </c>
      <c r="I43" s="577">
        <f>-Q43</f>
        <v>0</v>
      </c>
      <c r="J43" s="577"/>
      <c r="K43" s="577"/>
      <c r="L43" s="577">
        <f>-Q43</f>
        <v>0</v>
      </c>
      <c r="M43" s="577"/>
      <c r="N43" s="577">
        <f>-T43</f>
        <v>0</v>
      </c>
      <c r="O43" s="580">
        <f ca="1">SUMIF(OFFSET(INDIRECT(E$4&amp;"!H5"),1,0,E$2),$B13,OFFSET(INDIRECT(E$4&amp;"!X$5"),1,0,E$2))</f>
        <v>0</v>
      </c>
      <c r="Q43" s="587">
        <v>0</v>
      </c>
      <c r="R43" s="293"/>
      <c r="S43" s="293"/>
      <c r="T43" s="295">
        <v>0</v>
      </c>
      <c r="U43" s="293" t="s">
        <v>777</v>
      </c>
    </row>
    <row r="44" spans="2:21">
      <c r="B44" s="318" t="s">
        <v>768</v>
      </c>
      <c r="C44" s="318"/>
      <c r="D44" s="318"/>
      <c r="E44" s="318"/>
      <c r="F44" s="328"/>
      <c r="G44" s="318"/>
      <c r="H44" s="318"/>
      <c r="I44" s="318"/>
      <c r="J44" s="318"/>
      <c r="K44" s="318"/>
      <c r="L44" s="318"/>
      <c r="M44" s="318"/>
      <c r="N44" s="318"/>
      <c r="O44" s="326"/>
      <c r="Q44" s="326"/>
      <c r="R44" s="318"/>
      <c r="S44" s="318"/>
      <c r="T44" s="318"/>
      <c r="U44" s="318"/>
    </row>
    <row r="45" spans="2:21">
      <c r="B45" s="293" t="s">
        <v>505</v>
      </c>
      <c r="C45" s="293" t="s">
        <v>787</v>
      </c>
      <c r="D45" s="293"/>
      <c r="E45" s="293" t="s">
        <v>766</v>
      </c>
      <c r="F45" s="314">
        <v>1</v>
      </c>
      <c r="G45" s="577"/>
      <c r="H45" s="293"/>
      <c r="I45" s="577">
        <f ca="1">MAX(0.005*($Q45&gt;0),IF(O45&gt;0,MAX(0.001,$T45/(1+($T45/O45-1)*(1+$Q45)^(O$26-I$26)))),$T45-($T45-O45)*(1-$R45)^(I$26-O$26),MIN($T45,O45+$S45*(I$26-O$26)*($T45-O45)/$T45))</f>
        <v>0</v>
      </c>
      <c r="J45" s="577">
        <f ca="1">MAX(0.005*($Q45&gt;0),IF(I45&gt;0,MAX(0.001,$T45/(1+($T45/I45-1)*(1+$Q45)^(I$26-J$26)))),$T45-($T45-I45)*(1-$R45)^(J$26-I$26),MIN($T45,I45+$S45*(J$26-I$26)*($T45-I45)/$T45))</f>
        <v>0</v>
      </c>
      <c r="K45" s="577">
        <f ca="1">MAX(0.005*($Q45&gt;0),IF(J45&gt;0,MAX(0.001,$T45/(1+($T45/J45-1)*(1+$Q45)^(J$26-K$26)))),$T45-($T45-J45)*(1-$R45)^(K$26-J$26),MIN($T45,J45+$S45*(K$26-J$26)*($T45-J45)/$T45))</f>
        <v>0</v>
      </c>
      <c r="L45" s="577">
        <f ca="1">MAX(0.005*($Q45&gt;0),IF(K45&gt;0,MAX(0.001,$T45/(1+($T45/K45-1)*(1+$Q45)^(K$26-L$26)))),$T45-($T45-K45)*(1-$R45)^(L$26-K$26),MIN($T45,K45+$S45*(L$26-K$26)*($T45-K45)/$T45))</f>
        <v>0</v>
      </c>
      <c r="M45" s="577">
        <f ca="1">MAX(0.005*($Q45&gt;0),IF(L45&gt;0,MAX(0.001,$T45/(1+($T45/L45-1)*(1+$Q45)^(L$26-M$26)))),$T45-($T45-L45)*(1-$R45)^(M$26-L$26),MIN($T45,L45+$S45*(M$26-L$26)*($T45-L45)/$T45))</f>
        <v>0</v>
      </c>
      <c r="N45" s="577">
        <f ca="1">MAX(0.005*($Q45&gt;0),IF(M45&gt;0,MAX(0.001,$T45/(1+($T45/M45-1)*(1+$Q45)^(M$26-N$26)))),$T45-($T45-M45)*(1-$R45)^(N$26-M$26),MIN($T45,M45+$S45*(N$26-M$26)*($T45-M45)/$T45))</f>
        <v>0</v>
      </c>
      <c r="O45" s="578">
        <f ca="1">SUM('RLT2'!K7,'RLT2'!K13)/F$17</f>
        <v>0</v>
      </c>
      <c r="Q45" s="582">
        <v>-0.01</v>
      </c>
      <c r="R45" s="295">
        <v>-1</v>
      </c>
      <c r="S45" s="295">
        <v>-1</v>
      </c>
      <c r="T45" s="584">
        <f ca="1">MIN(MAX(0.8,O45+0.01),MAX(O45^IF(R45,0.2,0.25),0.1))</f>
        <v>0.1</v>
      </c>
      <c r="U45" s="405" t="s">
        <v>801</v>
      </c>
    </row>
    <row r="46" spans="2:21">
      <c r="B46" s="293" t="s">
        <v>506</v>
      </c>
      <c r="C46" s="293" t="s">
        <v>787</v>
      </c>
      <c r="D46" s="293"/>
      <c r="E46" s="293" t="s">
        <v>767</v>
      </c>
      <c r="F46" s="314">
        <f ca="1">IF(G46&gt;0,BaseYear,"")</f>
        <v>2010</v>
      </c>
      <c r="G46" s="577">
        <f ca="1">MAX(0,O46-0.001)</f>
        <v>0.19627403156384507</v>
      </c>
      <c r="H46" s="528">
        <v>0</v>
      </c>
      <c r="I46" s="577">
        <f>-Q46</f>
        <v>-7.4999999999999997E-2</v>
      </c>
      <c r="J46" s="577"/>
      <c r="K46" s="577"/>
      <c r="L46" s="577">
        <f>-Q46</f>
        <v>-7.4999999999999997E-2</v>
      </c>
      <c r="M46" s="577"/>
      <c r="N46" s="577">
        <f ca="1">-MAX(0,1-($T46/(O46*(1-$Q46)^(L$26-O$26)))^(1/(N$26-L$26)))</f>
        <v>0</v>
      </c>
      <c r="O46" s="578">
        <f ca="1">SUM('RLT2'!K8,'RLT2'!K14)/F$17</f>
        <v>0.19727403156384507</v>
      </c>
      <c r="Q46" s="582">
        <v>7.4999999999999997E-2</v>
      </c>
      <c r="R46" s="293"/>
      <c r="S46" s="293"/>
      <c r="T46" s="295">
        <v>0.03</v>
      </c>
      <c r="U46" s="293" t="s">
        <v>806</v>
      </c>
    </row>
    <row r="47" spans="2:21">
      <c r="B47" s="318" t="s">
        <v>769</v>
      </c>
      <c r="C47" s="318"/>
      <c r="D47" s="318"/>
      <c r="E47" s="318"/>
      <c r="F47" s="328"/>
      <c r="G47" s="318"/>
      <c r="H47" s="318"/>
      <c r="I47" s="318"/>
      <c r="J47" s="318"/>
      <c r="K47" s="318"/>
      <c r="L47" s="318"/>
      <c r="M47" s="318"/>
      <c r="N47" s="318"/>
      <c r="O47" s="326"/>
      <c r="Q47" s="326"/>
      <c r="R47" s="318"/>
      <c r="S47" s="318"/>
      <c r="T47" s="318"/>
      <c r="U47" s="318"/>
    </row>
    <row r="48" spans="2:21">
      <c r="B48" s="293" t="s">
        <v>306</v>
      </c>
      <c r="C48" s="293" t="s">
        <v>788</v>
      </c>
      <c r="D48" s="293"/>
      <c r="E48" s="293" t="s">
        <v>767</v>
      </c>
      <c r="F48" s="314">
        <f ca="1">IF(G48&gt;0,BaseYear,"")</f>
        <v>2010</v>
      </c>
      <c r="G48" s="577">
        <f ca="1">MAX(0,O48-0.001)</f>
        <v>0.87639509520045222</v>
      </c>
      <c r="H48" s="528">
        <v>0</v>
      </c>
      <c r="I48" s="577">
        <f>-Q48</f>
        <v>0</v>
      </c>
      <c r="J48" s="577"/>
      <c r="K48" s="577"/>
      <c r="L48" s="577">
        <f ca="1">(0.85+0.15/$G48)^(1/(L$25-I$25))-1</f>
        <v>6.9807711696023844E-4</v>
      </c>
      <c r="M48" s="577"/>
      <c r="N48" s="577">
        <f ca="1">(0.85+0.15/($G48*(1+L48)^(L$25-I$25)))^(1/(N$25-L$25))-1</f>
        <v>3.491914910405125E-4</v>
      </c>
      <c r="O48" s="578">
        <f ca="1">SUM(G13)/G$17</f>
        <v>0.87739509520045222</v>
      </c>
      <c r="Q48" s="582">
        <v>0</v>
      </c>
      <c r="R48" s="295"/>
      <c r="S48" s="293"/>
      <c r="T48" s="295">
        <v>0</v>
      </c>
      <c r="U48" s="293" t="s">
        <v>777</v>
      </c>
    </row>
    <row r="49" spans="2:21">
      <c r="B49" s="293" t="s">
        <v>304</v>
      </c>
      <c r="C49" s="293" t="s">
        <v>788</v>
      </c>
      <c r="D49" s="293"/>
      <c r="E49" s="293" t="s">
        <v>766</v>
      </c>
      <c r="F49" s="314">
        <v>1</v>
      </c>
      <c r="G49" s="577"/>
      <c r="H49" s="528"/>
      <c r="I49" s="577">
        <f ca="1">MAX(0.005*($Q49&gt;0),IF(O49&gt;0,MAX(0.001,$T49/(1+($T49/O49-1)*(1+$Q49)^(O$26-I$26)))),$T49-($T49-O49)*(1-$R49)^(I$26-O$26),0*MIN($T49,O49+$S49*(I$26-O$26)*($T49-O49)/$T49))</f>
        <v>0.11914425986650973</v>
      </c>
      <c r="J49" s="577">
        <f t="shared" ref="J49:N51" ca="1" si="18">MAX(0.005*($Q49&gt;0),IF(I49&gt;0,MAX(0.001,$T49/(1+($T49/I49-1)*(1+$Q49)^(I$26-J$26)))),$T49-($T49-I49)*(1-$R49)^(J$26-I$26),MIN($T49,I49+$S49*(J$26-I$26)*($T49-I49)/$T49))</f>
        <v>0.10965426141081566</v>
      </c>
      <c r="K49" s="577">
        <f t="shared" ca="1" si="18"/>
        <v>0.10077843721675186</v>
      </c>
      <c r="L49" s="577">
        <f t="shared" ca="1" si="18"/>
        <v>9.2499569505707827E-2</v>
      </c>
      <c r="M49" s="577">
        <f t="shared" ca="1" si="18"/>
        <v>7.7647671637342972E-2</v>
      </c>
      <c r="N49" s="577">
        <f t="shared" ca="1" si="18"/>
        <v>5.925995290656115E-2</v>
      </c>
      <c r="O49" s="578">
        <f ca="1">SUM(G6,G7,G9,G11)/G$17</f>
        <v>0.12211309842306933</v>
      </c>
      <c r="Q49" s="582">
        <v>-0.01</v>
      </c>
      <c r="R49" s="295">
        <v>-1</v>
      </c>
      <c r="S49" s="295">
        <v>-1</v>
      </c>
      <c r="T49" s="584">
        <f ca="1">MIN(MAX(0.8,O49+0.01),MAX(O49^IF(R49,0.2,0.2),0.1))</f>
        <v>0.6566779748482533</v>
      </c>
      <c r="U49" s="293" t="s">
        <v>791</v>
      </c>
    </row>
    <row r="50" spans="2:21">
      <c r="B50" s="293" t="s">
        <v>25</v>
      </c>
      <c r="C50" s="293" t="s">
        <v>788</v>
      </c>
      <c r="D50" s="293"/>
      <c r="E50" s="293" t="s">
        <v>766</v>
      </c>
      <c r="F50" s="314">
        <v>1</v>
      </c>
      <c r="G50" s="577"/>
      <c r="H50" s="293"/>
      <c r="I50" s="577">
        <f ca="1">MAX(0.005*($Q50&gt;0),IF(O50&gt;0,MAX(0.001,$T50/(1+($T50/O50-1)*(1+$Q50)^(O$26-I$26)))),$T50-($T50-O50)*(1-$R50)^(I$26-O$26),MIN($T50,O50+$S50*(I$26-O$26)*($T50-O50)/$T50))</f>
        <v>1E-3</v>
      </c>
      <c r="J50" s="577">
        <f t="shared" ca="1" si="18"/>
        <v>1E-3</v>
      </c>
      <c r="K50" s="577">
        <f t="shared" ca="1" si="18"/>
        <v>1E-3</v>
      </c>
      <c r="L50" s="577">
        <f t="shared" ca="1" si="18"/>
        <v>1E-3</v>
      </c>
      <c r="M50" s="577">
        <f t="shared" ca="1" si="18"/>
        <v>1E-3</v>
      </c>
      <c r="N50" s="577">
        <f t="shared" ca="1" si="18"/>
        <v>1E-3</v>
      </c>
      <c r="O50" s="578">
        <f ca="1">SUM(G10,G12)/G$17</f>
        <v>4.9180637647845845E-4</v>
      </c>
      <c r="Q50" s="582">
        <v>-0.03</v>
      </c>
      <c r="R50" s="295">
        <v>-1</v>
      </c>
      <c r="S50" s="295">
        <v>-1</v>
      </c>
      <c r="T50" s="584">
        <f ca="1">MIN(MAX(0.8,O50+0.01),MAX(O50^IF(R50,0.2,0.2),0.1))</f>
        <v>0.21795098246916367</v>
      </c>
      <c r="U50" s="293" t="s">
        <v>789</v>
      </c>
    </row>
    <row r="51" spans="2:21">
      <c r="B51" s="293" t="s">
        <v>307</v>
      </c>
      <c r="C51" s="293" t="s">
        <v>788</v>
      </c>
      <c r="D51" s="293"/>
      <c r="E51" s="293" t="s">
        <v>766</v>
      </c>
      <c r="F51" s="314">
        <v>1</v>
      </c>
      <c r="G51" s="577"/>
      <c r="H51" s="293"/>
      <c r="I51" s="577">
        <f ca="1">MAX(0.005*($Q51&gt;0),IF(O51&gt;0,MAX(0.001,$T51/(1+($T51/O51-1)*(1+$Q51)^(O$26-I$26)))),$T51-($T51-O51)*(1-$R51)^(I$26-O$26),MIN($T51,O51+$S51*(I$26-O$26)*($T51-O51)/$T51))</f>
        <v>0</v>
      </c>
      <c r="J51" s="577">
        <f t="shared" ca="1" si="18"/>
        <v>0</v>
      </c>
      <c r="K51" s="577">
        <f t="shared" ca="1" si="18"/>
        <v>0</v>
      </c>
      <c r="L51" s="577">
        <f t="shared" ca="1" si="18"/>
        <v>0</v>
      </c>
      <c r="M51" s="577">
        <f t="shared" ca="1" si="18"/>
        <v>0</v>
      </c>
      <c r="N51" s="577">
        <f t="shared" ca="1" si="18"/>
        <v>0</v>
      </c>
      <c r="O51" s="578">
        <f ca="1">SUM(G16)/G$17</f>
        <v>0</v>
      </c>
      <c r="Q51" s="555">
        <v>0</v>
      </c>
      <c r="R51" s="295">
        <v>0</v>
      </c>
      <c r="S51" s="295"/>
      <c r="T51" s="584">
        <f ca="1">MIN(MAX(0.8,O51+0.01),MAX(O51^IF(R51,0.2,0.2),0.1))</f>
        <v>0.1</v>
      </c>
      <c r="U51" s="293" t="s">
        <v>790</v>
      </c>
    </row>
    <row r="52" spans="2:21">
      <c r="B52" s="318" t="s">
        <v>770</v>
      </c>
      <c r="C52" s="318"/>
      <c r="D52" s="318"/>
      <c r="E52" s="318"/>
      <c r="F52" s="328"/>
      <c r="G52" s="318"/>
      <c r="H52" s="318"/>
      <c r="I52" s="318"/>
      <c r="J52" s="318"/>
      <c r="K52" s="318"/>
      <c r="L52" s="318"/>
      <c r="M52" s="318"/>
      <c r="N52" s="318"/>
      <c r="O52" s="326"/>
      <c r="Q52" s="326"/>
      <c r="R52" s="318"/>
      <c r="S52" s="318"/>
      <c r="T52" s="318"/>
      <c r="U52" s="318"/>
    </row>
    <row r="53" spans="2:21">
      <c r="B53" s="293" t="s">
        <v>73</v>
      </c>
      <c r="C53" s="293" t="s">
        <v>792</v>
      </c>
      <c r="D53" s="293"/>
      <c r="E53" s="293" t="s">
        <v>767</v>
      </c>
      <c r="F53" s="314">
        <f ca="1">IF(G53&gt;0,BaseYear,"")</f>
        <v>2010</v>
      </c>
      <c r="G53" s="577">
        <f ca="1">MAX(0,O53-0.001)</f>
        <v>6.7959698007877462E-2</v>
      </c>
      <c r="H53" s="528">
        <v>0</v>
      </c>
      <c r="I53" s="577">
        <f>-Q53</f>
        <v>0</v>
      </c>
      <c r="J53" s="577"/>
      <c r="K53" s="577"/>
      <c r="L53" s="577">
        <f>-Q53</f>
        <v>0</v>
      </c>
      <c r="M53" s="577"/>
      <c r="N53" s="577">
        <f>-T53</f>
        <v>0</v>
      </c>
      <c r="O53" s="578">
        <f ca="1">IF(P13&gt;0,P13/P$17)</f>
        <v>6.8959698007877462E-2</v>
      </c>
      <c r="Q53" s="582">
        <v>0</v>
      </c>
      <c r="R53" s="295"/>
      <c r="S53" s="293"/>
      <c r="T53" s="295">
        <v>0</v>
      </c>
      <c r="U53" s="293" t="s">
        <v>777</v>
      </c>
    </row>
    <row r="54" spans="2:21">
      <c r="B54" s="293" t="s">
        <v>635</v>
      </c>
      <c r="C54" s="293" t="s">
        <v>792</v>
      </c>
      <c r="D54" s="293"/>
      <c r="E54" s="293" t="s">
        <v>767</v>
      </c>
      <c r="F54" s="314">
        <f ca="1">IF(G54&gt;0,BaseYear,"")</f>
        <v>2010</v>
      </c>
      <c r="G54" s="577">
        <f ca="1">MAX(0,O54-0.001)</f>
        <v>0.87632671424301722</v>
      </c>
      <c r="H54" s="293">
        <v>0</v>
      </c>
      <c r="I54" s="577">
        <f>-Q54</f>
        <v>-5.0000000000000001E-3</v>
      </c>
      <c r="J54" s="577"/>
      <c r="K54" s="577"/>
      <c r="L54" s="577">
        <f>-Q54</f>
        <v>-5.0000000000000001E-3</v>
      </c>
      <c r="M54" s="577"/>
      <c r="N54" s="577">
        <f>-T54</f>
        <v>-5.0000000000000001E-3</v>
      </c>
      <c r="O54" s="578">
        <f ca="1">IF(P14&gt;0,P14/P$17)</f>
        <v>0.87732671424301722</v>
      </c>
      <c r="Q54" s="582">
        <v>5.0000000000000001E-3</v>
      </c>
      <c r="R54" s="295"/>
      <c r="S54" s="293"/>
      <c r="T54" s="295">
        <v>5.0000000000000001E-3</v>
      </c>
      <c r="U54" s="293" t="s">
        <v>780</v>
      </c>
    </row>
    <row r="55" spans="2:21">
      <c r="B55" s="293" t="s">
        <v>635</v>
      </c>
      <c r="C55" s="293" t="s">
        <v>792</v>
      </c>
      <c r="D55" s="293"/>
      <c r="E55" s="293" t="s">
        <v>766</v>
      </c>
      <c r="F55" s="314">
        <v>1</v>
      </c>
      <c r="G55" s="577"/>
      <c r="H55" s="293"/>
      <c r="I55" s="577">
        <f ca="1">MAX(0.005*($Q55&gt;0),IF(O55&gt;0,MAX(0.001,$T55/(1+($T55/O55-1)*(1+$Q55)^(O$26-I$26)))),$T55-($T55-O55)*(1-$R55)^(I$26-O$26),MIN($T55,O55+$S55*(I$26-O$26)*($T55-O55)/$T55))</f>
        <v>0.8820833271059707</v>
      </c>
      <c r="J55" s="577">
        <f t="shared" ref="J55:N57" ca="1" si="19">MAX(0.005*($Q55&gt;0),IF(I55&gt;0,MAX(0.001,$T55/(1+($T55/I55-1)*(1+$Q55)^(I$26-J$26)))),$T55-($T55-I55)*(1-$R55)^(J$26-I$26),MIN($T55,I55+$S55*(J$26-I$26)*($T55-I55)/$T55))</f>
        <v>0.89634714662869308</v>
      </c>
      <c r="K55" s="577">
        <f t="shared" ca="1" si="19"/>
        <v>0.90839751833523219</v>
      </c>
      <c r="L55" s="577">
        <f t="shared" ca="1" si="19"/>
        <v>0.91852764126354181</v>
      </c>
      <c r="M55" s="577">
        <f t="shared" ca="1" si="19"/>
        <v>0.93408289029956626</v>
      </c>
      <c r="N55" s="577">
        <f t="shared" ca="1" si="19"/>
        <v>0.94889520808448524</v>
      </c>
      <c r="O55" s="578">
        <f ca="1">O54</f>
        <v>0.87732671424301722</v>
      </c>
      <c r="Q55" s="582">
        <v>0.02</v>
      </c>
      <c r="R55" s="295">
        <v>0</v>
      </c>
      <c r="S55" s="293">
        <v>2E-3</v>
      </c>
      <c r="T55" s="531">
        <f ca="1">MIN(MAX(0.99,O55*1.05+0.01),MAX(O55^IF(R55,0.2,0.25),0.1))</f>
        <v>0.96781051972920529</v>
      </c>
      <c r="U55" s="293" t="s">
        <v>784</v>
      </c>
    </row>
    <row r="56" spans="2:21">
      <c r="B56" s="293" t="s">
        <v>1022</v>
      </c>
      <c r="C56" s="293" t="s">
        <v>792</v>
      </c>
      <c r="D56" s="293"/>
      <c r="E56" s="293" t="s">
        <v>766</v>
      </c>
      <c r="F56" s="314">
        <v>1</v>
      </c>
      <c r="G56" s="577"/>
      <c r="H56" s="579"/>
      <c r="I56" s="577">
        <f ca="1">MAX(0.005*($Q56&gt;0),IF(O56&gt;0,MAX(0.001,$T56/(1+($T56/O56-1)*(1+$Q56)^(O$26-I$26)))),$T56-($T56-O56)*(1-$R56)^(I$26-O$26),MIN($T56,O56+$S56*(I$26-O$26)*($T56-O56)/$T56))</f>
        <v>8.3765019520001816E-4</v>
      </c>
      <c r="J56" s="577">
        <f t="shared" ca="1" si="19"/>
        <v>3.5794714544769429E-3</v>
      </c>
      <c r="K56" s="577">
        <f t="shared" ca="1" si="19"/>
        <v>6.2454818456913336E-3</v>
      </c>
      <c r="L56" s="577">
        <f t="shared" ca="1" si="19"/>
        <v>8.8377775258034336E-3</v>
      </c>
      <c r="M56" s="577">
        <f t="shared" ca="1" si="19"/>
        <v>1.3809321191272608E-2</v>
      </c>
      <c r="N56" s="577">
        <f t="shared" ca="1" si="19"/>
        <v>2.0762932179095167E-2</v>
      </c>
      <c r="O56" s="578">
        <f ca="1">P10/P$17</f>
        <v>0</v>
      </c>
      <c r="Q56" s="585">
        <v>0</v>
      </c>
      <c r="R56" s="583">
        <v>2.8E-3</v>
      </c>
      <c r="S56" s="293"/>
      <c r="T56" s="531">
        <f ca="1">MIN(MAX(0.8,O56*1.05+0.01),MAX(O56^IF(R56,0.2,0.25),0.1))</f>
        <v>0.1</v>
      </c>
      <c r="U56" s="293" t="s">
        <v>781</v>
      </c>
    </row>
    <row r="57" spans="2:21">
      <c r="B57" s="293" t="s">
        <v>634</v>
      </c>
      <c r="C57" s="293" t="s">
        <v>792</v>
      </c>
      <c r="D57" s="293"/>
      <c r="E57" s="293" t="s">
        <v>766</v>
      </c>
      <c r="F57" s="314">
        <v>1</v>
      </c>
      <c r="G57" s="577"/>
      <c r="H57" s="293"/>
      <c r="I57" s="577">
        <f ca="1">MAX(0.005*($Q57&gt;0),IF(O57&gt;0,MAX(0.001,$T57/(1+($T57/O57-1)*(1+$Q57)^(O$26-I$26)))),$T57-($T57-O57)*(1-$R57)^(I$26-O$26),MIN($T57,O57+$S57*(I$26-O$26)*($T57-O57)/$T57))</f>
        <v>1.2237071512276543E-2</v>
      </c>
      <c r="J57" s="577">
        <f t="shared" ca="1" si="19"/>
        <v>4.1027620695876954E-2</v>
      </c>
      <c r="K57" s="577">
        <f t="shared" ca="1" si="19"/>
        <v>6.7065277307184534E-2</v>
      </c>
      <c r="L57" s="577">
        <f t="shared" ca="1" si="19"/>
        <v>9.0613267221685612E-2</v>
      </c>
      <c r="M57" s="577">
        <f t="shared" ca="1" si="19"/>
        <v>0.1311697115203885</v>
      </c>
      <c r="N57" s="577">
        <f t="shared" ca="1" si="19"/>
        <v>0.1785877854437399</v>
      </c>
      <c r="O57" s="578">
        <f ca="1">P12/P$17</f>
        <v>3.0203572774683647E-3</v>
      </c>
      <c r="Q57" s="586">
        <f ca="1">Tiny</f>
        <v>1.0000000000000001E-9</v>
      </c>
      <c r="R57" s="295">
        <v>0.01</v>
      </c>
      <c r="S57" s="293">
        <v>1E-3</v>
      </c>
      <c r="T57" s="531">
        <f ca="1">MIN(MAX(0.8,O57*1.05+0.01),MAX(O57^IF(R57,0.2,0.25),0.1))</f>
        <v>0.31333698751914868</v>
      </c>
      <c r="U57" s="293" t="s">
        <v>785</v>
      </c>
    </row>
    <row r="58" spans="2:21">
      <c r="B58" s="318" t="s">
        <v>794</v>
      </c>
      <c r="C58" s="318"/>
      <c r="D58" s="318"/>
      <c r="E58" s="318"/>
      <c r="F58" s="328"/>
      <c r="G58" s="318"/>
      <c r="H58" s="318"/>
      <c r="I58" s="318"/>
      <c r="J58" s="318"/>
      <c r="K58" s="318"/>
      <c r="L58" s="318"/>
      <c r="M58" s="318"/>
      <c r="N58" s="318"/>
      <c r="O58" s="326"/>
      <c r="Q58" s="326"/>
      <c r="R58" s="318"/>
      <c r="S58" s="318"/>
      <c r="T58" s="318"/>
      <c r="U58" s="318"/>
    </row>
    <row r="59" spans="2:21">
      <c r="B59" s="293" t="str">
        <f>IF(L$17&gt;0,C59&amp;"HET000","\I:")</f>
        <v>\I:</v>
      </c>
      <c r="C59" s="293" t="s">
        <v>238</v>
      </c>
      <c r="D59" s="293"/>
      <c r="E59" s="293" t="s">
        <v>766</v>
      </c>
      <c r="F59" s="314">
        <v>1</v>
      </c>
      <c r="G59" s="577"/>
      <c r="H59" s="293"/>
      <c r="I59" s="577">
        <f>MAX(0.005*($Q59&gt;0),IF(O59&gt;0,MAX(0.001,$T59/(1+($T59/O59-1)*(1+$Q59)^(O$26-I$26)))),$T59-($T59-O59)*(1-$R59)^(I$26-O$26),MIN($T59,O59+$S59*(I$26-O$26)*($T59-O59)/$T59))</f>
        <v>6.0000000000000001E-3</v>
      </c>
      <c r="J59" s="577">
        <f>MAX(0.005*($Q59&gt;0),IF(I59&gt;0,MAX(0.001,$T59/(1+($T59/I59-1)*(1+$Q59)^(I$26-J$26)))),$T59-($T59-I59)*(1-$R59)^(J$26-I$26),MIN($T59,I59+$S59*(J$26-I$26)*($T59-I59)/$T59))</f>
        <v>2.4799999999999996E-2</v>
      </c>
      <c r="K59" s="577">
        <f>MAX(0.005*($Q59&gt;0),IF(J59&gt;0,MAX(0.001,$T59/(1+($T59/J59-1)*(1+$Q59)^(J$26-K$26)))),$T59-($T59-J59)*(1-$R59)^(K$26-J$26),MIN($T59,J59+$S59*(K$26-J$26)*($T59-J59)/$T59))</f>
        <v>3.984E-2</v>
      </c>
      <c r="L59" s="577">
        <f>MAX(0.005*($Q59&gt;0),IF(K59&gt;0,MAX(0.001,$T59/(1+($T59/K59-1)*(1+$Q59)^(K$26-L$26)))),$T59-($T59-K59)*(1-$R59)^(L$26-K$26),MIN($T59,K59+$S59*(L$26-K$26)*($T59-K59)/$T59))</f>
        <v>5.1872000000000001E-2</v>
      </c>
      <c r="M59" s="577">
        <f>MAX(0.005*($Q59&gt;0),IF(L59&gt;0,MAX(0.001,$T59/(1+($T59/L59-1)*(1+$Q59)^(L$26-M$26)))),$T59-($T59-L59)*(1-$R59)^(M$26-L$26),MIN($T59,L59+$S59*(M$26-L$26)*($T59-L59)/$T59))</f>
        <v>7.1123199999999998E-2</v>
      </c>
      <c r="N59" s="577">
        <f>MAX(0.005*($Q59&gt;0),IF(M59&gt;0,MAX(0.001,$T59/(1+($T59/M59-1)*(1+$Q59)^(M$26-N$26)))),$T59-($T59-M59)*(1-$R59)^(N$26-M$26),MIN($T59,M59+$S59*(N$26-M$26)*($T59-M59)/$T59))</f>
        <v>8.8449280000000005E-2</v>
      </c>
      <c r="O59" s="578">
        <f>IF(L17&gt;0,L14/L$17,0)</f>
        <v>0</v>
      </c>
      <c r="Q59" s="582">
        <f>Q55</f>
        <v>0.02</v>
      </c>
      <c r="R59" s="295">
        <v>0</v>
      </c>
      <c r="S59" s="293">
        <v>2E-3</v>
      </c>
      <c r="T59" s="531">
        <f>MIN(MAX(0.8,O59*1.05+0.01),MAX(O59^IF(R59,0.2,0.25),0.1))</f>
        <v>0.1</v>
      </c>
      <c r="U59" s="293" t="s">
        <v>784</v>
      </c>
    </row>
    <row r="60" spans="2:21">
      <c r="B60" s="293" t="s">
        <v>786</v>
      </c>
      <c r="C60" s="293"/>
      <c r="D60" s="293"/>
      <c r="E60" s="293"/>
      <c r="F60" s="314"/>
      <c r="G60" s="577"/>
      <c r="H60" s="293"/>
      <c r="I60" s="577"/>
      <c r="J60" s="577"/>
      <c r="K60" s="577"/>
      <c r="L60" s="577"/>
      <c r="M60" s="577"/>
      <c r="N60" s="577"/>
      <c r="O60" s="578"/>
      <c r="Q60" s="582"/>
      <c r="R60" s="295"/>
      <c r="S60" s="293"/>
      <c r="T60" s="584"/>
      <c r="U60" s="293"/>
    </row>
    <row r="61" spans="2:21">
      <c r="B61" s="318" t="s">
        <v>771</v>
      </c>
      <c r="C61" s="318"/>
      <c r="D61" s="318"/>
      <c r="E61" s="318"/>
      <c r="F61" s="328"/>
      <c r="G61" s="318"/>
      <c r="H61" s="318"/>
      <c r="I61" s="318"/>
      <c r="J61" s="318"/>
      <c r="K61" s="318"/>
      <c r="L61" s="318"/>
      <c r="M61" s="318"/>
      <c r="N61" s="318"/>
      <c r="O61" s="326"/>
      <c r="Q61" s="326"/>
      <c r="R61" s="318"/>
      <c r="S61" s="318"/>
      <c r="T61" s="318"/>
      <c r="U61" s="318"/>
    </row>
    <row r="62" spans="2:21">
      <c r="B62" s="293" t="s">
        <v>343</v>
      </c>
      <c r="C62" s="293" t="s">
        <v>235</v>
      </c>
      <c r="D62" s="293"/>
      <c r="E62" s="293" t="s">
        <v>767</v>
      </c>
      <c r="F62" s="581">
        <f ca="1">IF(G62&gt;0,BaseYear,"")</f>
        <v>2010</v>
      </c>
      <c r="G62" s="577">
        <f ca="1">MAX(0,O62-0.001)</f>
        <v>5.4361380742306967E-2</v>
      </c>
      <c r="H62" s="528">
        <v>0</v>
      </c>
      <c r="I62" s="577">
        <f>-Q62</f>
        <v>0</v>
      </c>
      <c r="J62" s="577"/>
      <c r="K62" s="577"/>
      <c r="L62" s="577">
        <f>-Q62</f>
        <v>0</v>
      </c>
      <c r="M62" s="577"/>
      <c r="N62" s="577">
        <f>-T62</f>
        <v>0</v>
      </c>
      <c r="O62" s="578">
        <f ca="1">IF(M$17&gt;0,M13/M$17)</f>
        <v>5.5361380742306968E-2</v>
      </c>
      <c r="Q62" s="582">
        <v>0</v>
      </c>
      <c r="R62" s="295"/>
      <c r="S62" s="293"/>
      <c r="T62" s="295">
        <v>0</v>
      </c>
      <c r="U62" s="293" t="s">
        <v>777</v>
      </c>
    </row>
    <row r="63" spans="2:21">
      <c r="B63" s="293" t="s">
        <v>786</v>
      </c>
      <c r="C63" s="293"/>
      <c r="D63" s="293"/>
      <c r="E63" s="293"/>
      <c r="F63" s="314"/>
      <c r="G63" s="577"/>
      <c r="H63" s="293"/>
      <c r="I63" s="577"/>
      <c r="J63" s="577"/>
      <c r="K63" s="577"/>
      <c r="L63" s="577"/>
      <c r="M63" s="577"/>
      <c r="N63" s="577"/>
      <c r="O63" s="578"/>
      <c r="Q63" s="585"/>
      <c r="R63" s="293"/>
      <c r="S63" s="293"/>
      <c r="T63" s="293"/>
      <c r="U63" s="293"/>
    </row>
    <row r="64" spans="2:21">
      <c r="B64" s="318" t="s">
        <v>772</v>
      </c>
      <c r="C64" s="318"/>
      <c r="D64" s="318"/>
      <c r="E64" s="318"/>
      <c r="F64" s="328"/>
      <c r="G64" s="318"/>
      <c r="H64" s="318"/>
      <c r="I64" s="318"/>
      <c r="J64" s="318"/>
      <c r="K64" s="318"/>
      <c r="L64" s="318"/>
      <c r="M64" s="318"/>
      <c r="N64" s="318"/>
      <c r="O64" s="326"/>
      <c r="Q64" s="326"/>
      <c r="R64" s="318"/>
      <c r="S64" s="318"/>
      <c r="T64" s="318"/>
      <c r="U64" s="318"/>
    </row>
    <row r="65" spans="2:21">
      <c r="B65" s="293" t="s">
        <v>302</v>
      </c>
      <c r="C65" s="293" t="s">
        <v>103</v>
      </c>
      <c r="D65" s="293"/>
      <c r="E65" s="293" t="s">
        <v>766</v>
      </c>
      <c r="F65" s="314">
        <v>1</v>
      </c>
      <c r="G65" s="577"/>
      <c r="H65" s="293"/>
      <c r="I65" s="577">
        <f ca="1">MAX(0.005*($Q65&gt;0),IF(O65&gt;0,MAX(0.001,$T65/(1+($T65/O65-1)*(1+$Q65)^(O$26-I$26)))),$T65-($T65-O65)*(1-$R65)^(I$26-O$26),MIN($T65,O65+$S65*(I$26-O$26)*($T65-O65)/$T65))</f>
        <v>0</v>
      </c>
      <c r="J65" s="577">
        <f ca="1">MAX(0.005*($Q65&gt;0),IF(I65&gt;0,MAX(0.001,$T65/(1+($T65/I65-1)*(1+$Q65)^(I$26-J$26)))),$T65-($T65-I65)*(1-$R65)^(J$26-I$26),MIN($T65,I65+$S65*(J$26-I$26)*($T65-I65)/$T65))</f>
        <v>0</v>
      </c>
      <c r="K65" s="577">
        <f ca="1">MAX(0.005*($Q65&gt;0),IF(J65&gt;0,MAX(0.001,$T65/(1+($T65/J65-1)*(1+$Q65)^(J$26-K$26)))),$T65-($T65-J65)*(1-$R65)^(K$26-J$26),MIN($T65,J65+$S65*(K$26-J$26)*($T65-J65)/$T65))</f>
        <v>0</v>
      </c>
      <c r="L65" s="577">
        <f ca="1">MAX(0.005*($Q65&gt;0),IF(K65&gt;0,MAX(0.001,$T65/(1+($T65/K65-1)*(1+$Q65)^(K$26-L$26)))),$T65-($T65-K65)*(1-$R65)^(L$26-K$26),MIN($T65,K65+$S65*(L$26-K$26)*($T65-K65)/$T65))</f>
        <v>0</v>
      </c>
      <c r="M65" s="577">
        <f ca="1">MAX(0.005*($Q65&gt;0),IF(L65&gt;0,MAX(0.001,$T65/(1+($T65/L65-1)*(1+$Q65)^(L$26-M$26)))),$T65-($T65-L65)*(1-$R65)^(M$26-L$26),MIN($T65,L65+$S65*(M$26-L$26)*($T65-L65)/$T65))</f>
        <v>0</v>
      </c>
      <c r="N65" s="577">
        <f ca="1">MAX(0.005*($Q65&gt;0),IF(M65&gt;0,MAX(0.001,$T65/(1+($T65/M65-1)*(1+$Q65)^(M$26-N$26)))),$T65-($T65-M65)*(1-$R65)^(N$26-M$26),MIN($T65,M65+$S65*(N$26-M$26)*($T65-M65)/$T65))</f>
        <v>0</v>
      </c>
      <c r="O65" s="578">
        <f ca="1">'CLA2'!K6/N$17</f>
        <v>0</v>
      </c>
      <c r="Q65" s="582">
        <v>-0.01</v>
      </c>
      <c r="R65" s="295">
        <v>-1</v>
      </c>
      <c r="S65" s="295">
        <v>-1</v>
      </c>
      <c r="T65" s="584">
        <f ca="1">MIN(MAX(0.8,O65+0.01),MAX(O65^IF(R65,0.2,0.25),0.1))</f>
        <v>0.1</v>
      </c>
      <c r="U65" s="405" t="s">
        <v>801</v>
      </c>
    </row>
    <row r="66" spans="2:21">
      <c r="B66" s="293" t="s">
        <v>145</v>
      </c>
      <c r="C66" s="293" t="s">
        <v>103</v>
      </c>
      <c r="D66" s="293"/>
      <c r="E66" s="293" t="s">
        <v>767</v>
      </c>
      <c r="F66" s="314">
        <f ca="1">IF(G66&gt;0,BaseYear,"")</f>
        <v>2010</v>
      </c>
      <c r="G66" s="577">
        <f ca="1">MAX(0,O66-0.001)</f>
        <v>6.8973346495557744E-3</v>
      </c>
      <c r="H66" s="528">
        <v>0</v>
      </c>
      <c r="I66" s="577">
        <f>-Q66</f>
        <v>-7.4999999999999997E-2</v>
      </c>
      <c r="J66" s="577"/>
      <c r="K66" s="577"/>
      <c r="L66" s="577">
        <f>-Q66</f>
        <v>-7.4999999999999997E-2</v>
      </c>
      <c r="M66" s="577"/>
      <c r="N66" s="577">
        <f ca="1">-MAX(0,1-($T66/(O66*(1-$Q66)^(L$26-O$26)))^(1/(N$26-L$26)))</f>
        <v>0</v>
      </c>
      <c r="O66" s="578">
        <f ca="1">'CLA2'!K7/N$17</f>
        <v>7.8973346495557744E-3</v>
      </c>
      <c r="Q66" s="582">
        <v>7.4999999999999997E-2</v>
      </c>
      <c r="R66" s="295"/>
      <c r="S66" s="293"/>
      <c r="T66" s="295">
        <v>0.02</v>
      </c>
      <c r="U66" s="293" t="s">
        <v>806</v>
      </c>
    </row>
    <row r="67" spans="2:21">
      <c r="B67" s="318" t="s">
        <v>773</v>
      </c>
      <c r="C67" s="318"/>
      <c r="D67" s="318"/>
      <c r="E67" s="318"/>
      <c r="F67" s="328"/>
      <c r="G67" s="318"/>
      <c r="H67" s="318"/>
      <c r="I67" s="318"/>
      <c r="J67" s="318"/>
      <c r="K67" s="318"/>
      <c r="L67" s="318"/>
      <c r="M67" s="318"/>
      <c r="N67" s="318"/>
      <c r="O67" s="326"/>
      <c r="Q67" s="326"/>
      <c r="R67" s="318"/>
      <c r="S67" s="318"/>
      <c r="T67" s="318"/>
      <c r="U67" s="318"/>
    </row>
    <row r="68" spans="2:21">
      <c r="B68" s="293" t="s">
        <v>486</v>
      </c>
      <c r="C68" s="293" t="s">
        <v>71</v>
      </c>
      <c r="D68" s="293"/>
      <c r="E68" s="293" t="s">
        <v>766</v>
      </c>
      <c r="F68" s="314">
        <v>1</v>
      </c>
      <c r="G68" s="577"/>
      <c r="H68" s="528"/>
      <c r="I68" s="577">
        <f ca="1">MAX(0.005*($Q68&gt;0),IF(O68&gt;0,MAX(0.001,$T68/(1+($T68/O68-1)*(1+$Q68)^(O$26-I$26)))),$T68-($T68-O68)*(1-$R68)^(I$26-O$26),MIN($T68,O68+$S68*(I$26-O$26)*($T68-O68)/$T68))</f>
        <v>4.2842560603798589E-2</v>
      </c>
      <c r="J68" s="577">
        <f t="shared" ref="J68:N69" ca="1" si="20">MAX(0.005*($Q68&gt;0),IF(I68&gt;0,MAX(0.001,$T68/(1+($T68/I68-1)*(1+$Q68)^(I$26-J$26)))),$T68-($T68-I68)*(1-$R68)^(J$26-I$26),MIN($T68,I68+$S68*(J$26-I$26)*($T68-I68)/$T68))</f>
        <v>3.9044716527650333E-2</v>
      </c>
      <c r="K68" s="577">
        <f t="shared" ca="1" si="20"/>
        <v>3.5559239469218233E-2</v>
      </c>
      <c r="L68" s="577">
        <f t="shared" ca="1" si="20"/>
        <v>3.2364624106738529E-2</v>
      </c>
      <c r="M68" s="577">
        <f t="shared" ca="1" si="20"/>
        <v>2.676580309546224E-2</v>
      </c>
      <c r="N68" s="577">
        <f t="shared" ca="1" si="20"/>
        <v>2.005964755574835E-2</v>
      </c>
      <c r="O68" s="578">
        <f ca="1">SUM(O6,O7,O9,O11)/O$17</f>
        <v>4.4046116265152209E-2</v>
      </c>
      <c r="Q68" s="582">
        <v>-0.01</v>
      </c>
      <c r="R68" s="295">
        <v>-1</v>
      </c>
      <c r="S68" s="295">
        <v>-1</v>
      </c>
      <c r="T68" s="584">
        <f ca="1">MIN(MAX(0.8,O68+0.01),MAX(O68^IF(R68,0.2,0.2),0.1))</f>
        <v>0.53552718786160747</v>
      </c>
      <c r="U68" s="293" t="s">
        <v>791</v>
      </c>
    </row>
    <row r="69" spans="2:21">
      <c r="B69" s="293" t="s">
        <v>567</v>
      </c>
      <c r="C69" s="293" t="s">
        <v>71</v>
      </c>
      <c r="D69" s="293"/>
      <c r="E69" s="293" t="s">
        <v>766</v>
      </c>
      <c r="F69" s="314">
        <v>1</v>
      </c>
      <c r="G69" s="577"/>
      <c r="H69" s="293"/>
      <c r="I69" s="577">
        <f ca="1">MAX(0.005*($Q69&gt;0),IF(O69&gt;0,MAX(0.001,$T69/(1+($T69/O69-1)*(1+$Q69)^(O$26-I$26)))),$T69-($T69-O69)*(1-$R69)^(I$26-O$26),MIN($T69,O69+$S69*(I$26-O$26)*($T69-O69)/$T69))</f>
        <v>0</v>
      </c>
      <c r="J69" s="577">
        <f t="shared" ca="1" si="20"/>
        <v>0</v>
      </c>
      <c r="K69" s="577">
        <f t="shared" ca="1" si="20"/>
        <v>0</v>
      </c>
      <c r="L69" s="577">
        <f t="shared" ca="1" si="20"/>
        <v>0</v>
      </c>
      <c r="M69" s="577">
        <f t="shared" ca="1" si="20"/>
        <v>0</v>
      </c>
      <c r="N69" s="577">
        <f t="shared" ca="1" si="20"/>
        <v>0</v>
      </c>
      <c r="O69" s="578">
        <f ca="1">O16/O$17</f>
        <v>0</v>
      </c>
      <c r="Q69" s="555">
        <v>0</v>
      </c>
      <c r="R69" s="531">
        <v>0</v>
      </c>
      <c r="S69" s="295"/>
      <c r="T69" s="332">
        <f ca="1">MIN(MAX(0.8,O69+0.01),MAX(O69^IF(R69,0.2,0.25),0.1))</f>
        <v>0.1</v>
      </c>
      <c r="U69" s="293" t="s">
        <v>790</v>
      </c>
    </row>
    <row r="70" spans="2:21">
      <c r="B70" s="318" t="s">
        <v>928</v>
      </c>
      <c r="C70" s="318"/>
      <c r="D70" s="318"/>
      <c r="E70" s="318"/>
      <c r="F70" s="328"/>
      <c r="G70" s="318"/>
      <c r="H70" s="318"/>
      <c r="I70" s="318"/>
      <c r="J70" s="318"/>
      <c r="K70" s="318"/>
      <c r="L70" s="318"/>
      <c r="M70" s="318"/>
      <c r="N70" s="318"/>
      <c r="O70" s="326"/>
      <c r="Q70" s="326"/>
      <c r="R70" s="318"/>
      <c r="S70" s="318"/>
      <c r="T70" s="318"/>
      <c r="U70" s="318"/>
    </row>
    <row r="71" spans="2:21">
      <c r="B71" s="293" t="str">
        <f ca="1">'COT2'!$B$11</f>
        <v>COTELC000</v>
      </c>
      <c r="C71" s="293" t="s">
        <v>215</v>
      </c>
      <c r="D71" s="293"/>
      <c r="E71" s="293" t="s">
        <v>767</v>
      </c>
      <c r="F71" s="314">
        <f ca="1">IF(G71&gt;0,BaseYear,"")</f>
        <v>2010</v>
      </c>
      <c r="G71" s="577">
        <f ca="1">MAX(0,O71-0.001)</f>
        <v>0.999</v>
      </c>
      <c r="H71" s="528">
        <v>0</v>
      </c>
      <c r="I71" s="577">
        <f>-Q71</f>
        <v>0</v>
      </c>
      <c r="J71" s="577"/>
      <c r="K71" s="577"/>
      <c r="L71" s="577">
        <f>-Q71</f>
        <v>0</v>
      </c>
      <c r="M71" s="577"/>
      <c r="N71" s="577">
        <f>-T71</f>
        <v>0</v>
      </c>
      <c r="O71" s="578">
        <f ca="1">IF(Q13&gt;0,Q13/Q$17)</f>
        <v>1</v>
      </c>
      <c r="Q71" s="582">
        <v>0</v>
      </c>
      <c r="R71" s="295"/>
      <c r="S71" s="293"/>
      <c r="T71" s="295">
        <v>0</v>
      </c>
      <c r="U71" s="293" t="s">
        <v>777</v>
      </c>
    </row>
    <row r="72" spans="2:21">
      <c r="B72" s="318" t="s">
        <v>813</v>
      </c>
      <c r="C72" s="318"/>
      <c r="D72" s="318"/>
      <c r="E72" s="318"/>
      <c r="F72" s="328"/>
      <c r="G72" s="318"/>
      <c r="H72" s="318"/>
      <c r="I72" s="318"/>
      <c r="J72" s="318"/>
      <c r="K72" s="318"/>
      <c r="L72" s="318"/>
      <c r="M72" s="318"/>
      <c r="N72" s="318"/>
      <c r="O72" s="326"/>
      <c r="Q72" s="326"/>
      <c r="R72" s="318"/>
      <c r="S72" s="318"/>
      <c r="T72" s="318"/>
      <c r="U72" s="318"/>
    </row>
    <row r="73" spans="2:21">
      <c r="B73" s="293" t="s">
        <v>816</v>
      </c>
      <c r="C73" s="293" t="s">
        <v>808</v>
      </c>
      <c r="D73" s="293"/>
      <c r="E73" s="293" t="s">
        <v>767</v>
      </c>
      <c r="F73" s="314">
        <f ca="1">IF(G73&gt;0,BaseYear,"")</f>
        <v>2010</v>
      </c>
      <c r="G73" s="577">
        <f ca="1">MAX(0,O73-0.001)</f>
        <v>0.24458383762522246</v>
      </c>
      <c r="H73" s="528">
        <v>0</v>
      </c>
      <c r="I73" s="577">
        <f>-Q73</f>
        <v>0</v>
      </c>
      <c r="J73" s="577"/>
      <c r="K73" s="577"/>
      <c r="L73" s="577">
        <f>-Q73</f>
        <v>0</v>
      </c>
      <c r="M73" s="577"/>
      <c r="N73" s="577">
        <f>-T73</f>
        <v>0</v>
      </c>
      <c r="O73" s="578">
        <f ca="1">IF(U13&gt;0,U13/U$17)</f>
        <v>0.24558383762522246</v>
      </c>
      <c r="Q73" s="582">
        <v>0</v>
      </c>
      <c r="R73" s="295"/>
      <c r="S73" s="293"/>
      <c r="T73" s="584">
        <v>0</v>
      </c>
      <c r="U73" s="293" t="s">
        <v>777</v>
      </c>
    </row>
    <row r="74" spans="2:21">
      <c r="B74" s="293" t="s">
        <v>817</v>
      </c>
      <c r="C74" s="293" t="s">
        <v>808</v>
      </c>
      <c r="D74" s="293"/>
      <c r="E74" s="293" t="s">
        <v>766</v>
      </c>
      <c r="F74" s="314">
        <v>1</v>
      </c>
      <c r="G74" s="577"/>
      <c r="H74" s="528"/>
      <c r="I74" s="577">
        <f ca="1">MAX(0.005,$T74-($T74-O74)*(1-$Q74)^(I$26-H$26))</f>
        <v>0.29856634914955327</v>
      </c>
      <c r="J74" s="577">
        <f t="shared" ref="J74:N76" ca="1" si="21">$T74-($T74-I74)*(1-$Q74)^(J$26-I$26)</f>
        <v>0.32556369848275934</v>
      </c>
      <c r="K74" s="577">
        <f t="shared" ca="1" si="21"/>
        <v>0.35098425008555761</v>
      </c>
      <c r="L74" s="577">
        <f t="shared" ca="1" si="21"/>
        <v>0.37492009785397962</v>
      </c>
      <c r="M74" s="577">
        <f t="shared" ca="1" si="21"/>
        <v>0.41867947760515734</v>
      </c>
      <c r="N74" s="577">
        <f t="shared" ca="1" si="21"/>
        <v>0.47519263657329575</v>
      </c>
      <c r="O74" s="578">
        <f ca="1">U6/U$17</f>
        <v>0.25489822928849409</v>
      </c>
      <c r="Q74" s="582">
        <v>6.0000000000000001E-3</v>
      </c>
      <c r="R74" s="295">
        <v>1</v>
      </c>
      <c r="S74" s="293"/>
      <c r="T74" s="584">
        <f ca="1">MIN(MAX(0.8,O74+0.01),MAX(O74^IF(R74,0.2,0.2),0.1))</f>
        <v>0.76080500979923993</v>
      </c>
      <c r="U74" s="293" t="s">
        <v>814</v>
      </c>
    </row>
    <row r="75" spans="2:21">
      <c r="B75" s="293" t="s">
        <v>818</v>
      </c>
      <c r="C75" s="293" t="s">
        <v>808</v>
      </c>
      <c r="D75" s="293"/>
      <c r="E75" s="293" t="s">
        <v>766</v>
      </c>
      <c r="F75" s="314">
        <v>1</v>
      </c>
      <c r="G75" s="577"/>
      <c r="H75" s="293"/>
      <c r="I75" s="577">
        <f ca="1">MAX(0.005,$T75-($T75-O75)*(1-$Q75)^(I$26-H$26))</f>
        <v>0.35478352398666552</v>
      </c>
      <c r="J75" s="577">
        <f t="shared" ca="1" si="21"/>
        <v>0.37012295173209131</v>
      </c>
      <c r="K75" s="577">
        <f t="shared" ca="1" si="21"/>
        <v>0.38493387692598507</v>
      </c>
      <c r="L75" s="577">
        <f t="shared" ca="1" si="21"/>
        <v>0.39923450852317954</v>
      </c>
      <c r="M75" s="577">
        <f t="shared" ca="1" si="21"/>
        <v>0.42637461151784978</v>
      </c>
      <c r="N75" s="577">
        <f t="shared" ca="1" si="21"/>
        <v>0.46367784996622136</v>
      </c>
      <c r="O75" s="578">
        <f ca="1">U14/U$17</f>
        <v>0.33074200329925407</v>
      </c>
      <c r="Q75" s="580">
        <v>3.5000000000000001E-3</v>
      </c>
      <c r="R75" s="295">
        <v>1</v>
      </c>
      <c r="S75" s="293"/>
      <c r="T75" s="584">
        <f ca="1">MIN(MAX(0.8,O75+0.01),MAX(O75^IF(R75,0.2,0.2),0.1))</f>
        <v>0.8</v>
      </c>
      <c r="U75" s="293" t="s">
        <v>784</v>
      </c>
    </row>
    <row r="76" spans="2:21">
      <c r="B76" s="293" t="s">
        <v>819</v>
      </c>
      <c r="C76" s="293" t="s">
        <v>808</v>
      </c>
      <c r="D76" s="293"/>
      <c r="E76" s="293" t="s">
        <v>766</v>
      </c>
      <c r="F76" s="314">
        <v>1</v>
      </c>
      <c r="G76" s="577"/>
      <c r="H76" s="293"/>
      <c r="I76" s="577">
        <f ca="1">MAX(0.005,$T76-($T76-O76)*(1-$Q76)^(I$26-H$26))</f>
        <v>0.18123404587923869</v>
      </c>
      <c r="J76" s="577">
        <f t="shared" ca="1" si="21"/>
        <v>0.21968382228650801</v>
      </c>
      <c r="K76" s="577">
        <f t="shared" ca="1" si="21"/>
        <v>0.2544571108573388</v>
      </c>
      <c r="L76" s="577">
        <f t="shared" ca="1" si="21"/>
        <v>0.28590544972990667</v>
      </c>
      <c r="M76" s="577">
        <f t="shared" ca="1" si="21"/>
        <v>0.3400685782348416</v>
      </c>
      <c r="N76" s="577">
        <f t="shared" ca="1" si="21"/>
        <v>0.40339541262029899</v>
      </c>
      <c r="O76" s="578">
        <f ca="1">SUM(U10,U12)/U$17</f>
        <v>0.11580455203325583</v>
      </c>
      <c r="Q76" s="582">
        <v>0.01</v>
      </c>
      <c r="R76" s="295">
        <v>1</v>
      </c>
      <c r="S76" s="293"/>
      <c r="T76" s="531">
        <f ca="1">MIN(MAX(0.8,O76*1.05+0.01),MAX(O76^IF(R76,0.25,0.25),0.1))</f>
        <v>0.58335296250297519</v>
      </c>
      <c r="U76" s="293" t="s">
        <v>789</v>
      </c>
    </row>
    <row r="77" spans="2:21">
      <c r="B77" s="293" t="s">
        <v>820</v>
      </c>
      <c r="C77" s="293" t="s">
        <v>808</v>
      </c>
      <c r="D77" s="293"/>
      <c r="E77" s="293" t="s">
        <v>767</v>
      </c>
      <c r="F77" s="314">
        <f ca="1">IF(G77&gt;0,BaseYear,"")</f>
        <v>2010</v>
      </c>
      <c r="G77" s="577">
        <f ca="1">MAX(0,O77-0.001)</f>
        <v>0.30686960704226779</v>
      </c>
      <c r="H77" s="293"/>
      <c r="I77" s="577">
        <f>-Q77</f>
        <v>-3.4099999999999998E-2</v>
      </c>
      <c r="J77" s="577"/>
      <c r="K77" s="577"/>
      <c r="L77" s="577">
        <f>-Q77</f>
        <v>-3.4099999999999998E-2</v>
      </c>
      <c r="M77" s="577"/>
      <c r="N77" s="577">
        <f>-T77</f>
        <v>-0.03</v>
      </c>
      <c r="O77" s="578">
        <f ca="1">SUM(U6:U9,U11)/$U$17</f>
        <v>0.30786960704226779</v>
      </c>
      <c r="Q77" s="582">
        <v>3.4099999999999998E-2</v>
      </c>
      <c r="R77" s="295"/>
      <c r="S77" s="293"/>
      <c r="T77" s="295">
        <v>0.03</v>
      </c>
      <c r="U77" s="293" t="s">
        <v>959</v>
      </c>
    </row>
    <row r="78" spans="2:21">
      <c r="B78" s="318" t="s">
        <v>1097</v>
      </c>
      <c r="C78" s="318"/>
      <c r="D78" s="318"/>
      <c r="E78" s="318"/>
      <c r="F78" s="328"/>
      <c r="G78" s="318"/>
      <c r="H78" s="318"/>
      <c r="I78" s="318"/>
      <c r="J78" s="318"/>
      <c r="K78" s="318"/>
      <c r="L78" s="318"/>
      <c r="M78" s="318"/>
      <c r="N78" s="318"/>
      <c r="O78" s="326"/>
      <c r="Q78" s="326"/>
      <c r="R78" s="318"/>
      <c r="S78" s="318"/>
      <c r="T78" s="318"/>
      <c r="U78" s="318"/>
    </row>
    <row r="79" spans="2:21">
      <c r="B79" s="293" t="s">
        <v>913</v>
      </c>
      <c r="C79" s="293" t="s">
        <v>1128</v>
      </c>
      <c r="D79" s="293"/>
      <c r="E79" s="293" t="s">
        <v>767</v>
      </c>
      <c r="F79" s="314">
        <v>5</v>
      </c>
      <c r="G79" s="293">
        <v>0.2</v>
      </c>
      <c r="H79" s="293"/>
      <c r="I79" s="293"/>
      <c r="J79" s="293"/>
      <c r="K79" s="293"/>
      <c r="L79" s="293">
        <f>G79*0.95</f>
        <v>0.19</v>
      </c>
      <c r="M79" s="293"/>
      <c r="N79" s="293"/>
      <c r="O79" s="582"/>
      <c r="Q79" s="588"/>
      <c r="R79" s="589"/>
      <c r="S79" s="589"/>
      <c r="T79" s="589"/>
      <c r="U79" s="589" t="s">
        <v>1098</v>
      </c>
    </row>
    <row r="80" spans="2:21">
      <c r="B80" s="293" t="s">
        <v>914</v>
      </c>
      <c r="C80" s="293" t="s">
        <v>1129</v>
      </c>
      <c r="D80" s="293"/>
      <c r="E80" s="293" t="s">
        <v>767</v>
      </c>
      <c r="F80" s="314">
        <v>5</v>
      </c>
      <c r="G80" s="293">
        <v>0.2</v>
      </c>
      <c r="H80" s="293"/>
      <c r="I80" s="293"/>
      <c r="J80" s="293"/>
      <c r="K80" s="293"/>
      <c r="L80" s="293">
        <f>G80*0.95</f>
        <v>0.19</v>
      </c>
      <c r="M80" s="293"/>
      <c r="N80" s="293"/>
      <c r="O80" s="582"/>
      <c r="Q80" s="582"/>
      <c r="R80" s="528"/>
      <c r="S80" s="528"/>
      <c r="T80" s="528"/>
      <c r="U80" s="528" t="s">
        <v>1098</v>
      </c>
    </row>
    <row r="81" spans="2:21">
      <c r="B81" s="293" t="s">
        <v>1114</v>
      </c>
      <c r="C81" s="293" t="s">
        <v>1130</v>
      </c>
      <c r="D81" s="293"/>
      <c r="E81" s="293" t="s">
        <v>767</v>
      </c>
      <c r="F81" s="314">
        <v>5</v>
      </c>
      <c r="G81" s="293">
        <v>0.2</v>
      </c>
      <c r="H81" s="293"/>
      <c r="I81" s="293"/>
      <c r="J81" s="293"/>
      <c r="K81" s="293"/>
      <c r="L81" s="293">
        <f>G81*0.95</f>
        <v>0.19</v>
      </c>
      <c r="M81" s="293"/>
      <c r="N81" s="293"/>
      <c r="O81" s="582"/>
      <c r="Q81" s="582"/>
      <c r="R81" s="528"/>
      <c r="S81" s="528"/>
      <c r="T81" s="528"/>
      <c r="U81" s="528" t="s">
        <v>1098</v>
      </c>
    </row>
  </sheetData>
  <phoneticPr fontId="35"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5</vt:i4>
      </vt:variant>
    </vt:vector>
  </HeadingPairs>
  <TitlesOfParts>
    <vt:vector size="51" baseType="lpstr">
      <vt:lpstr>IEAData</vt:lpstr>
      <vt:lpstr>AuxData</vt:lpstr>
      <vt:lpstr>COMM</vt:lpstr>
      <vt:lpstr>AGR_Fuels</vt:lpstr>
      <vt:lpstr>AGR_Emi</vt:lpstr>
      <vt:lpstr>AGR</vt:lpstr>
      <vt:lpstr>RES_Fuels</vt:lpstr>
      <vt:lpstr>RES_Emi</vt:lpstr>
      <vt:lpstr>RHT</vt:lpstr>
      <vt:lpstr>RHW</vt:lpstr>
      <vt:lpstr>RCL</vt:lpstr>
      <vt:lpstr>RCK</vt:lpstr>
      <vt:lpstr>RLT</vt:lpstr>
      <vt:lpstr>ROT</vt:lpstr>
      <vt:lpstr>HeaTecs</vt:lpstr>
      <vt:lpstr>COM_Fuels</vt:lpstr>
      <vt:lpstr>COM_Emi</vt:lpstr>
      <vt:lpstr>CHT</vt:lpstr>
      <vt:lpstr>CHW</vt:lpstr>
      <vt:lpstr>CCL</vt:lpstr>
      <vt:lpstr>CCK</vt:lpstr>
      <vt:lpstr>CLA</vt:lpstr>
      <vt:lpstr>COT</vt:lpstr>
      <vt:lpstr>Processes</vt:lpstr>
      <vt:lpstr>Markets</vt:lpstr>
      <vt:lpstr>IEAData2</vt:lpstr>
      <vt:lpstr>AuxData2</vt:lpstr>
      <vt:lpstr>COMM2</vt:lpstr>
      <vt:lpstr>AGR_Fuels2</vt:lpstr>
      <vt:lpstr>AGR2</vt:lpstr>
      <vt:lpstr>RES_Fuels2</vt:lpstr>
      <vt:lpstr>RHT2</vt:lpstr>
      <vt:lpstr>RHW2</vt:lpstr>
      <vt:lpstr>RCL2</vt:lpstr>
      <vt:lpstr>RCK2</vt:lpstr>
      <vt:lpstr>RLT2</vt:lpstr>
      <vt:lpstr>ROT2</vt:lpstr>
      <vt:lpstr>HeaTecs2</vt:lpstr>
      <vt:lpstr>COM_Fuels2</vt:lpstr>
      <vt:lpstr>CHT2</vt:lpstr>
      <vt:lpstr>CHW2</vt:lpstr>
      <vt:lpstr>CCL2</vt:lpstr>
      <vt:lpstr>CCK2</vt:lpstr>
      <vt:lpstr>CLA2</vt:lpstr>
      <vt:lpstr>COT2</vt:lpstr>
      <vt:lpstr>Markets2</vt:lpstr>
      <vt:lpstr>AuxYear</vt:lpstr>
      <vt:lpstr>BaseYear</vt:lpstr>
      <vt:lpstr>HT_DD</vt:lpstr>
      <vt:lpstr>TechShar</vt:lpstr>
      <vt:lpstr>Tiny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Kapilow-Cohen</dc:creator>
  <cp:lastModifiedBy>Antti-L</cp:lastModifiedBy>
  <cp:lastPrinted>2004-04-15T19:11:12Z</cp:lastPrinted>
  <dcterms:created xsi:type="dcterms:W3CDTF">1996-10-14T23:33:28Z</dcterms:created>
  <dcterms:modified xsi:type="dcterms:W3CDTF">2021-02-12T10:18:22Z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TIAM</vt:lpwstr>
  </property>
  <property fmtid="{D5CDD505-2E9C-101B-9397-08002B2CF9AE}" pid="3" name="TmplVersion">
    <vt:lpwstr>Vrsn000001</vt:lpwstr>
  </property>
  <property fmtid="{D5CDD505-2E9C-101B-9397-08002B2CF9AE}" pid="4" name="Base_Yr_Bal">
    <vt:lpwstr>IEAStats.MDB</vt:lpwstr>
  </property>
  <property fmtid="{D5CDD505-2E9C-101B-9397-08002B2CF9AE}" pid="5" name="ImportCode:IEAStats.MDB">
    <vt:lpwstr>97389898986339.8</vt:lpwstr>
  </property>
  <property fmtid="{D5CDD505-2E9C-101B-9397-08002B2CF9AE}" pid="6" name="SaveCode">
    <vt:r8>793497264385223</vt:r8>
  </property>
</Properties>
</file>