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070" yWindow="1455" windowWidth="24780" windowHeight="13020" tabRatio="869" activeTab="3"/>
  </bookViews>
  <sheets>
    <sheet name="IEAData" sheetId="61870" r:id="rId1"/>
    <sheet name="AuxData" sheetId="61871" r:id="rId2"/>
    <sheet name="CalibData" sheetId="61872" state="veryHidden" r:id="rId3"/>
    <sheet name="COMM" sheetId="61873" r:id="rId4"/>
    <sheet name="Processes" sheetId="61874" r:id="rId5"/>
    <sheet name="TRA_Fuels" sheetId="61875" r:id="rId6"/>
    <sheet name="TRA_Emi" sheetId="61876" r:id="rId7"/>
    <sheet name="ROAD" sheetId="61877" r:id="rId8"/>
    <sheet name="RAIL" sheetId="61878" r:id="rId9"/>
    <sheet name="AIR" sheetId="61879" r:id="rId10"/>
    <sheet name="SHIP" sheetId="61880" r:id="rId11"/>
    <sheet name="Market" sheetId="61881" r:id="rId12"/>
    <sheet name="IEAData2" sheetId="1" r:id="rId13"/>
    <sheet name="AuxData2" sheetId="61865" r:id="rId14"/>
    <sheet name="CalibData2" sheetId="61864" state="veryHidden" r:id="rId15"/>
    <sheet name="COMM2" sheetId="61862" r:id="rId16"/>
    <sheet name="TRA_Fuels2" sheetId="7576" r:id="rId17"/>
    <sheet name="ROAD2" sheetId="61866" r:id="rId18"/>
    <sheet name="RAIL2" sheetId="61868" r:id="rId19"/>
    <sheet name="AIR2" sheetId="61867" r:id="rId20"/>
    <sheet name="SHIP2" sheetId="61869" r:id="rId21"/>
    <sheet name="Market2" sheetId="61613" r:id="rId22"/>
  </sheets>
  <definedNames>
    <definedName name="AuxYear">AuxData2!$D$2</definedName>
    <definedName name="BaseYear" localSheetId="1">AuxData!$D$2</definedName>
    <definedName name="BaseYear" localSheetId="13">AuxData2!$D$2</definedName>
    <definedName name="BaseYear">IEAData2!$D$2</definedName>
    <definedName name="RegIndex" localSheetId="9" hidden="1">2</definedName>
    <definedName name="RegIndex" localSheetId="1" hidden="1">2</definedName>
    <definedName name="RegIndex" localSheetId="2" hidden="1">2</definedName>
    <definedName name="RegIndex" localSheetId="3" hidden="1">2</definedName>
    <definedName name="RegIndex" localSheetId="0" hidden="1">2</definedName>
    <definedName name="RegIndex" localSheetId="11" hidden="1">2</definedName>
    <definedName name="RegIndex" localSheetId="4" hidden="1">2</definedName>
    <definedName name="RegIndex" localSheetId="8" hidden="1">2</definedName>
    <definedName name="RegIndex" localSheetId="7" hidden="1">2</definedName>
    <definedName name="RegIndex" localSheetId="10" hidden="1">2</definedName>
    <definedName name="RegIndex" localSheetId="6" hidden="1">2</definedName>
    <definedName name="RegIndex" localSheetId="5" hidden="1">2</definedName>
    <definedName name="RegIndex">3</definedName>
    <definedName name="Region" localSheetId="9" hidden="1">"FIN"</definedName>
    <definedName name="Region" localSheetId="1" hidden="1">"FIN"</definedName>
    <definedName name="Region" localSheetId="13">"FIM"</definedName>
    <definedName name="Region" localSheetId="2" hidden="1">"FIN"</definedName>
    <definedName name="Region" localSheetId="3" hidden="1">"FIN"</definedName>
    <definedName name="Region" localSheetId="0" hidden="1">"FIN"</definedName>
    <definedName name="Region" localSheetId="11" hidden="1">"FIN"</definedName>
    <definedName name="Region" localSheetId="4" hidden="1">"FIN"</definedName>
    <definedName name="Region" localSheetId="8" hidden="1">"FIN"</definedName>
    <definedName name="Region" localSheetId="7" hidden="1">"FIN"</definedName>
    <definedName name="Region" localSheetId="10" hidden="1">"FIN"</definedName>
    <definedName name="Region" localSheetId="6" hidden="1">"FIN"</definedName>
    <definedName name="Region" localSheetId="5" hidden="1">"FIN"</definedName>
    <definedName name="Region">"FIM"</definedName>
    <definedName name="Tiny" localSheetId="1">AuxData!$Q$1</definedName>
    <definedName name="Tiny" localSheetId="13">AuxData2!$Q$1</definedName>
    <definedName name="Tiny">IEAData2!$Q$1</definedName>
  </definedNames>
  <calcPr calcId="114210" calcMode="manual"/>
</workbook>
</file>

<file path=xl/calcChain.xml><?xml version="1.0" encoding="utf-8"?>
<calcChain xmlns="http://schemas.openxmlformats.org/spreadsheetml/2006/main">
  <c r="O1" i="61870"/>
  <c r="U10"/>
  <c r="V10"/>
  <c r="U11"/>
  <c r="V11"/>
  <c r="U12"/>
  <c r="V12"/>
  <c r="U13"/>
  <c r="V13"/>
  <c r="U14"/>
  <c r="V14"/>
  <c r="U15"/>
  <c r="V15"/>
  <c r="U16"/>
  <c r="V16"/>
  <c r="U17"/>
  <c r="V17"/>
  <c r="C22"/>
  <c r="D22"/>
  <c r="F22"/>
  <c r="G22"/>
  <c r="H22"/>
  <c r="I22"/>
  <c r="J22"/>
  <c r="K22"/>
  <c r="L22"/>
  <c r="M22"/>
  <c r="C23"/>
  <c r="D23"/>
  <c r="F23"/>
  <c r="G23"/>
  <c r="H23"/>
  <c r="I23"/>
  <c r="J23"/>
  <c r="K23"/>
  <c r="L23"/>
  <c r="M23"/>
  <c r="C24"/>
  <c r="D24"/>
  <c r="F24"/>
  <c r="G24"/>
  <c r="H24"/>
  <c r="I24"/>
  <c r="J24"/>
  <c r="K24"/>
  <c r="L24"/>
  <c r="M24"/>
  <c r="N24"/>
  <c r="C25"/>
  <c r="D25"/>
  <c r="F25"/>
  <c r="G25"/>
  <c r="H25"/>
  <c r="I25"/>
  <c r="J25"/>
  <c r="K25"/>
  <c r="L25"/>
  <c r="M25"/>
  <c r="N25"/>
  <c r="C26"/>
  <c r="D26"/>
  <c r="F26"/>
  <c r="G26"/>
  <c r="H26"/>
  <c r="I26"/>
  <c r="J26"/>
  <c r="K26"/>
  <c r="L26"/>
  <c r="M26"/>
  <c r="N26"/>
  <c r="C27"/>
  <c r="D27"/>
  <c r="F27"/>
  <c r="G27"/>
  <c r="H27"/>
  <c r="I27"/>
  <c r="J27"/>
  <c r="K27"/>
  <c r="L27"/>
  <c r="M27"/>
  <c r="C28"/>
  <c r="D28"/>
  <c r="F28"/>
  <c r="G28"/>
  <c r="H28"/>
  <c r="I28"/>
  <c r="J28"/>
  <c r="K28"/>
  <c r="L28"/>
  <c r="M28"/>
  <c r="C29"/>
  <c r="D29"/>
  <c r="E29"/>
  <c r="F29"/>
  <c r="G29"/>
  <c r="H29"/>
  <c r="I29"/>
  <c r="J29"/>
  <c r="K29"/>
  <c r="L29"/>
  <c r="M29"/>
  <c r="N29"/>
  <c r="O29"/>
  <c r="B43"/>
  <c r="C43"/>
  <c r="D43"/>
  <c r="E43"/>
  <c r="F43"/>
  <c r="G43"/>
  <c r="I43"/>
  <c r="J43"/>
  <c r="K43"/>
  <c r="L43"/>
  <c r="M43"/>
  <c r="B44"/>
  <c r="C44"/>
  <c r="D44"/>
  <c r="E44"/>
  <c r="F44"/>
  <c r="G44"/>
  <c r="I44"/>
  <c r="J44"/>
  <c r="K44"/>
  <c r="L44"/>
  <c r="M44"/>
  <c r="B45"/>
  <c r="C45"/>
  <c r="D45"/>
  <c r="E45"/>
  <c r="F45"/>
  <c r="G45"/>
  <c r="H45"/>
  <c r="I45"/>
  <c r="K45"/>
  <c r="M45"/>
  <c r="B46"/>
  <c r="C46"/>
  <c r="D46"/>
  <c r="E46"/>
  <c r="F46"/>
  <c r="G46"/>
  <c r="I46"/>
  <c r="K46"/>
  <c r="L46"/>
  <c r="M46"/>
  <c r="B47"/>
  <c r="C47"/>
  <c r="D47"/>
  <c r="E47"/>
  <c r="F47"/>
  <c r="G47"/>
  <c r="H47"/>
  <c r="I47"/>
  <c r="K47"/>
  <c r="L47"/>
  <c r="M47"/>
  <c r="C48"/>
  <c r="D48"/>
  <c r="E48"/>
  <c r="F48"/>
  <c r="G48"/>
  <c r="H48"/>
  <c r="I48"/>
  <c r="K48"/>
  <c r="L48"/>
  <c r="M48"/>
  <c r="C49"/>
  <c r="D49"/>
  <c r="E49"/>
  <c r="F49"/>
  <c r="G49"/>
  <c r="H49"/>
  <c r="I49"/>
  <c r="K49"/>
  <c r="L49"/>
  <c r="M49"/>
  <c r="C50"/>
  <c r="D50"/>
  <c r="E50"/>
  <c r="F50"/>
  <c r="G50"/>
  <c r="H50"/>
  <c r="I50"/>
  <c r="J50"/>
  <c r="K50"/>
  <c r="L50"/>
  <c r="M50"/>
  <c r="N50"/>
  <c r="C56"/>
  <c r="D56"/>
  <c r="E56"/>
  <c r="F56"/>
  <c r="G56"/>
  <c r="H56"/>
  <c r="K56"/>
  <c r="M56"/>
  <c r="I57"/>
  <c r="J57"/>
  <c r="L57"/>
  <c r="I63"/>
  <c r="J63"/>
  <c r="L63"/>
  <c r="C68"/>
  <c r="I68"/>
  <c r="J68"/>
  <c r="L68"/>
  <c r="N67" i="61872"/>
  <c r="C69" i="61870"/>
  <c r="N68" i="61872"/>
  <c r="F69" i="61870"/>
  <c r="N69" i="61872"/>
  <c r="G69" i="61870"/>
  <c r="N70" i="61872"/>
  <c r="H69" i="61870"/>
  <c r="N71" i="61872"/>
  <c r="K69" i="61870"/>
  <c r="N73" i="61872"/>
  <c r="M69" i="61870"/>
  <c r="C70"/>
  <c r="D70"/>
  <c r="E70"/>
  <c r="F70"/>
  <c r="G70"/>
  <c r="H70"/>
  <c r="K70"/>
  <c r="M70"/>
  <c r="C75"/>
  <c r="D75"/>
  <c r="E75"/>
  <c r="F75"/>
  <c r="G75"/>
  <c r="H75"/>
  <c r="I75"/>
  <c r="J75"/>
  <c r="K75"/>
  <c r="L75"/>
  <c r="M75"/>
  <c r="N75"/>
  <c r="C76"/>
  <c r="D76"/>
  <c r="E76"/>
  <c r="F76"/>
  <c r="G76"/>
  <c r="H76"/>
  <c r="I76"/>
  <c r="J76"/>
  <c r="K76"/>
  <c r="L76"/>
  <c r="M76"/>
  <c r="N76"/>
  <c r="A78"/>
  <c r="B78"/>
  <c r="C78"/>
  <c r="I78"/>
  <c r="J78"/>
  <c r="L78"/>
  <c r="A79"/>
  <c r="B79"/>
  <c r="C79"/>
  <c r="I79"/>
  <c r="J79"/>
  <c r="L79"/>
  <c r="A80"/>
  <c r="B80"/>
  <c r="C80"/>
  <c r="I80"/>
  <c r="J80"/>
  <c r="L80"/>
  <c r="A81"/>
  <c r="B81"/>
  <c r="C81"/>
  <c r="I81"/>
  <c r="J81"/>
  <c r="L81"/>
  <c r="A82"/>
  <c r="B82"/>
  <c r="C82"/>
  <c r="I82"/>
  <c r="J82"/>
  <c r="L82"/>
  <c r="A83"/>
  <c r="B83"/>
  <c r="C83"/>
  <c r="I83"/>
  <c r="J83"/>
  <c r="L83"/>
  <c r="A84"/>
  <c r="B84"/>
  <c r="C84"/>
  <c r="I84"/>
  <c r="J84"/>
  <c r="L84"/>
  <c r="A85"/>
  <c r="B85"/>
  <c r="C85"/>
  <c r="I85"/>
  <c r="J85"/>
  <c r="L85"/>
  <c r="A87"/>
  <c r="B87"/>
  <c r="C87"/>
  <c r="D87"/>
  <c r="E87"/>
  <c r="F87"/>
  <c r="G87"/>
  <c r="H87"/>
  <c r="I87"/>
  <c r="J87"/>
  <c r="K87"/>
  <c r="L87"/>
  <c r="M87"/>
  <c r="N87"/>
  <c r="A88"/>
  <c r="B88"/>
  <c r="C88"/>
  <c r="D88"/>
  <c r="E88"/>
  <c r="F88"/>
  <c r="G88"/>
  <c r="H88"/>
  <c r="I88"/>
  <c r="J88"/>
  <c r="K88"/>
  <c r="L88"/>
  <c r="M88"/>
  <c r="N88"/>
  <c r="C90"/>
  <c r="D90"/>
  <c r="E90"/>
  <c r="F90"/>
  <c r="G90"/>
  <c r="H90"/>
  <c r="I90"/>
  <c r="J90"/>
  <c r="K90"/>
  <c r="L90"/>
  <c r="M90"/>
  <c r="N90"/>
  <c r="C92"/>
  <c r="D92"/>
  <c r="E92"/>
  <c r="F92"/>
  <c r="G92"/>
  <c r="H92"/>
  <c r="I92"/>
  <c r="J92"/>
  <c r="K92"/>
  <c r="L92"/>
  <c r="M92"/>
  <c r="N92"/>
  <c r="C94"/>
  <c r="D94"/>
  <c r="E94"/>
  <c r="F94"/>
  <c r="G94"/>
  <c r="H94"/>
  <c r="I94"/>
  <c r="J94"/>
  <c r="K94"/>
  <c r="L94"/>
  <c r="M94"/>
  <c r="N94"/>
  <c r="C95"/>
  <c r="I95"/>
  <c r="J95"/>
  <c r="L95"/>
  <c r="O1" i="61871"/>
  <c r="U10"/>
  <c r="V10"/>
  <c r="U11"/>
  <c r="V11"/>
  <c r="U12"/>
  <c r="V12"/>
  <c r="U13"/>
  <c r="V13"/>
  <c r="U14"/>
  <c r="V14"/>
  <c r="U15"/>
  <c r="V15"/>
  <c r="U16"/>
  <c r="V16"/>
  <c r="U17"/>
  <c r="V17"/>
  <c r="C22"/>
  <c r="D22"/>
  <c r="F22"/>
  <c r="G22"/>
  <c r="H22"/>
  <c r="I22"/>
  <c r="J22"/>
  <c r="K22"/>
  <c r="L22"/>
  <c r="M22"/>
  <c r="C23"/>
  <c r="D23"/>
  <c r="F23"/>
  <c r="G23"/>
  <c r="H23"/>
  <c r="I23"/>
  <c r="J23"/>
  <c r="K23"/>
  <c r="L23"/>
  <c r="M23"/>
  <c r="C24"/>
  <c r="D24"/>
  <c r="F24"/>
  <c r="G24"/>
  <c r="H24"/>
  <c r="I24"/>
  <c r="J24"/>
  <c r="K24"/>
  <c r="L24"/>
  <c r="M24"/>
  <c r="N24"/>
  <c r="C25"/>
  <c r="D25"/>
  <c r="F25"/>
  <c r="G25"/>
  <c r="H25"/>
  <c r="I25"/>
  <c r="J25"/>
  <c r="K25"/>
  <c r="L25"/>
  <c r="M25"/>
  <c r="N25"/>
  <c r="C26"/>
  <c r="D26"/>
  <c r="F26"/>
  <c r="G26"/>
  <c r="H26"/>
  <c r="I26"/>
  <c r="J26"/>
  <c r="K26"/>
  <c r="L26"/>
  <c r="M26"/>
  <c r="N26"/>
  <c r="C27"/>
  <c r="D27"/>
  <c r="F27"/>
  <c r="G27"/>
  <c r="H27"/>
  <c r="I27"/>
  <c r="J27"/>
  <c r="K27"/>
  <c r="L27"/>
  <c r="M27"/>
  <c r="C28"/>
  <c r="D28"/>
  <c r="F28"/>
  <c r="G28"/>
  <c r="H28"/>
  <c r="I28"/>
  <c r="J28"/>
  <c r="K28"/>
  <c r="L28"/>
  <c r="M28"/>
  <c r="C29"/>
  <c r="D29"/>
  <c r="E29"/>
  <c r="F29"/>
  <c r="G29"/>
  <c r="H29"/>
  <c r="I29"/>
  <c r="J29"/>
  <c r="K29"/>
  <c r="L29"/>
  <c r="M29"/>
  <c r="N29"/>
  <c r="O29"/>
  <c r="B43"/>
  <c r="C43"/>
  <c r="D43"/>
  <c r="E43"/>
  <c r="F43"/>
  <c r="G43"/>
  <c r="I43"/>
  <c r="J43"/>
  <c r="K43"/>
  <c r="L43"/>
  <c r="M43"/>
  <c r="B44"/>
  <c r="C44"/>
  <c r="D44"/>
  <c r="E44"/>
  <c r="F44"/>
  <c r="G44"/>
  <c r="I44"/>
  <c r="J44"/>
  <c r="K44"/>
  <c r="L44"/>
  <c r="M44"/>
  <c r="B45"/>
  <c r="C45"/>
  <c r="D45"/>
  <c r="E45"/>
  <c r="F45"/>
  <c r="G45"/>
  <c r="H45"/>
  <c r="I45"/>
  <c r="K45"/>
  <c r="M45"/>
  <c r="B46"/>
  <c r="C46"/>
  <c r="D46"/>
  <c r="E46"/>
  <c r="F46"/>
  <c r="G46"/>
  <c r="I46"/>
  <c r="K46"/>
  <c r="L46"/>
  <c r="M46"/>
  <c r="B47"/>
  <c r="C47"/>
  <c r="D47"/>
  <c r="E47"/>
  <c r="F47"/>
  <c r="G47"/>
  <c r="H47"/>
  <c r="I47"/>
  <c r="K47"/>
  <c r="L47"/>
  <c r="M47"/>
  <c r="C48"/>
  <c r="D48"/>
  <c r="E48"/>
  <c r="F48"/>
  <c r="G48"/>
  <c r="H48"/>
  <c r="I48"/>
  <c r="K48"/>
  <c r="L48"/>
  <c r="M48"/>
  <c r="C49"/>
  <c r="D49"/>
  <c r="E49"/>
  <c r="F49"/>
  <c r="G49"/>
  <c r="H49"/>
  <c r="I49"/>
  <c r="K49"/>
  <c r="L49"/>
  <c r="M49"/>
  <c r="C50"/>
  <c r="D50"/>
  <c r="E50"/>
  <c r="F50"/>
  <c r="G50"/>
  <c r="H50"/>
  <c r="I50"/>
  <c r="J50"/>
  <c r="K50"/>
  <c r="L50"/>
  <c r="M50"/>
  <c r="N50"/>
  <c r="C56"/>
  <c r="D56"/>
  <c r="E56"/>
  <c r="F56"/>
  <c r="G56"/>
  <c r="H56"/>
  <c r="K56"/>
  <c r="M56"/>
  <c r="I57"/>
  <c r="J57"/>
  <c r="L57"/>
  <c r="I63"/>
  <c r="J63"/>
  <c r="L63"/>
  <c r="C68"/>
  <c r="I68"/>
  <c r="J68"/>
  <c r="L68"/>
  <c r="O67" i="61872"/>
  <c r="C69" i="61871"/>
  <c r="O68" i="61872"/>
  <c r="F69" i="61871"/>
  <c r="O69" i="61872"/>
  <c r="G69" i="61871"/>
  <c r="O70" i="61872"/>
  <c r="H69" i="61871"/>
  <c r="O71" i="61872"/>
  <c r="K69" i="61871"/>
  <c r="O73" i="61872"/>
  <c r="M69" i="61871"/>
  <c r="C70"/>
  <c r="D70"/>
  <c r="E70"/>
  <c r="F70"/>
  <c r="G70"/>
  <c r="H70"/>
  <c r="K70"/>
  <c r="M70"/>
  <c r="C75"/>
  <c r="D75"/>
  <c r="E75"/>
  <c r="F75"/>
  <c r="G75"/>
  <c r="H75"/>
  <c r="I75"/>
  <c r="J75"/>
  <c r="K75"/>
  <c r="L75"/>
  <c r="M75"/>
  <c r="N75"/>
  <c r="C76"/>
  <c r="D76"/>
  <c r="E76"/>
  <c r="F76"/>
  <c r="G76"/>
  <c r="H76"/>
  <c r="I76"/>
  <c r="J76"/>
  <c r="K76"/>
  <c r="L76"/>
  <c r="M76"/>
  <c r="N76"/>
  <c r="A78"/>
  <c r="B78"/>
  <c r="C78"/>
  <c r="I78"/>
  <c r="J78"/>
  <c r="L78"/>
  <c r="A79"/>
  <c r="B79"/>
  <c r="C79"/>
  <c r="I79"/>
  <c r="J79"/>
  <c r="L79"/>
  <c r="A80"/>
  <c r="B80"/>
  <c r="C80"/>
  <c r="I80"/>
  <c r="J80"/>
  <c r="L80"/>
  <c r="A81"/>
  <c r="B81"/>
  <c r="C81"/>
  <c r="I81"/>
  <c r="J81"/>
  <c r="L81"/>
  <c r="A82"/>
  <c r="B82"/>
  <c r="C82"/>
  <c r="I82"/>
  <c r="J82"/>
  <c r="L82"/>
  <c r="A83"/>
  <c r="B83"/>
  <c r="C83"/>
  <c r="I83"/>
  <c r="J83"/>
  <c r="L83"/>
  <c r="A84"/>
  <c r="B84"/>
  <c r="C84"/>
  <c r="I84"/>
  <c r="J84"/>
  <c r="L84"/>
  <c r="A85"/>
  <c r="B85"/>
  <c r="C85"/>
  <c r="I85"/>
  <c r="J85"/>
  <c r="L85"/>
  <c r="A87"/>
  <c r="B87"/>
  <c r="C87"/>
  <c r="D87"/>
  <c r="E87"/>
  <c r="F87"/>
  <c r="G87"/>
  <c r="H87"/>
  <c r="I87"/>
  <c r="J87"/>
  <c r="K87"/>
  <c r="L87"/>
  <c r="M87"/>
  <c r="N87"/>
  <c r="A88"/>
  <c r="B88"/>
  <c r="C88"/>
  <c r="D88"/>
  <c r="E88"/>
  <c r="F88"/>
  <c r="G88"/>
  <c r="H88"/>
  <c r="I88"/>
  <c r="J88"/>
  <c r="K88"/>
  <c r="L88"/>
  <c r="M88"/>
  <c r="N88"/>
  <c r="C90"/>
  <c r="D90"/>
  <c r="E90"/>
  <c r="F90"/>
  <c r="G90"/>
  <c r="H90"/>
  <c r="I90"/>
  <c r="J90"/>
  <c r="K90"/>
  <c r="L90"/>
  <c r="M90"/>
  <c r="N90"/>
  <c r="C92"/>
  <c r="D92"/>
  <c r="E92"/>
  <c r="F92"/>
  <c r="G92"/>
  <c r="H92"/>
  <c r="I92"/>
  <c r="J92"/>
  <c r="K92"/>
  <c r="L92"/>
  <c r="M92"/>
  <c r="N92"/>
  <c r="C94"/>
  <c r="D94"/>
  <c r="E94"/>
  <c r="F94"/>
  <c r="G94"/>
  <c r="H94"/>
  <c r="I94"/>
  <c r="J94"/>
  <c r="K94"/>
  <c r="L94"/>
  <c r="M94"/>
  <c r="N94"/>
  <c r="C95"/>
  <c r="I95"/>
  <c r="J95"/>
  <c r="L95"/>
  <c r="C1" i="61872"/>
  <c r="O1"/>
  <c r="N3"/>
  <c r="O3"/>
  <c r="N4"/>
  <c r="O4"/>
  <c r="N5"/>
  <c r="O5"/>
  <c r="N6"/>
  <c r="O6"/>
  <c r="N7"/>
  <c r="O7"/>
  <c r="N8"/>
  <c r="O8"/>
  <c r="N9"/>
  <c r="O9"/>
  <c r="N10"/>
  <c r="O10"/>
  <c r="N11"/>
  <c r="O11"/>
  <c r="N12"/>
  <c r="O12"/>
  <c r="N13"/>
  <c r="O13"/>
  <c r="N14"/>
  <c r="O14"/>
  <c r="N15"/>
  <c r="O15"/>
  <c r="N16"/>
  <c r="O16"/>
  <c r="N17"/>
  <c r="O17"/>
  <c r="N18"/>
  <c r="O18"/>
  <c r="N19"/>
  <c r="O19"/>
  <c r="N20"/>
  <c r="O20"/>
  <c r="N21"/>
  <c r="O21"/>
  <c r="N22"/>
  <c r="O22"/>
  <c r="N23"/>
  <c r="O23"/>
  <c r="N24"/>
  <c r="O24"/>
  <c r="N25"/>
  <c r="O25"/>
  <c r="N26"/>
  <c r="O26"/>
  <c r="N27"/>
  <c r="O27"/>
  <c r="N28"/>
  <c r="O28"/>
  <c r="N29"/>
  <c r="O29"/>
  <c r="N30"/>
  <c r="O30"/>
  <c r="N31"/>
  <c r="O31"/>
  <c r="N32"/>
  <c r="O32"/>
  <c r="N33"/>
  <c r="O33"/>
  <c r="N34"/>
  <c r="O34"/>
  <c r="N35"/>
  <c r="O35"/>
  <c r="N36"/>
  <c r="O36"/>
  <c r="N37"/>
  <c r="O37"/>
  <c r="N38"/>
  <c r="O38"/>
  <c r="N39"/>
  <c r="O39"/>
  <c r="N40"/>
  <c r="O40"/>
  <c r="N41"/>
  <c r="O41"/>
  <c r="N42"/>
  <c r="O42"/>
  <c r="N43"/>
  <c r="O43"/>
  <c r="N44"/>
  <c r="O44"/>
  <c r="N45"/>
  <c r="O45"/>
  <c r="N46"/>
  <c r="O46"/>
  <c r="N47"/>
  <c r="O47"/>
  <c r="N48"/>
  <c r="O48"/>
  <c r="N49"/>
  <c r="O49"/>
  <c r="N50"/>
  <c r="O50"/>
  <c r="N51"/>
  <c r="O51"/>
  <c r="N52"/>
  <c r="O52"/>
  <c r="N53"/>
  <c r="O53"/>
  <c r="N54"/>
  <c r="O54"/>
  <c r="N55"/>
  <c r="O55"/>
  <c r="N56"/>
  <c r="O56"/>
  <c r="N57"/>
  <c r="O57"/>
  <c r="N58"/>
  <c r="O58"/>
  <c r="N59"/>
  <c r="O59"/>
  <c r="N60"/>
  <c r="O60"/>
  <c r="N61"/>
  <c r="O61"/>
  <c r="N62"/>
  <c r="O62"/>
  <c r="N63"/>
  <c r="O63"/>
  <c r="N64"/>
  <c r="O64"/>
  <c r="N65"/>
  <c r="O65"/>
  <c r="N66"/>
  <c r="O66"/>
  <c r="N72"/>
  <c r="O72"/>
  <c r="N74"/>
  <c r="O74"/>
  <c r="N75"/>
  <c r="O75"/>
  <c r="N76"/>
  <c r="O76"/>
  <c r="N77"/>
  <c r="O77"/>
  <c r="N78"/>
  <c r="O78"/>
  <c r="N79"/>
  <c r="O79"/>
  <c r="N80"/>
  <c r="O80"/>
  <c r="N81"/>
  <c r="O81"/>
  <c r="N82"/>
  <c r="O82"/>
  <c r="N83"/>
  <c r="O83"/>
  <c r="N84"/>
  <c r="O84"/>
  <c r="N85"/>
  <c r="O85"/>
  <c r="N86"/>
  <c r="O86"/>
  <c r="N87"/>
  <c r="O87"/>
  <c r="N88"/>
  <c r="O88"/>
  <c r="N89"/>
  <c r="O89"/>
  <c r="N90"/>
  <c r="O90"/>
  <c r="N91"/>
  <c r="O91"/>
  <c r="N92"/>
  <c r="O92"/>
  <c r="N93"/>
  <c r="O93"/>
  <c r="N94"/>
  <c r="O94"/>
  <c r="N95"/>
  <c r="O95"/>
  <c r="N96"/>
  <c r="O96"/>
  <c r="N97"/>
  <c r="O97"/>
  <c r="N98"/>
  <c r="O98"/>
  <c r="N99"/>
  <c r="O99"/>
  <c r="N100"/>
  <c r="O100"/>
  <c r="N101"/>
  <c r="O101"/>
  <c r="N102"/>
  <c r="O102"/>
  <c r="N103"/>
  <c r="O103"/>
  <c r="N104"/>
  <c r="O104"/>
  <c r="N105"/>
  <c r="O105"/>
  <c r="N106"/>
  <c r="O106"/>
  <c r="N107"/>
  <c r="O107"/>
  <c r="N108"/>
  <c r="O108"/>
  <c r="N109"/>
  <c r="O109"/>
  <c r="N110"/>
  <c r="O110"/>
  <c r="N111"/>
  <c r="O111"/>
  <c r="N112"/>
  <c r="O112"/>
  <c r="N113"/>
  <c r="O113"/>
  <c r="N114"/>
  <c r="O114"/>
  <c r="N118"/>
  <c r="O118"/>
  <c r="N119"/>
  <c r="O119"/>
  <c r="N120"/>
  <c r="O120"/>
  <c r="N121"/>
  <c r="O121"/>
  <c r="N122"/>
  <c r="O122"/>
  <c r="N123"/>
  <c r="O123"/>
  <c r="N124"/>
  <c r="O124"/>
  <c r="N125"/>
  <c r="O125"/>
  <c r="F5" i="61875"/>
  <c r="J6"/>
  <c r="K6"/>
  <c r="L6"/>
  <c r="O6"/>
  <c r="S6"/>
  <c r="E8"/>
  <c r="B7"/>
  <c r="D7"/>
  <c r="L7"/>
  <c r="M7"/>
  <c r="N7"/>
  <c r="E12"/>
  <c r="B9"/>
  <c r="D9"/>
  <c r="L9"/>
  <c r="R9"/>
  <c r="S9"/>
  <c r="T9"/>
  <c r="U9"/>
  <c r="E14"/>
  <c r="B13"/>
  <c r="D13"/>
  <c r="L13"/>
  <c r="M13"/>
  <c r="N13"/>
  <c r="E16"/>
  <c r="B15"/>
  <c r="D15"/>
  <c r="E19"/>
  <c r="B17"/>
  <c r="D17"/>
  <c r="D18"/>
  <c r="K18"/>
  <c r="E22"/>
  <c r="B20"/>
  <c r="D20"/>
  <c r="D21"/>
  <c r="J21"/>
  <c r="K21"/>
  <c r="E24"/>
  <c r="B23"/>
  <c r="D23"/>
  <c r="E26"/>
  <c r="B25"/>
  <c r="D25"/>
  <c r="L25"/>
  <c r="M25"/>
  <c r="N25"/>
  <c r="B27"/>
  <c r="D27"/>
  <c r="O28"/>
  <c r="G32"/>
  <c r="B34"/>
  <c r="E37"/>
  <c r="B36"/>
  <c r="G36"/>
  <c r="F42"/>
  <c r="L43"/>
  <c r="R43"/>
  <c r="S43"/>
  <c r="V43"/>
  <c r="B44"/>
  <c r="P44"/>
  <c r="U44"/>
  <c r="V44"/>
  <c r="B46"/>
  <c r="P46"/>
  <c r="B48"/>
  <c r="P48"/>
  <c r="B50"/>
  <c r="P50"/>
  <c r="B52"/>
  <c r="P52"/>
  <c r="B55"/>
  <c r="I56"/>
  <c r="B59"/>
  <c r="L60"/>
  <c r="B62"/>
  <c r="U62"/>
  <c r="V62"/>
  <c r="B64"/>
  <c r="E67"/>
  <c r="B66"/>
  <c r="B68"/>
  <c r="B70"/>
  <c r="G70"/>
  <c r="L72"/>
  <c r="L70"/>
  <c r="M70"/>
  <c r="N70"/>
  <c r="B75"/>
  <c r="B77"/>
  <c r="P77"/>
  <c r="F4" i="61876"/>
  <c r="C6"/>
  <c r="D6"/>
  <c r="F6"/>
  <c r="L6"/>
  <c r="M6"/>
  <c r="N6"/>
  <c r="C7"/>
  <c r="D7"/>
  <c r="F7"/>
  <c r="L7"/>
  <c r="M7"/>
  <c r="N7"/>
  <c r="C8"/>
  <c r="D8"/>
  <c r="F8"/>
  <c r="L8"/>
  <c r="M8"/>
  <c r="N8"/>
  <c r="C9"/>
  <c r="D9"/>
  <c r="F9"/>
  <c r="M9"/>
  <c r="N9"/>
  <c r="C10"/>
  <c r="D10"/>
  <c r="F10"/>
  <c r="L10"/>
  <c r="M10"/>
  <c r="N10"/>
  <c r="C11"/>
  <c r="D11"/>
  <c r="F11"/>
  <c r="L11"/>
  <c r="M11"/>
  <c r="N11"/>
  <c r="C12"/>
  <c r="D12"/>
  <c r="F12"/>
  <c r="L12"/>
  <c r="M12"/>
  <c r="N12"/>
  <c r="C13"/>
  <c r="D13"/>
  <c r="F13"/>
  <c r="L13"/>
  <c r="M13"/>
  <c r="N13"/>
  <c r="C14"/>
  <c r="D14"/>
  <c r="F14"/>
  <c r="L14"/>
  <c r="M14"/>
  <c r="N14"/>
  <c r="C15"/>
  <c r="D15"/>
  <c r="F15"/>
  <c r="L15"/>
  <c r="M15"/>
  <c r="N15"/>
  <c r="C16"/>
  <c r="F16"/>
  <c r="L16"/>
  <c r="M16"/>
  <c r="N16"/>
  <c r="C17"/>
  <c r="D17"/>
  <c r="F17"/>
  <c r="L17"/>
  <c r="M17"/>
  <c r="N17"/>
  <c r="C18"/>
  <c r="D18"/>
  <c r="F18"/>
  <c r="M18"/>
  <c r="N18"/>
  <c r="O18"/>
  <c r="C19"/>
  <c r="D19"/>
  <c r="F19"/>
  <c r="L19"/>
  <c r="M19"/>
  <c r="N19"/>
  <c r="F20"/>
  <c r="L20"/>
  <c r="M20"/>
  <c r="N20"/>
  <c r="F21"/>
  <c r="M21"/>
  <c r="N21"/>
  <c r="F22"/>
  <c r="M22"/>
  <c r="N22"/>
  <c r="D23"/>
  <c r="F23"/>
  <c r="L23"/>
  <c r="M23"/>
  <c r="N23"/>
  <c r="F24"/>
  <c r="L24"/>
  <c r="M24"/>
  <c r="N24"/>
  <c r="F25"/>
  <c r="M25"/>
  <c r="N25"/>
  <c r="O25"/>
  <c r="F26"/>
  <c r="M26"/>
  <c r="N26"/>
  <c r="O26"/>
  <c r="C27"/>
  <c r="D27"/>
  <c r="F27"/>
  <c r="M27"/>
  <c r="N27"/>
  <c r="O27"/>
  <c r="C28"/>
  <c r="D28"/>
  <c r="F28"/>
  <c r="L28"/>
  <c r="M28"/>
  <c r="N28"/>
  <c r="C29"/>
  <c r="D29"/>
  <c r="F29"/>
  <c r="L29"/>
  <c r="M29"/>
  <c r="N29"/>
  <c r="B30"/>
  <c r="C30"/>
  <c r="D30"/>
  <c r="F30"/>
  <c r="L30"/>
  <c r="M30"/>
  <c r="N30"/>
  <c r="C31"/>
  <c r="D31"/>
  <c r="F31"/>
  <c r="L31"/>
  <c r="M31"/>
  <c r="N31"/>
  <c r="C32"/>
  <c r="D32"/>
  <c r="F32"/>
  <c r="L32"/>
  <c r="M32"/>
  <c r="N32"/>
  <c r="C33"/>
  <c r="D33"/>
  <c r="F33"/>
  <c r="L33"/>
  <c r="M33"/>
  <c r="N33"/>
  <c r="F34"/>
  <c r="M34"/>
  <c r="N34"/>
  <c r="O34"/>
  <c r="F35"/>
  <c r="M35"/>
  <c r="N35"/>
  <c r="O35"/>
  <c r="F36"/>
  <c r="M36"/>
  <c r="N36"/>
  <c r="O36"/>
  <c r="F37"/>
  <c r="M37"/>
  <c r="N37"/>
  <c r="O37"/>
  <c r="F38"/>
  <c r="M38"/>
  <c r="N38"/>
  <c r="O38"/>
  <c r="B39"/>
  <c r="F39"/>
  <c r="L39"/>
  <c r="M39"/>
  <c r="N39"/>
  <c r="B40"/>
  <c r="C40"/>
  <c r="F40"/>
  <c r="F41"/>
  <c r="C42"/>
  <c r="F42"/>
  <c r="F43"/>
  <c r="F44"/>
  <c r="D4" i="61877"/>
  <c r="E5"/>
  <c r="F5"/>
  <c r="I5"/>
  <c r="K5"/>
  <c r="L5"/>
  <c r="P5"/>
  <c r="Q5"/>
  <c r="R5"/>
  <c r="S5"/>
  <c r="D7"/>
  <c r="U7"/>
  <c r="G7"/>
  <c r="V7"/>
  <c r="H7"/>
  <c r="I7"/>
  <c r="M7"/>
  <c r="N7"/>
  <c r="D8"/>
  <c r="U8"/>
  <c r="G8"/>
  <c r="V8"/>
  <c r="H8"/>
  <c r="I8"/>
  <c r="M8"/>
  <c r="N8"/>
  <c r="D9"/>
  <c r="U9"/>
  <c r="G9"/>
  <c r="V9"/>
  <c r="H9"/>
  <c r="I9"/>
  <c r="M9"/>
  <c r="N9"/>
  <c r="D10"/>
  <c r="U10"/>
  <c r="G10"/>
  <c r="V10"/>
  <c r="H10"/>
  <c r="I10"/>
  <c r="M10"/>
  <c r="N10"/>
  <c r="D11"/>
  <c r="U11"/>
  <c r="G11"/>
  <c r="V11"/>
  <c r="H11"/>
  <c r="I11"/>
  <c r="M11"/>
  <c r="N11"/>
  <c r="D12"/>
  <c r="U12"/>
  <c r="G12"/>
  <c r="V12"/>
  <c r="H12"/>
  <c r="I12"/>
  <c r="M12"/>
  <c r="N12"/>
  <c r="D13"/>
  <c r="U13"/>
  <c r="G13"/>
  <c r="V13"/>
  <c r="H13"/>
  <c r="I13"/>
  <c r="M13"/>
  <c r="N13"/>
  <c r="C14"/>
  <c r="D15"/>
  <c r="U15"/>
  <c r="G15"/>
  <c r="V15"/>
  <c r="H15"/>
  <c r="I15"/>
  <c r="M15"/>
  <c r="N15"/>
  <c r="D16"/>
  <c r="U16"/>
  <c r="G16"/>
  <c r="V16"/>
  <c r="H16"/>
  <c r="I16"/>
  <c r="M16"/>
  <c r="N16"/>
  <c r="D17"/>
  <c r="U17"/>
  <c r="G17"/>
  <c r="V17"/>
  <c r="H17"/>
  <c r="I17"/>
  <c r="M17"/>
  <c r="N17"/>
  <c r="D18"/>
  <c r="U18"/>
  <c r="G18"/>
  <c r="V18"/>
  <c r="H18"/>
  <c r="I18"/>
  <c r="M18"/>
  <c r="N18"/>
  <c r="D19"/>
  <c r="U19"/>
  <c r="G19"/>
  <c r="V19"/>
  <c r="H19"/>
  <c r="I19"/>
  <c r="M19"/>
  <c r="N19"/>
  <c r="D20"/>
  <c r="U20"/>
  <c r="G20"/>
  <c r="V20"/>
  <c r="H20"/>
  <c r="I20"/>
  <c r="M20"/>
  <c r="N20"/>
  <c r="D21"/>
  <c r="U21"/>
  <c r="G21"/>
  <c r="V21"/>
  <c r="H21"/>
  <c r="I21"/>
  <c r="M21"/>
  <c r="N21"/>
  <c r="C22"/>
  <c r="D23"/>
  <c r="U23"/>
  <c r="G23"/>
  <c r="V23"/>
  <c r="H23"/>
  <c r="I23"/>
  <c r="M23"/>
  <c r="N23"/>
  <c r="D24"/>
  <c r="U24"/>
  <c r="G24"/>
  <c r="V24"/>
  <c r="H24"/>
  <c r="I24"/>
  <c r="M24"/>
  <c r="N24"/>
  <c r="D25"/>
  <c r="U25"/>
  <c r="G25"/>
  <c r="V25"/>
  <c r="H25"/>
  <c r="I25"/>
  <c r="M25"/>
  <c r="N25"/>
  <c r="D26"/>
  <c r="U26"/>
  <c r="G26"/>
  <c r="V26"/>
  <c r="H26"/>
  <c r="I26"/>
  <c r="M26"/>
  <c r="N26"/>
  <c r="D27"/>
  <c r="U27"/>
  <c r="G27"/>
  <c r="V27"/>
  <c r="H27"/>
  <c r="I27"/>
  <c r="M27"/>
  <c r="N27"/>
  <c r="D28"/>
  <c r="U28"/>
  <c r="G28"/>
  <c r="V28"/>
  <c r="H28"/>
  <c r="I28"/>
  <c r="M28"/>
  <c r="N28"/>
  <c r="D29"/>
  <c r="U29"/>
  <c r="G29"/>
  <c r="V29"/>
  <c r="H29"/>
  <c r="I29"/>
  <c r="M29"/>
  <c r="N29"/>
  <c r="C30"/>
  <c r="D31"/>
  <c r="U31"/>
  <c r="G31"/>
  <c r="V31"/>
  <c r="H31"/>
  <c r="I31"/>
  <c r="M31"/>
  <c r="N31"/>
  <c r="D32"/>
  <c r="U32"/>
  <c r="G32"/>
  <c r="V32"/>
  <c r="H32"/>
  <c r="I32"/>
  <c r="M32"/>
  <c r="N32"/>
  <c r="D33"/>
  <c r="U33"/>
  <c r="G33"/>
  <c r="V33"/>
  <c r="H33"/>
  <c r="I33"/>
  <c r="M33"/>
  <c r="N33"/>
  <c r="D34"/>
  <c r="U34"/>
  <c r="G34"/>
  <c r="V34"/>
  <c r="H34"/>
  <c r="I34"/>
  <c r="M34"/>
  <c r="N34"/>
  <c r="D35"/>
  <c r="U35"/>
  <c r="G35"/>
  <c r="V35"/>
  <c r="H35"/>
  <c r="I35"/>
  <c r="M35"/>
  <c r="N35"/>
  <c r="D36"/>
  <c r="U36"/>
  <c r="G36"/>
  <c r="V36"/>
  <c r="H36"/>
  <c r="I36"/>
  <c r="M36"/>
  <c r="N36"/>
  <c r="D37"/>
  <c r="U37"/>
  <c r="G37"/>
  <c r="V37"/>
  <c r="H37"/>
  <c r="I37"/>
  <c r="M37"/>
  <c r="N37"/>
  <c r="C38"/>
  <c r="D39"/>
  <c r="U39"/>
  <c r="G39"/>
  <c r="V39"/>
  <c r="H39"/>
  <c r="I39"/>
  <c r="M39"/>
  <c r="N39"/>
  <c r="D40"/>
  <c r="U40"/>
  <c r="G40"/>
  <c r="V40"/>
  <c r="H40"/>
  <c r="I40"/>
  <c r="M40"/>
  <c r="N40"/>
  <c r="D41"/>
  <c r="U41"/>
  <c r="G41"/>
  <c r="V41"/>
  <c r="H41"/>
  <c r="I41"/>
  <c r="M41"/>
  <c r="N41"/>
  <c r="D42"/>
  <c r="U42"/>
  <c r="G42"/>
  <c r="V42"/>
  <c r="H42"/>
  <c r="I42"/>
  <c r="M42"/>
  <c r="N42"/>
  <c r="D43"/>
  <c r="U43"/>
  <c r="G43"/>
  <c r="V43"/>
  <c r="H43"/>
  <c r="I43"/>
  <c r="M43"/>
  <c r="N43"/>
  <c r="D44"/>
  <c r="U44"/>
  <c r="G44"/>
  <c r="V44"/>
  <c r="H44"/>
  <c r="I44"/>
  <c r="M44"/>
  <c r="N44"/>
  <c r="C45"/>
  <c r="D46"/>
  <c r="U46"/>
  <c r="Y46"/>
  <c r="Z46"/>
  <c r="H46"/>
  <c r="I46"/>
  <c r="V46"/>
  <c r="M46"/>
  <c r="N46"/>
  <c r="D47"/>
  <c r="Y47"/>
  <c r="Z47"/>
  <c r="U47"/>
  <c r="H47"/>
  <c r="I47"/>
  <c r="V47"/>
  <c r="M47"/>
  <c r="N47"/>
  <c r="D48"/>
  <c r="U48"/>
  <c r="G48"/>
  <c r="V48"/>
  <c r="H48"/>
  <c r="I48"/>
  <c r="M48"/>
  <c r="N48"/>
  <c r="C49"/>
  <c r="D50"/>
  <c r="U50"/>
  <c r="H50"/>
  <c r="I50"/>
  <c r="V50"/>
  <c r="M50"/>
  <c r="N50"/>
  <c r="D51"/>
  <c r="U51"/>
  <c r="H51"/>
  <c r="I51"/>
  <c r="V51"/>
  <c r="M51"/>
  <c r="N51"/>
  <c r="C52"/>
  <c r="D57"/>
  <c r="G58"/>
  <c r="I58"/>
  <c r="I59"/>
  <c r="M59"/>
  <c r="I60"/>
  <c r="M60"/>
  <c r="I61"/>
  <c r="M61"/>
  <c r="I62"/>
  <c r="M62"/>
  <c r="I63"/>
  <c r="M63"/>
  <c r="I64"/>
  <c r="M64"/>
  <c r="I65"/>
  <c r="M65"/>
  <c r="P3" i="61878"/>
  <c r="Q3"/>
  <c r="R3"/>
  <c r="S3"/>
  <c r="T3"/>
  <c r="V3"/>
  <c r="W3"/>
  <c r="X3"/>
  <c r="D6"/>
  <c r="E7"/>
  <c r="F7"/>
  <c r="H7"/>
  <c r="J7"/>
  <c r="K7"/>
  <c r="L7"/>
  <c r="P7"/>
  <c r="Q7"/>
  <c r="R7"/>
  <c r="S7"/>
  <c r="T7"/>
  <c r="V7"/>
  <c r="W7"/>
  <c r="X7"/>
  <c r="D8"/>
  <c r="E8"/>
  <c r="F8"/>
  <c r="K8"/>
  <c r="E9"/>
  <c r="K9"/>
  <c r="E10"/>
  <c r="K10"/>
  <c r="E13"/>
  <c r="E11"/>
  <c r="K11"/>
  <c r="K12"/>
  <c r="N29"/>
  <c r="E12"/>
  <c r="I8"/>
  <c r="F9"/>
  <c r="F10"/>
  <c r="F13"/>
  <c r="F11"/>
  <c r="F12"/>
  <c r="J8"/>
  <c r="V9"/>
  <c r="L8"/>
  <c r="D9"/>
  <c r="I9"/>
  <c r="J9"/>
  <c r="L9"/>
  <c r="M9"/>
  <c r="N9"/>
  <c r="W9"/>
  <c r="X9"/>
  <c r="D10"/>
  <c r="I10"/>
  <c r="J10"/>
  <c r="L10"/>
  <c r="D11"/>
  <c r="L11"/>
  <c r="L12"/>
  <c r="K13"/>
  <c r="L13"/>
  <c r="P13"/>
  <c r="Q13"/>
  <c r="R13"/>
  <c r="E14"/>
  <c r="F14"/>
  <c r="K14"/>
  <c r="L14"/>
  <c r="D15"/>
  <c r="E15"/>
  <c r="F15"/>
  <c r="H15"/>
  <c r="K15"/>
  <c r="E16"/>
  <c r="K16"/>
  <c r="E17"/>
  <c r="K17"/>
  <c r="E18"/>
  <c r="K18"/>
  <c r="K19"/>
  <c r="N31"/>
  <c r="E19"/>
  <c r="I15"/>
  <c r="F16"/>
  <c r="F17"/>
  <c r="F18"/>
  <c r="F19"/>
  <c r="J15"/>
  <c r="L15"/>
  <c r="H16"/>
  <c r="I16"/>
  <c r="J16"/>
  <c r="L16"/>
  <c r="P16"/>
  <c r="R16"/>
  <c r="T16"/>
  <c r="D17"/>
  <c r="H17"/>
  <c r="I17"/>
  <c r="J17"/>
  <c r="L17"/>
  <c r="D18"/>
  <c r="L18"/>
  <c r="L19"/>
  <c r="D27"/>
  <c r="G28"/>
  <c r="I28"/>
  <c r="O29"/>
  <c r="P29"/>
  <c r="Q29"/>
  <c r="N30"/>
  <c r="O30"/>
  <c r="P30"/>
  <c r="Q30"/>
  <c r="O31"/>
  <c r="I31"/>
  <c r="P31"/>
  <c r="Q31"/>
  <c r="H32"/>
  <c r="I32"/>
  <c r="H33"/>
  <c r="I33"/>
  <c r="H34"/>
  <c r="I34"/>
  <c r="Q1" i="61879"/>
  <c r="R1"/>
  <c r="S1"/>
  <c r="T1"/>
  <c r="U1"/>
  <c r="V1"/>
  <c r="D4"/>
  <c r="E5"/>
  <c r="F5"/>
  <c r="I5"/>
  <c r="K5"/>
  <c r="L5"/>
  <c r="Q5"/>
  <c r="R5"/>
  <c r="S5"/>
  <c r="T5"/>
  <c r="U5"/>
  <c r="V5"/>
  <c r="E6"/>
  <c r="F6"/>
  <c r="I6"/>
  <c r="K6"/>
  <c r="L6"/>
  <c r="Q6"/>
  <c r="R6"/>
  <c r="S6"/>
  <c r="T6"/>
  <c r="U6"/>
  <c r="V6"/>
  <c r="K7"/>
  <c r="L7"/>
  <c r="D8"/>
  <c r="E8"/>
  <c r="F8"/>
  <c r="E9"/>
  <c r="E10"/>
  <c r="G8"/>
  <c r="I8"/>
  <c r="K8"/>
  <c r="L8"/>
  <c r="F9"/>
  <c r="F10"/>
  <c r="M8"/>
  <c r="O8"/>
  <c r="Q8"/>
  <c r="R8"/>
  <c r="S8"/>
  <c r="T8"/>
  <c r="U8"/>
  <c r="V8"/>
  <c r="D9"/>
  <c r="K9"/>
  <c r="L9"/>
  <c r="K10"/>
  <c r="L10"/>
  <c r="D14"/>
  <c r="F15"/>
  <c r="H15"/>
  <c r="M16"/>
  <c r="G16"/>
  <c r="E16"/>
  <c r="N16"/>
  <c r="H16"/>
  <c r="F16"/>
  <c r="M17"/>
  <c r="G17"/>
  <c r="E17"/>
  <c r="N17"/>
  <c r="H17"/>
  <c r="F17"/>
  <c r="D5" i="61880"/>
  <c r="E6"/>
  <c r="F6"/>
  <c r="I6"/>
  <c r="L6"/>
  <c r="M6"/>
  <c r="N6"/>
  <c r="D7"/>
  <c r="E7"/>
  <c r="F7"/>
  <c r="E8"/>
  <c r="E9"/>
  <c r="E10"/>
  <c r="L10"/>
  <c r="M20"/>
  <c r="H7"/>
  <c r="F8"/>
  <c r="F9"/>
  <c r="F10"/>
  <c r="N7"/>
  <c r="M10"/>
  <c r="N20"/>
  <c r="I7"/>
  <c r="O7"/>
  <c r="P7"/>
  <c r="Q7"/>
  <c r="R7"/>
  <c r="D8"/>
  <c r="H8"/>
  <c r="I8"/>
  <c r="D9"/>
  <c r="C10"/>
  <c r="D11"/>
  <c r="E11"/>
  <c r="F11"/>
  <c r="N11"/>
  <c r="O11"/>
  <c r="P11"/>
  <c r="Q11"/>
  <c r="R11"/>
  <c r="C12"/>
  <c r="E12"/>
  <c r="F12"/>
  <c r="L12"/>
  <c r="M12"/>
  <c r="D13"/>
  <c r="E13"/>
  <c r="F13"/>
  <c r="E14"/>
  <c r="F14"/>
  <c r="L14"/>
  <c r="M14"/>
  <c r="D18"/>
  <c r="F19"/>
  <c r="H19"/>
  <c r="G20"/>
  <c r="E20"/>
  <c r="H20"/>
  <c r="F20"/>
  <c r="M21"/>
  <c r="G21"/>
  <c r="E21"/>
  <c r="N21"/>
  <c r="H21"/>
  <c r="F21"/>
  <c r="M22"/>
  <c r="G22"/>
  <c r="E22"/>
  <c r="N22"/>
  <c r="H22"/>
  <c r="F22"/>
  <c r="D3" i="61881"/>
  <c r="E3"/>
  <c r="F3"/>
  <c r="G3"/>
  <c r="H3"/>
  <c r="C4"/>
  <c r="D4"/>
  <c r="E4"/>
  <c r="F4"/>
  <c r="G4"/>
  <c r="H4"/>
  <c r="H8"/>
  <c r="H9"/>
  <c r="H10"/>
  <c r="G11"/>
  <c r="H12"/>
  <c r="H13"/>
  <c r="D19"/>
  <c r="F20"/>
  <c r="G20"/>
  <c r="H20"/>
  <c r="I20"/>
  <c r="J20"/>
  <c r="F21"/>
  <c r="G21"/>
  <c r="H21"/>
  <c r="I21"/>
  <c r="J21"/>
  <c r="K21"/>
  <c r="L21"/>
  <c r="M21"/>
  <c r="E22"/>
  <c r="H22"/>
  <c r="I22"/>
  <c r="J22"/>
  <c r="K22"/>
  <c r="E23"/>
  <c r="H23"/>
  <c r="I23"/>
  <c r="J23"/>
  <c r="K23"/>
  <c r="E25"/>
  <c r="H25"/>
  <c r="I25"/>
  <c r="J25"/>
  <c r="K25"/>
  <c r="E26"/>
  <c r="H26"/>
  <c r="I26"/>
  <c r="J26"/>
  <c r="K26"/>
  <c r="E28"/>
  <c r="H28"/>
  <c r="I28"/>
  <c r="J28"/>
  <c r="K28"/>
  <c r="E29"/>
  <c r="H29"/>
  <c r="I29"/>
  <c r="J29"/>
  <c r="K29"/>
  <c r="E30"/>
  <c r="H30"/>
  <c r="I30"/>
  <c r="J30"/>
  <c r="K30"/>
  <c r="E32"/>
  <c r="H32"/>
  <c r="I32"/>
  <c r="J32"/>
  <c r="K32"/>
  <c r="F45"/>
  <c r="D47"/>
  <c r="F47"/>
  <c r="L47"/>
  <c r="P47"/>
  <c r="D48"/>
  <c r="E48"/>
  <c r="F48"/>
  <c r="L48"/>
  <c r="P48"/>
  <c r="D49"/>
  <c r="E49"/>
  <c r="F49"/>
  <c r="L49"/>
  <c r="P49"/>
  <c r="F50"/>
  <c r="L50"/>
  <c r="P50"/>
  <c r="Q50"/>
  <c r="R50"/>
  <c r="F51"/>
  <c r="L51"/>
  <c r="P51"/>
  <c r="Q51"/>
  <c r="R51"/>
  <c r="D52"/>
  <c r="E52"/>
  <c r="F52"/>
  <c r="D53"/>
  <c r="E53"/>
  <c r="F53"/>
  <c r="L53"/>
  <c r="P53"/>
  <c r="D54"/>
  <c r="E54"/>
  <c r="F54"/>
  <c r="L54"/>
  <c r="P54"/>
  <c r="F55"/>
  <c r="L55"/>
  <c r="P55"/>
  <c r="L56"/>
  <c r="P56"/>
  <c r="Q56"/>
  <c r="R56"/>
  <c r="C59"/>
  <c r="E60"/>
  <c r="C61"/>
  <c r="E61"/>
  <c r="C62"/>
  <c r="E62"/>
  <c r="C63"/>
  <c r="E63"/>
  <c r="C64"/>
  <c r="D64"/>
  <c r="E64"/>
  <c r="C65"/>
  <c r="D65"/>
  <c r="E65"/>
  <c r="D66"/>
  <c r="E66"/>
  <c r="C67"/>
  <c r="E67"/>
  <c r="C68"/>
  <c r="E68"/>
  <c r="C69"/>
  <c r="E69"/>
  <c r="C70"/>
  <c r="D70"/>
  <c r="E70"/>
  <c r="D71"/>
  <c r="E71"/>
  <c r="C56" i="1"/>
  <c r="O1"/>
  <c r="C1" i="61864"/>
  <c r="N73"/>
  <c r="M69" i="1"/>
  <c r="M70"/>
  <c r="M25"/>
  <c r="M27"/>
  <c r="M48"/>
  <c r="M46"/>
  <c r="M88"/>
  <c r="N114" i="61864"/>
  <c r="E13" i="61868"/>
  <c r="E71" i="61613"/>
  <c r="N70" i="61864"/>
  <c r="H69" i="1"/>
  <c r="H87"/>
  <c r="E15" i="61868"/>
  <c r="K15"/>
  <c r="N71" i="61864"/>
  <c r="K69" i="1"/>
  <c r="K25"/>
  <c r="K27"/>
  <c r="K48"/>
  <c r="N25"/>
  <c r="K46"/>
  <c r="K87"/>
  <c r="E16" i="61868"/>
  <c r="K16"/>
  <c r="M87" i="1"/>
  <c r="E18" i="61868"/>
  <c r="K18"/>
  <c r="L25" i="1"/>
  <c r="L46"/>
  <c r="L87"/>
  <c r="E17" i="61868"/>
  <c r="K17"/>
  <c r="K19"/>
  <c r="N31"/>
  <c r="C56" i="61865"/>
  <c r="O70" i="61864"/>
  <c r="H69" i="61865"/>
  <c r="H87"/>
  <c r="F15" i="61868"/>
  <c r="L15"/>
  <c r="O71" i="61864"/>
  <c r="K69" i="61865"/>
  <c r="K25"/>
  <c r="K27"/>
  <c r="K48"/>
  <c r="N25"/>
  <c r="K46"/>
  <c r="K87"/>
  <c r="F16" i="61868"/>
  <c r="L16"/>
  <c r="O73" i="61864"/>
  <c r="M69" i="61865"/>
  <c r="M25"/>
  <c r="M27"/>
  <c r="M48"/>
  <c r="M46"/>
  <c r="M87"/>
  <c r="F18" i="61868"/>
  <c r="L18"/>
  <c r="L25" i="61865"/>
  <c r="L46"/>
  <c r="L87"/>
  <c r="F17" i="61868"/>
  <c r="L17"/>
  <c r="L19"/>
  <c r="O31"/>
  <c r="I31"/>
  <c r="E70" i="61613"/>
  <c r="I63" i="61866"/>
  <c r="E69" i="61613"/>
  <c r="I62" i="61866"/>
  <c r="E68" i="61613"/>
  <c r="I61" i="61866"/>
  <c r="E67" i="61613"/>
  <c r="E66"/>
  <c r="E65"/>
  <c r="E64"/>
  <c r="I64" i="61866"/>
  <c r="E63" i="61613"/>
  <c r="I60" i="61866"/>
  <c r="E62" i="61613"/>
  <c r="I59" i="61866"/>
  <c r="E61" i="61613"/>
  <c r="D70"/>
  <c r="D65"/>
  <c r="D64"/>
  <c r="U46" i="61866"/>
  <c r="O108" i="61864"/>
  <c r="Z46" i="61866"/>
  <c r="H56" i="61865"/>
  <c r="K56"/>
  <c r="D71" i="61613"/>
  <c r="D66"/>
  <c r="C70"/>
  <c r="D54"/>
  <c r="C69"/>
  <c r="D53"/>
  <c r="C68"/>
  <c r="D52"/>
  <c r="C67"/>
  <c r="C65"/>
  <c r="C64"/>
  <c r="D49"/>
  <c r="C63"/>
  <c r="D48"/>
  <c r="C62"/>
  <c r="D47"/>
  <c r="C61"/>
  <c r="C59"/>
  <c r="E60"/>
  <c r="H23" i="61865"/>
  <c r="I23"/>
  <c r="I44"/>
  <c r="I76"/>
  <c r="F9" i="61867"/>
  <c r="I8"/>
  <c r="L9"/>
  <c r="H23" i="1"/>
  <c r="I23"/>
  <c r="I44"/>
  <c r="I76"/>
  <c r="E9" i="61867"/>
  <c r="K9"/>
  <c r="J23" i="61865"/>
  <c r="J24"/>
  <c r="J25"/>
  <c r="J26"/>
  <c r="J27"/>
  <c r="J28"/>
  <c r="J44"/>
  <c r="J76"/>
  <c r="F8" i="61867"/>
  <c r="L8"/>
  <c r="J23" i="1"/>
  <c r="J24"/>
  <c r="J25"/>
  <c r="J26"/>
  <c r="J27"/>
  <c r="J28"/>
  <c r="J44"/>
  <c r="J76"/>
  <c r="E8" i="61867"/>
  <c r="K8"/>
  <c r="F28" i="61865"/>
  <c r="F49"/>
  <c r="F94"/>
  <c r="G28"/>
  <c r="G49"/>
  <c r="G94"/>
  <c r="H28"/>
  <c r="H49"/>
  <c r="H94"/>
  <c r="I28"/>
  <c r="I49"/>
  <c r="I94"/>
  <c r="K28"/>
  <c r="K49"/>
  <c r="K94"/>
  <c r="L28"/>
  <c r="L27"/>
  <c r="L48"/>
  <c r="L49"/>
  <c r="L94"/>
  <c r="F11" i="61869"/>
  <c r="F12"/>
  <c r="N6"/>
  <c r="N11"/>
  <c r="M12"/>
  <c r="K26" i="61865"/>
  <c r="N26"/>
  <c r="K47"/>
  <c r="K90"/>
  <c r="F7" i="61869"/>
  <c r="L26" i="61865"/>
  <c r="L24"/>
  <c r="L47"/>
  <c r="L90"/>
  <c r="F8" i="61869"/>
  <c r="H26" i="61865"/>
  <c r="H27"/>
  <c r="H48"/>
  <c r="H47"/>
  <c r="H90"/>
  <c r="F9" i="61869"/>
  <c r="F10"/>
  <c r="N7"/>
  <c r="M10"/>
  <c r="G28" i="61868"/>
  <c r="G58" i="61866"/>
  <c r="B75" i="7576"/>
  <c r="C28" i="61865"/>
  <c r="C49"/>
  <c r="C94"/>
  <c r="D28"/>
  <c r="D49"/>
  <c r="D94"/>
  <c r="M28"/>
  <c r="M49"/>
  <c r="M94"/>
  <c r="N94"/>
  <c r="L72" i="7576"/>
  <c r="L70"/>
  <c r="M70"/>
  <c r="N70"/>
  <c r="G32"/>
  <c r="F5"/>
  <c r="F42"/>
  <c r="E37"/>
  <c r="B36"/>
  <c r="G36"/>
  <c r="L10" i="61867"/>
  <c r="N17"/>
  <c r="H17"/>
  <c r="F17"/>
  <c r="K10"/>
  <c r="M17"/>
  <c r="G17"/>
  <c r="E17"/>
  <c r="J22" i="61865"/>
  <c r="J43"/>
  <c r="J75"/>
  <c r="F6" i="61867"/>
  <c r="I6"/>
  <c r="L6"/>
  <c r="L7"/>
  <c r="N16"/>
  <c r="H16"/>
  <c r="F16"/>
  <c r="J22" i="1"/>
  <c r="J43"/>
  <c r="J75"/>
  <c r="E6" i="61867"/>
  <c r="K6"/>
  <c r="K7"/>
  <c r="M16"/>
  <c r="G16"/>
  <c r="E16"/>
  <c r="F13" i="61869"/>
  <c r="M14"/>
  <c r="N22"/>
  <c r="H22"/>
  <c r="F22"/>
  <c r="E13"/>
  <c r="L14"/>
  <c r="M22"/>
  <c r="G22"/>
  <c r="E22"/>
  <c r="N21"/>
  <c r="H21"/>
  <c r="F21"/>
  <c r="F28" i="1"/>
  <c r="F49"/>
  <c r="F94"/>
  <c r="G28"/>
  <c r="G49"/>
  <c r="G94"/>
  <c r="H28"/>
  <c r="H49"/>
  <c r="H94"/>
  <c r="I28"/>
  <c r="I49"/>
  <c r="I94"/>
  <c r="K28"/>
  <c r="K49"/>
  <c r="K94"/>
  <c r="L28"/>
  <c r="L27"/>
  <c r="L48"/>
  <c r="L49"/>
  <c r="L94"/>
  <c r="E11" i="61869"/>
  <c r="E12"/>
  <c r="L12"/>
  <c r="M21"/>
  <c r="G21"/>
  <c r="E21"/>
  <c r="N20"/>
  <c r="H20"/>
  <c r="F20"/>
  <c r="K26" i="1"/>
  <c r="N26"/>
  <c r="K47"/>
  <c r="K90"/>
  <c r="E7" i="61869"/>
  <c r="L26" i="1"/>
  <c r="L24"/>
  <c r="L47"/>
  <c r="L90"/>
  <c r="E8" i="61869"/>
  <c r="H26" i="1"/>
  <c r="H27"/>
  <c r="H48"/>
  <c r="H47"/>
  <c r="H90"/>
  <c r="E9" i="61869"/>
  <c r="E10"/>
  <c r="L10"/>
  <c r="M20"/>
  <c r="G20"/>
  <c r="E20"/>
  <c r="B77" i="7576"/>
  <c r="B70"/>
  <c r="B50"/>
  <c r="B52"/>
  <c r="B55"/>
  <c r="B59"/>
  <c r="B68"/>
  <c r="E67"/>
  <c r="B66"/>
  <c r="B64"/>
  <c r="B62"/>
  <c r="B48"/>
  <c r="B46"/>
  <c r="B44"/>
  <c r="E12"/>
  <c r="B9"/>
  <c r="E19"/>
  <c r="B17"/>
  <c r="E22"/>
  <c r="B20"/>
  <c r="B34"/>
  <c r="B27"/>
  <c r="E26"/>
  <c r="B25"/>
  <c r="E24"/>
  <c r="B23"/>
  <c r="E16"/>
  <c r="B15"/>
  <c r="E14"/>
  <c r="B13"/>
  <c r="E8"/>
  <c r="B7"/>
  <c r="K56" i="1"/>
  <c r="P77" i="7576"/>
  <c r="D3" i="61613"/>
  <c r="C4"/>
  <c r="J94" i="1"/>
  <c r="Q31" i="61868"/>
  <c r="I34"/>
  <c r="P31"/>
  <c r="H34"/>
  <c r="M70" i="61865"/>
  <c r="M88"/>
  <c r="O114" i="61864"/>
  <c r="F13" i="61868"/>
  <c r="L13"/>
  <c r="L14"/>
  <c r="O30"/>
  <c r="Q30"/>
  <c r="I33"/>
  <c r="K13"/>
  <c r="K14"/>
  <c r="N30"/>
  <c r="P30"/>
  <c r="H33"/>
  <c r="H70" i="61865"/>
  <c r="H88"/>
  <c r="F8" i="61868"/>
  <c r="V9"/>
  <c r="L8"/>
  <c r="K70" i="61865"/>
  <c r="K88"/>
  <c r="F9" i="61868"/>
  <c r="L9"/>
  <c r="F11"/>
  <c r="L11"/>
  <c r="L88" i="61865"/>
  <c r="F10" i="61868"/>
  <c r="L10"/>
  <c r="L12"/>
  <c r="O29"/>
  <c r="Q29"/>
  <c r="I32"/>
  <c r="H70" i="1"/>
  <c r="H88"/>
  <c r="E8" i="61868"/>
  <c r="K8"/>
  <c r="K70" i="1"/>
  <c r="K88"/>
  <c r="E9" i="61868"/>
  <c r="K9"/>
  <c r="E11"/>
  <c r="K11"/>
  <c r="L88" i="1"/>
  <c r="E10" i="61868"/>
  <c r="K10"/>
  <c r="K12"/>
  <c r="N29"/>
  <c r="P29"/>
  <c r="H32"/>
  <c r="N108" i="61864"/>
  <c r="Y46" i="61866"/>
  <c r="H56" i="1"/>
  <c r="H15" i="61868"/>
  <c r="H16"/>
  <c r="H17"/>
  <c r="I28"/>
  <c r="E3" i="61613"/>
  <c r="F3"/>
  <c r="G3"/>
  <c r="H3"/>
  <c r="D4"/>
  <c r="E4"/>
  <c r="F4"/>
  <c r="G4"/>
  <c r="H4"/>
  <c r="D13" i="61866"/>
  <c r="D12"/>
  <c r="D11"/>
  <c r="D10"/>
  <c r="D9"/>
  <c r="D8"/>
  <c r="D7"/>
  <c r="D21"/>
  <c r="D20"/>
  <c r="D19"/>
  <c r="D18"/>
  <c r="D17"/>
  <c r="D16"/>
  <c r="D15"/>
  <c r="D29"/>
  <c r="D28"/>
  <c r="D27"/>
  <c r="D26"/>
  <c r="D25"/>
  <c r="D24"/>
  <c r="D23"/>
  <c r="D37"/>
  <c r="D36"/>
  <c r="D35"/>
  <c r="D34"/>
  <c r="D33"/>
  <c r="D32"/>
  <c r="D31"/>
  <c r="D44"/>
  <c r="D43"/>
  <c r="D42"/>
  <c r="D41"/>
  <c r="D40"/>
  <c r="D39"/>
  <c r="D48"/>
  <c r="D47"/>
  <c r="D46"/>
  <c r="H8" i="61613"/>
  <c r="G56" i="61865"/>
  <c r="H9" i="61613"/>
  <c r="F56" i="61865"/>
  <c r="H10" i="61613"/>
  <c r="M56" i="61865"/>
  <c r="G11" i="61613"/>
  <c r="D56" i="61865"/>
  <c r="H12" i="61613"/>
  <c r="E56" i="61865"/>
  <c r="H13" i="61613"/>
  <c r="D19"/>
  <c r="F20"/>
  <c r="G20"/>
  <c r="H20"/>
  <c r="I20"/>
  <c r="J20"/>
  <c r="F21"/>
  <c r="G21"/>
  <c r="H21"/>
  <c r="I21"/>
  <c r="J21"/>
  <c r="K21"/>
  <c r="L21"/>
  <c r="M21"/>
  <c r="E22"/>
  <c r="H22"/>
  <c r="I22"/>
  <c r="J22"/>
  <c r="K22"/>
  <c r="E23"/>
  <c r="H23"/>
  <c r="I23"/>
  <c r="J23"/>
  <c r="K23"/>
  <c r="E25"/>
  <c r="H25"/>
  <c r="I25"/>
  <c r="J25"/>
  <c r="K25"/>
  <c r="E26"/>
  <c r="H26"/>
  <c r="I26"/>
  <c r="J26"/>
  <c r="K26"/>
  <c r="E28"/>
  <c r="H28"/>
  <c r="I28"/>
  <c r="J28"/>
  <c r="K28"/>
  <c r="E29"/>
  <c r="H29"/>
  <c r="I29"/>
  <c r="J29"/>
  <c r="K29"/>
  <c r="E30"/>
  <c r="H30"/>
  <c r="I30"/>
  <c r="J30"/>
  <c r="K30"/>
  <c r="E32"/>
  <c r="H32"/>
  <c r="I32"/>
  <c r="J32"/>
  <c r="K32"/>
  <c r="F45"/>
  <c r="F47"/>
  <c r="L47"/>
  <c r="P47"/>
  <c r="E48"/>
  <c r="F48"/>
  <c r="L48"/>
  <c r="P48"/>
  <c r="E49"/>
  <c r="F49"/>
  <c r="L49"/>
  <c r="P49"/>
  <c r="F50"/>
  <c r="L50"/>
  <c r="P50"/>
  <c r="Q50"/>
  <c r="R50"/>
  <c r="F51"/>
  <c r="L51"/>
  <c r="P51"/>
  <c r="Q51"/>
  <c r="R51"/>
  <c r="E52"/>
  <c r="F52"/>
  <c r="E53"/>
  <c r="F53"/>
  <c r="L53"/>
  <c r="P53"/>
  <c r="E54"/>
  <c r="F54"/>
  <c r="L54"/>
  <c r="P54"/>
  <c r="F55"/>
  <c r="L55"/>
  <c r="P55"/>
  <c r="L56"/>
  <c r="P56"/>
  <c r="Q56"/>
  <c r="R56"/>
  <c r="D5" i="61869"/>
  <c r="E6"/>
  <c r="F6"/>
  <c r="I6"/>
  <c r="L6"/>
  <c r="M6"/>
  <c r="D7"/>
  <c r="H7"/>
  <c r="I7"/>
  <c r="O7"/>
  <c r="P7"/>
  <c r="Q7"/>
  <c r="R7"/>
  <c r="D8"/>
  <c r="H8"/>
  <c r="I8"/>
  <c r="D9"/>
  <c r="C10"/>
  <c r="D11"/>
  <c r="J94" i="61865"/>
  <c r="O11" i="61869"/>
  <c r="P11"/>
  <c r="Q11"/>
  <c r="R11"/>
  <c r="C12"/>
  <c r="D13"/>
  <c r="E14"/>
  <c r="F14"/>
  <c r="D18"/>
  <c r="F19"/>
  <c r="H19"/>
  <c r="Q1" i="61867"/>
  <c r="R1"/>
  <c r="S1"/>
  <c r="T1"/>
  <c r="U1"/>
  <c r="V1"/>
  <c r="D4"/>
  <c r="E5"/>
  <c r="F5"/>
  <c r="I5"/>
  <c r="K5"/>
  <c r="L5"/>
  <c r="Q5"/>
  <c r="R5"/>
  <c r="S5"/>
  <c r="T5"/>
  <c r="U5"/>
  <c r="V5"/>
  <c r="Q6"/>
  <c r="R6"/>
  <c r="S6"/>
  <c r="T6"/>
  <c r="U6"/>
  <c r="V6"/>
  <c r="D8"/>
  <c r="E10"/>
  <c r="G8"/>
  <c r="F10"/>
  <c r="M8"/>
  <c r="O8"/>
  <c r="Q8"/>
  <c r="R8"/>
  <c r="S8"/>
  <c r="T8"/>
  <c r="U8"/>
  <c r="V8"/>
  <c r="D9"/>
  <c r="D14"/>
  <c r="F15"/>
  <c r="H15"/>
  <c r="P3" i="61868"/>
  <c r="Q3"/>
  <c r="R3"/>
  <c r="S3"/>
  <c r="T3"/>
  <c r="V3"/>
  <c r="W3"/>
  <c r="X3"/>
  <c r="D6"/>
  <c r="E7"/>
  <c r="F7"/>
  <c r="H7"/>
  <c r="J7"/>
  <c r="K7"/>
  <c r="L7"/>
  <c r="P7"/>
  <c r="Q7"/>
  <c r="R7"/>
  <c r="S7"/>
  <c r="T7"/>
  <c r="V7"/>
  <c r="W7"/>
  <c r="X7"/>
  <c r="D8"/>
  <c r="E12"/>
  <c r="I8"/>
  <c r="F12"/>
  <c r="J8"/>
  <c r="D9"/>
  <c r="I9"/>
  <c r="J9"/>
  <c r="M9"/>
  <c r="N9"/>
  <c r="W9"/>
  <c r="X9"/>
  <c r="D10"/>
  <c r="I10"/>
  <c r="J10"/>
  <c r="D11"/>
  <c r="P13"/>
  <c r="Q13"/>
  <c r="R13"/>
  <c r="E14"/>
  <c r="F14"/>
  <c r="D15"/>
  <c r="E19"/>
  <c r="I15"/>
  <c r="F19"/>
  <c r="J15"/>
  <c r="I16"/>
  <c r="J16"/>
  <c r="P16"/>
  <c r="R16"/>
  <c r="T16"/>
  <c r="D17"/>
  <c r="I17"/>
  <c r="J17"/>
  <c r="D18"/>
  <c r="D27"/>
  <c r="D4" i="61866"/>
  <c r="E5"/>
  <c r="F5"/>
  <c r="I5"/>
  <c r="K5"/>
  <c r="L5"/>
  <c r="P5"/>
  <c r="Q5"/>
  <c r="R5"/>
  <c r="S5"/>
  <c r="U7"/>
  <c r="G7"/>
  <c r="N74" i="61864"/>
  <c r="V7" i="61866"/>
  <c r="N118" i="61864"/>
  <c r="H7" i="61866"/>
  <c r="O74" i="61864"/>
  <c r="O118"/>
  <c r="I7" i="61866"/>
  <c r="M7"/>
  <c r="N7"/>
  <c r="U8"/>
  <c r="G8"/>
  <c r="N75" i="61864"/>
  <c r="V8" i="61866"/>
  <c r="H8"/>
  <c r="O75" i="61864"/>
  <c r="I8" i="61866"/>
  <c r="M8"/>
  <c r="N8"/>
  <c r="G56" i="1"/>
  <c r="U9" i="61866"/>
  <c r="G9"/>
  <c r="N76" i="61864"/>
  <c r="V9" i="61866"/>
  <c r="H9"/>
  <c r="O76" i="61864"/>
  <c r="I9" i="61866"/>
  <c r="M9"/>
  <c r="N9"/>
  <c r="F56" i="1"/>
  <c r="U10" i="61866"/>
  <c r="G10"/>
  <c r="N77" i="61864"/>
  <c r="V10" i="61866"/>
  <c r="H10"/>
  <c r="O77" i="61864"/>
  <c r="I10" i="61866"/>
  <c r="M10"/>
  <c r="N10"/>
  <c r="M56" i="1"/>
  <c r="U11" i="61866"/>
  <c r="G11"/>
  <c r="N78" i="61864"/>
  <c r="V11" i="61866"/>
  <c r="H11"/>
  <c r="O78" i="61864"/>
  <c r="I11" i="61866"/>
  <c r="M11"/>
  <c r="N11"/>
  <c r="D56" i="1"/>
  <c r="U12" i="61866"/>
  <c r="G12"/>
  <c r="N79" i="61864"/>
  <c r="V12" i="61866"/>
  <c r="H12"/>
  <c r="O79" i="61864"/>
  <c r="I12" i="61866"/>
  <c r="M12"/>
  <c r="N12"/>
  <c r="E56" i="1"/>
  <c r="U13" i="61866"/>
  <c r="G13"/>
  <c r="N80" i="61864"/>
  <c r="V13" i="61866"/>
  <c r="H13"/>
  <c r="O80" i="61864"/>
  <c r="I13" i="61866"/>
  <c r="M13"/>
  <c r="N13"/>
  <c r="C14"/>
  <c r="U15"/>
  <c r="G15"/>
  <c r="N81" i="61864"/>
  <c r="V15" i="61866"/>
  <c r="N120" i="61864"/>
  <c r="H15" i="61866"/>
  <c r="O81" i="61864"/>
  <c r="O120"/>
  <c r="I15" i="61866"/>
  <c r="M15"/>
  <c r="N15"/>
  <c r="U16"/>
  <c r="G16"/>
  <c r="N82" i="61864"/>
  <c r="V16" i="61866"/>
  <c r="H16"/>
  <c r="O82" i="61864"/>
  <c r="I16" i="61866"/>
  <c r="M16"/>
  <c r="N16"/>
  <c r="U17"/>
  <c r="G17"/>
  <c r="N83" i="61864"/>
  <c r="V17" i="61866"/>
  <c r="H17"/>
  <c r="O83" i="61864"/>
  <c r="I17" i="61866"/>
  <c r="M17"/>
  <c r="N17"/>
  <c r="U18"/>
  <c r="G18"/>
  <c r="N84" i="61864"/>
  <c r="V18" i="61866"/>
  <c r="H18"/>
  <c r="O84" i="61864"/>
  <c r="I18" i="61866"/>
  <c r="M18"/>
  <c r="N18"/>
  <c r="U19"/>
  <c r="G19"/>
  <c r="N85" i="61864"/>
  <c r="V19" i="61866"/>
  <c r="H19"/>
  <c r="O85" i="61864"/>
  <c r="I19" i="61866"/>
  <c r="M19"/>
  <c r="N19"/>
  <c r="U20"/>
  <c r="G20"/>
  <c r="N86" i="61864"/>
  <c r="V20" i="61866"/>
  <c r="H20"/>
  <c r="O86" i="61864"/>
  <c r="I20" i="61866"/>
  <c r="M20"/>
  <c r="N20"/>
  <c r="U21"/>
  <c r="G21"/>
  <c r="N87" i="61864"/>
  <c r="V21" i="61866"/>
  <c r="H21"/>
  <c r="O87" i="61864"/>
  <c r="I21" i="61866"/>
  <c r="M21"/>
  <c r="N21"/>
  <c r="C22"/>
  <c r="U23"/>
  <c r="G23"/>
  <c r="N88" i="61864"/>
  <c r="V23" i="61866"/>
  <c r="N119" i="61864"/>
  <c r="H23" i="61866"/>
  <c r="O88" i="61864"/>
  <c r="O119"/>
  <c r="I23" i="61866"/>
  <c r="M23"/>
  <c r="N23"/>
  <c r="U24"/>
  <c r="G24"/>
  <c r="N89" i="61864"/>
  <c r="V24" i="61866"/>
  <c r="H24"/>
  <c r="O89" i="61864"/>
  <c r="I24" i="61866"/>
  <c r="M24"/>
  <c r="N24"/>
  <c r="U25"/>
  <c r="G25"/>
  <c r="N90" i="61864"/>
  <c r="V25" i="61866"/>
  <c r="H25"/>
  <c r="O90" i="61864"/>
  <c r="I25" i="61866"/>
  <c r="M25"/>
  <c r="N25"/>
  <c r="U26"/>
  <c r="G26"/>
  <c r="N91" i="61864"/>
  <c r="V26" i="61866"/>
  <c r="H26"/>
  <c r="O91" i="61864"/>
  <c r="I26" i="61866"/>
  <c r="M26"/>
  <c r="N26"/>
  <c r="U27"/>
  <c r="G27"/>
  <c r="N92" i="61864"/>
  <c r="V27" i="61866"/>
  <c r="H27"/>
  <c r="O92" i="61864"/>
  <c r="I27" i="61866"/>
  <c r="M27"/>
  <c r="N27"/>
  <c r="U28"/>
  <c r="G28"/>
  <c r="N93" i="61864"/>
  <c r="V28" i="61866"/>
  <c r="H28"/>
  <c r="O93" i="61864"/>
  <c r="I28" i="61866"/>
  <c r="M28"/>
  <c r="N28"/>
  <c r="U29"/>
  <c r="G29"/>
  <c r="N94" i="61864"/>
  <c r="V29" i="61866"/>
  <c r="H29"/>
  <c r="O94" i="61864"/>
  <c r="I29" i="61866"/>
  <c r="M29"/>
  <c r="N29"/>
  <c r="C30"/>
  <c r="U31"/>
  <c r="G31"/>
  <c r="N95" i="61864"/>
  <c r="V31" i="61866"/>
  <c r="N122" i="61864"/>
  <c r="H31" i="61866"/>
  <c r="O95" i="61864"/>
  <c r="O122"/>
  <c r="I31" i="61866"/>
  <c r="M31"/>
  <c r="N31"/>
  <c r="U32"/>
  <c r="G32"/>
  <c r="N96" i="61864"/>
  <c r="V32" i="61866"/>
  <c r="H32"/>
  <c r="O96" i="61864"/>
  <c r="I32" i="61866"/>
  <c r="M32"/>
  <c r="N32"/>
  <c r="U33"/>
  <c r="G33"/>
  <c r="N97" i="61864"/>
  <c r="V33" i="61866"/>
  <c r="H33"/>
  <c r="O97" i="61864"/>
  <c r="I33" i="61866"/>
  <c r="M33"/>
  <c r="N33"/>
  <c r="U34"/>
  <c r="G34"/>
  <c r="N98" i="61864"/>
  <c r="V34" i="61866"/>
  <c r="H34"/>
  <c r="O98" i="61864"/>
  <c r="I34" i="61866"/>
  <c r="M34"/>
  <c r="N34"/>
  <c r="U35"/>
  <c r="G35"/>
  <c r="N99" i="61864"/>
  <c r="V35" i="61866"/>
  <c r="H35"/>
  <c r="O99" i="61864"/>
  <c r="I35" i="61866"/>
  <c r="M35"/>
  <c r="N35"/>
  <c r="U36"/>
  <c r="G36"/>
  <c r="N100" i="61864"/>
  <c r="V36" i="61866"/>
  <c r="H36"/>
  <c r="O100" i="61864"/>
  <c r="I36" i="61866"/>
  <c r="M36"/>
  <c r="N36"/>
  <c r="U37"/>
  <c r="G37"/>
  <c r="N101" i="61864"/>
  <c r="V37" i="61866"/>
  <c r="H37"/>
  <c r="O101" i="61864"/>
  <c r="I37" i="61866"/>
  <c r="M37"/>
  <c r="N37"/>
  <c r="C38"/>
  <c r="U39"/>
  <c r="G39"/>
  <c r="N102" i="61864"/>
  <c r="V39" i="61866"/>
  <c r="N121" i="61864"/>
  <c r="H39" i="61866"/>
  <c r="O102" i="61864"/>
  <c r="O121"/>
  <c r="I39" i="61866"/>
  <c r="M39"/>
  <c r="N39"/>
  <c r="U40"/>
  <c r="G40"/>
  <c r="N103" i="61864"/>
  <c r="V40" i="61866"/>
  <c r="H40"/>
  <c r="O103" i="61864"/>
  <c r="I40" i="61866"/>
  <c r="M40"/>
  <c r="N40"/>
  <c r="U41"/>
  <c r="G41"/>
  <c r="N104" i="61864"/>
  <c r="V41" i="61866"/>
  <c r="H41"/>
  <c r="O104" i="61864"/>
  <c r="I41" i="61866"/>
  <c r="M41"/>
  <c r="N41"/>
  <c r="U42"/>
  <c r="G42"/>
  <c r="N105" i="61864"/>
  <c r="V42" i="61866"/>
  <c r="H42"/>
  <c r="O105" i="61864"/>
  <c r="I42" i="61866"/>
  <c r="M42"/>
  <c r="N42"/>
  <c r="U43"/>
  <c r="G43"/>
  <c r="N106" i="61864"/>
  <c r="V43" i="61866"/>
  <c r="H43"/>
  <c r="O106" i="61864"/>
  <c r="I43" i="61866"/>
  <c r="M43"/>
  <c r="N43"/>
  <c r="U44"/>
  <c r="G44"/>
  <c r="N107" i="61864"/>
  <c r="V44" i="61866"/>
  <c r="H44"/>
  <c r="O107" i="61864"/>
  <c r="I44" i="61866"/>
  <c r="M44"/>
  <c r="N44"/>
  <c r="C45"/>
  <c r="N109" i="61864"/>
  <c r="H46" i="61866"/>
  <c r="O109" i="61864"/>
  <c r="I46" i="61866"/>
  <c r="V46"/>
  <c r="M46"/>
  <c r="N46"/>
  <c r="Y47"/>
  <c r="Z47"/>
  <c r="U47"/>
  <c r="N110" i="61864"/>
  <c r="H47" i="61866"/>
  <c r="O110" i="61864"/>
  <c r="I47" i="61866"/>
  <c r="V47"/>
  <c r="M47"/>
  <c r="N47"/>
  <c r="U48"/>
  <c r="G48"/>
  <c r="N111" i="61864"/>
  <c r="V48" i="61866"/>
  <c r="N124" i="61864"/>
  <c r="H48" i="61866"/>
  <c r="O111" i="61864"/>
  <c r="O124"/>
  <c r="I48" i="61866"/>
  <c r="M48"/>
  <c r="N48"/>
  <c r="C49"/>
  <c r="D50"/>
  <c r="U50"/>
  <c r="N112" i="61864"/>
  <c r="H50" i="61866"/>
  <c r="O112" i="61864"/>
  <c r="I50" i="61866"/>
  <c r="V50"/>
  <c r="M50"/>
  <c r="N50"/>
  <c r="D51"/>
  <c r="U51"/>
  <c r="N113" i="61864"/>
  <c r="H51" i="61866"/>
  <c r="O113" i="61864"/>
  <c r="I51" i="61866"/>
  <c r="V51"/>
  <c r="M51"/>
  <c r="N51"/>
  <c r="C52"/>
  <c r="D57"/>
  <c r="I58"/>
  <c r="M59"/>
  <c r="M60"/>
  <c r="M61"/>
  <c r="M62"/>
  <c r="M63"/>
  <c r="M64"/>
  <c r="I65"/>
  <c r="M65"/>
  <c r="J6" i="7576"/>
  <c r="K6"/>
  <c r="L6"/>
  <c r="O6"/>
  <c r="S6"/>
  <c r="D7"/>
  <c r="C22" i="61865"/>
  <c r="C43"/>
  <c r="C23"/>
  <c r="C44"/>
  <c r="C24"/>
  <c r="C45"/>
  <c r="C25"/>
  <c r="C27"/>
  <c r="C48"/>
  <c r="C46"/>
  <c r="C26"/>
  <c r="C47"/>
  <c r="C50"/>
  <c r="L7" i="7576"/>
  <c r="M7"/>
  <c r="N7"/>
  <c r="D9"/>
  <c r="F22" i="61865"/>
  <c r="F43"/>
  <c r="F23"/>
  <c r="F44"/>
  <c r="F24"/>
  <c r="F27"/>
  <c r="F48"/>
  <c r="F45"/>
  <c r="F25"/>
  <c r="F46"/>
  <c r="F26"/>
  <c r="F47"/>
  <c r="F50"/>
  <c r="L9" i="7576"/>
  <c r="F22" i="1"/>
  <c r="F43"/>
  <c r="F23"/>
  <c r="F44"/>
  <c r="F24"/>
  <c r="F27"/>
  <c r="F48"/>
  <c r="F45"/>
  <c r="F25"/>
  <c r="F46"/>
  <c r="F26"/>
  <c r="F47"/>
  <c r="F50"/>
  <c r="R9" i="7576"/>
  <c r="S9"/>
  <c r="T9"/>
  <c r="U9"/>
  <c r="D13"/>
  <c r="G22" i="61865"/>
  <c r="G43"/>
  <c r="G23"/>
  <c r="G44"/>
  <c r="G24"/>
  <c r="G27"/>
  <c r="G48"/>
  <c r="G45"/>
  <c r="G25"/>
  <c r="G46"/>
  <c r="G26"/>
  <c r="G47"/>
  <c r="G50"/>
  <c r="L13" i="7576"/>
  <c r="M13"/>
  <c r="N13"/>
  <c r="D15"/>
  <c r="D17"/>
  <c r="D18"/>
  <c r="K18"/>
  <c r="D20"/>
  <c r="D21"/>
  <c r="J29" i="61865"/>
  <c r="J21" i="7576"/>
  <c r="K21"/>
  <c r="D23"/>
  <c r="D25"/>
  <c r="L22" i="61865"/>
  <c r="L43"/>
  <c r="L23"/>
  <c r="L44"/>
  <c r="L50"/>
  <c r="L25" i="7576"/>
  <c r="M25"/>
  <c r="N25"/>
  <c r="D27"/>
  <c r="E49" i="61865"/>
  <c r="E94"/>
  <c r="C28" i="1"/>
  <c r="C49"/>
  <c r="C94"/>
  <c r="D28"/>
  <c r="D49"/>
  <c r="D94"/>
  <c r="E49"/>
  <c r="E94"/>
  <c r="M28"/>
  <c r="M49"/>
  <c r="M94"/>
  <c r="N94"/>
  <c r="O28" i="7576"/>
  <c r="L43"/>
  <c r="R43"/>
  <c r="S43"/>
  <c r="V43"/>
  <c r="P44"/>
  <c r="U44"/>
  <c r="V44"/>
  <c r="P46"/>
  <c r="P48"/>
  <c r="P50"/>
  <c r="P52"/>
  <c r="H22" i="1"/>
  <c r="I22"/>
  <c r="I43"/>
  <c r="I75"/>
  <c r="I56" i="7576"/>
  <c r="N24" i="61865"/>
  <c r="K24"/>
  <c r="K45"/>
  <c r="L60" i="7576"/>
  <c r="U62"/>
  <c r="V62"/>
  <c r="G70"/>
  <c r="O1" i="61864"/>
  <c r="N3"/>
  <c r="O3"/>
  <c r="N4"/>
  <c r="O4"/>
  <c r="N5"/>
  <c r="O5"/>
  <c r="N6"/>
  <c r="O6"/>
  <c r="N7"/>
  <c r="O7"/>
  <c r="N8"/>
  <c r="O8"/>
  <c r="N9"/>
  <c r="O9"/>
  <c r="N10"/>
  <c r="O10"/>
  <c r="N11"/>
  <c r="O11"/>
  <c r="N12"/>
  <c r="O12"/>
  <c r="N13"/>
  <c r="O13"/>
  <c r="N14"/>
  <c r="O14"/>
  <c r="N15"/>
  <c r="O15"/>
  <c r="N16"/>
  <c r="O16"/>
  <c r="N17"/>
  <c r="O17"/>
  <c r="N18"/>
  <c r="O18"/>
  <c r="N19"/>
  <c r="O19"/>
  <c r="N20"/>
  <c r="O20"/>
  <c r="N21"/>
  <c r="O21"/>
  <c r="N22"/>
  <c r="O22"/>
  <c r="N23"/>
  <c r="O23"/>
  <c r="N24"/>
  <c r="O24"/>
  <c r="N25"/>
  <c r="O25"/>
  <c r="N26"/>
  <c r="O26"/>
  <c r="N27"/>
  <c r="O27"/>
  <c r="N28"/>
  <c r="O28"/>
  <c r="N29"/>
  <c r="O29"/>
  <c r="N30"/>
  <c r="O30"/>
  <c r="N31"/>
  <c r="O31"/>
  <c r="N32"/>
  <c r="O32"/>
  <c r="N33"/>
  <c r="O33"/>
  <c r="N34"/>
  <c r="O34"/>
  <c r="N35"/>
  <c r="O35"/>
  <c r="N36"/>
  <c r="O36"/>
  <c r="N37"/>
  <c r="O37"/>
  <c r="N38"/>
  <c r="O38"/>
  <c r="N39"/>
  <c r="O39"/>
  <c r="N40"/>
  <c r="O40"/>
  <c r="N41"/>
  <c r="O41"/>
  <c r="N42"/>
  <c r="O42"/>
  <c r="N43"/>
  <c r="O43"/>
  <c r="N44"/>
  <c r="O44"/>
  <c r="N45"/>
  <c r="O45"/>
  <c r="N46"/>
  <c r="O46"/>
  <c r="N47"/>
  <c r="O47"/>
  <c r="N48"/>
  <c r="O48"/>
  <c r="N49"/>
  <c r="O49"/>
  <c r="N50"/>
  <c r="O50"/>
  <c r="N51"/>
  <c r="O51"/>
  <c r="N52"/>
  <c r="O52"/>
  <c r="N53"/>
  <c r="O53"/>
  <c r="N54"/>
  <c r="O54"/>
  <c r="N55"/>
  <c r="O55"/>
  <c r="N56"/>
  <c r="O56"/>
  <c r="N57"/>
  <c r="O57"/>
  <c r="N58"/>
  <c r="O58"/>
  <c r="N59"/>
  <c r="O59"/>
  <c r="N60"/>
  <c r="O60"/>
  <c r="N61"/>
  <c r="O61"/>
  <c r="N62"/>
  <c r="O62"/>
  <c r="N63"/>
  <c r="O63"/>
  <c r="N64"/>
  <c r="O64"/>
  <c r="N65"/>
  <c r="O65"/>
  <c r="N66"/>
  <c r="O66"/>
  <c r="N67"/>
  <c r="O67"/>
  <c r="N68"/>
  <c r="O68"/>
  <c r="N69"/>
  <c r="O69"/>
  <c r="N72"/>
  <c r="O72"/>
  <c r="N123"/>
  <c r="O123"/>
  <c r="N125"/>
  <c r="O125"/>
  <c r="O1" i="61865"/>
  <c r="U10"/>
  <c r="V10"/>
  <c r="U11"/>
  <c r="V11"/>
  <c r="U12"/>
  <c r="V12"/>
  <c r="U13"/>
  <c r="V13"/>
  <c r="U14"/>
  <c r="V14"/>
  <c r="U15"/>
  <c r="V15"/>
  <c r="U16"/>
  <c r="V16"/>
  <c r="U17"/>
  <c r="V17"/>
  <c r="D22"/>
  <c r="H22"/>
  <c r="I22"/>
  <c r="K22"/>
  <c r="M22"/>
  <c r="D23"/>
  <c r="K23"/>
  <c r="M23"/>
  <c r="D24"/>
  <c r="H24"/>
  <c r="I24"/>
  <c r="M24"/>
  <c r="D25"/>
  <c r="H25"/>
  <c r="I25"/>
  <c r="D26"/>
  <c r="I26"/>
  <c r="M26"/>
  <c r="D27"/>
  <c r="I27"/>
  <c r="C29"/>
  <c r="D29"/>
  <c r="E29"/>
  <c r="F29"/>
  <c r="G29"/>
  <c r="H29"/>
  <c r="I29"/>
  <c r="K29"/>
  <c r="L29"/>
  <c r="M29"/>
  <c r="N29"/>
  <c r="O29"/>
  <c r="B43"/>
  <c r="D43"/>
  <c r="E43"/>
  <c r="I43"/>
  <c r="K43"/>
  <c r="M43"/>
  <c r="B44"/>
  <c r="D44"/>
  <c r="E44"/>
  <c r="K44"/>
  <c r="M44"/>
  <c r="B45"/>
  <c r="D48"/>
  <c r="D45"/>
  <c r="E45"/>
  <c r="H45"/>
  <c r="I45"/>
  <c r="M45"/>
  <c r="B46"/>
  <c r="D46"/>
  <c r="E46"/>
  <c r="I46"/>
  <c r="B47"/>
  <c r="D47"/>
  <c r="E47"/>
  <c r="I47"/>
  <c r="M47"/>
  <c r="E48"/>
  <c r="I48"/>
  <c r="D50"/>
  <c r="E50"/>
  <c r="H50"/>
  <c r="I50"/>
  <c r="J50"/>
  <c r="K50"/>
  <c r="M50"/>
  <c r="N50"/>
  <c r="I57"/>
  <c r="J57"/>
  <c r="L57"/>
  <c r="I63"/>
  <c r="J63"/>
  <c r="L63"/>
  <c r="D64" a="1"/>
  <c r="D64"/>
  <c r="D65"/>
  <c r="D66"/>
  <c r="D67"/>
  <c r="E64" a="1"/>
  <c r="E64"/>
  <c r="E65"/>
  <c r="E66"/>
  <c r="E67"/>
  <c r="F64" a="1"/>
  <c r="F64"/>
  <c r="F65"/>
  <c r="F66"/>
  <c r="F67"/>
  <c r="G64" a="1"/>
  <c r="G64"/>
  <c r="G65"/>
  <c r="G66"/>
  <c r="G67"/>
  <c r="H64" a="1"/>
  <c r="H64"/>
  <c r="H65"/>
  <c r="H66"/>
  <c r="H67"/>
  <c r="K64" a="1"/>
  <c r="K64"/>
  <c r="K65"/>
  <c r="K66"/>
  <c r="K67"/>
  <c r="M64" a="1"/>
  <c r="M64"/>
  <c r="M65"/>
  <c r="M66"/>
  <c r="M67"/>
  <c r="C68"/>
  <c r="D68"/>
  <c r="E68"/>
  <c r="F68"/>
  <c r="G68"/>
  <c r="H68"/>
  <c r="I68"/>
  <c r="J68"/>
  <c r="K68"/>
  <c r="L68"/>
  <c r="M68"/>
  <c r="C69"/>
  <c r="F69"/>
  <c r="G69"/>
  <c r="C70"/>
  <c r="D70"/>
  <c r="E70"/>
  <c r="F70"/>
  <c r="G70"/>
  <c r="C75"/>
  <c r="D75"/>
  <c r="E75"/>
  <c r="F75"/>
  <c r="G75"/>
  <c r="H75"/>
  <c r="I75"/>
  <c r="K75"/>
  <c r="L75"/>
  <c r="M75"/>
  <c r="N75"/>
  <c r="C76"/>
  <c r="D76"/>
  <c r="E76"/>
  <c r="F76"/>
  <c r="G76"/>
  <c r="H76"/>
  <c r="K76"/>
  <c r="L76"/>
  <c r="M76"/>
  <c r="N76"/>
  <c r="A78"/>
  <c r="B78"/>
  <c r="C78"/>
  <c r="I78"/>
  <c r="J78"/>
  <c r="L78"/>
  <c r="A79"/>
  <c r="B79"/>
  <c r="C79"/>
  <c r="I79"/>
  <c r="J79"/>
  <c r="L79"/>
  <c r="A80"/>
  <c r="B80"/>
  <c r="C80"/>
  <c r="I80"/>
  <c r="J80"/>
  <c r="L80"/>
  <c r="A81"/>
  <c r="B81"/>
  <c r="C81"/>
  <c r="I81"/>
  <c r="J81"/>
  <c r="L81"/>
  <c r="A82"/>
  <c r="B82"/>
  <c r="C82"/>
  <c r="I82"/>
  <c r="J82"/>
  <c r="L82"/>
  <c r="A83"/>
  <c r="B83"/>
  <c r="C83"/>
  <c r="I83"/>
  <c r="J83"/>
  <c r="L83"/>
  <c r="A84"/>
  <c r="B84"/>
  <c r="C84"/>
  <c r="I84"/>
  <c r="J84"/>
  <c r="L84"/>
  <c r="A85"/>
  <c r="B85"/>
  <c r="C85"/>
  <c r="I85"/>
  <c r="J85"/>
  <c r="L85"/>
  <c r="A87"/>
  <c r="B87"/>
  <c r="C87"/>
  <c r="D87"/>
  <c r="E87"/>
  <c r="F87"/>
  <c r="G87"/>
  <c r="I87"/>
  <c r="J87"/>
  <c r="N87"/>
  <c r="A88"/>
  <c r="B88"/>
  <c r="C88"/>
  <c r="D88"/>
  <c r="E88"/>
  <c r="F88"/>
  <c r="G88"/>
  <c r="I88"/>
  <c r="J88"/>
  <c r="N88"/>
  <c r="C90"/>
  <c r="D90"/>
  <c r="E90"/>
  <c r="F90"/>
  <c r="G90"/>
  <c r="I90"/>
  <c r="J90"/>
  <c r="M90"/>
  <c r="N90"/>
  <c r="C92"/>
  <c r="D92"/>
  <c r="E92"/>
  <c r="F92"/>
  <c r="G92"/>
  <c r="H92"/>
  <c r="I92"/>
  <c r="J92"/>
  <c r="K92"/>
  <c r="L92"/>
  <c r="M92"/>
  <c r="N92"/>
  <c r="C95"/>
  <c r="I95"/>
  <c r="J95"/>
  <c r="L95"/>
  <c r="U10" i="1"/>
  <c r="V10"/>
  <c r="U11"/>
  <c r="V11"/>
  <c r="U12"/>
  <c r="V12"/>
  <c r="U13"/>
  <c r="V13"/>
  <c r="U14"/>
  <c r="V14"/>
  <c r="U15"/>
  <c r="V15"/>
  <c r="U16"/>
  <c r="V16"/>
  <c r="U17"/>
  <c r="V17"/>
  <c r="C22"/>
  <c r="D22"/>
  <c r="G22"/>
  <c r="K22"/>
  <c r="L22"/>
  <c r="M22"/>
  <c r="C23"/>
  <c r="D23"/>
  <c r="G23"/>
  <c r="K23"/>
  <c r="L23"/>
  <c r="M23"/>
  <c r="C24"/>
  <c r="N24"/>
  <c r="D24"/>
  <c r="G24"/>
  <c r="H24"/>
  <c r="I24"/>
  <c r="K24"/>
  <c r="M24"/>
  <c r="C25"/>
  <c r="D25"/>
  <c r="G25"/>
  <c r="H25"/>
  <c r="I25"/>
  <c r="C26"/>
  <c r="D26"/>
  <c r="G26"/>
  <c r="I26"/>
  <c r="M26"/>
  <c r="C27"/>
  <c r="D27"/>
  <c r="G27"/>
  <c r="I27"/>
  <c r="C29"/>
  <c r="D29"/>
  <c r="E29"/>
  <c r="F29"/>
  <c r="G29"/>
  <c r="H29"/>
  <c r="I29"/>
  <c r="J29"/>
  <c r="K29"/>
  <c r="L29"/>
  <c r="M29"/>
  <c r="N29"/>
  <c r="O29"/>
  <c r="B43"/>
  <c r="C43"/>
  <c r="D43"/>
  <c r="E43"/>
  <c r="G43"/>
  <c r="K43"/>
  <c r="L43"/>
  <c r="M43"/>
  <c r="B44"/>
  <c r="C44"/>
  <c r="D44"/>
  <c r="E44"/>
  <c r="G44"/>
  <c r="K44"/>
  <c r="L44"/>
  <c r="M44"/>
  <c r="B45"/>
  <c r="C45"/>
  <c r="D48"/>
  <c r="D45"/>
  <c r="E45"/>
  <c r="G48"/>
  <c r="G45"/>
  <c r="H45"/>
  <c r="I45"/>
  <c r="K45"/>
  <c r="M45"/>
  <c r="B46"/>
  <c r="C48"/>
  <c r="C46"/>
  <c r="D46"/>
  <c r="E46"/>
  <c r="G46"/>
  <c r="I46"/>
  <c r="B47"/>
  <c r="C47"/>
  <c r="D47"/>
  <c r="E47"/>
  <c r="G47"/>
  <c r="I47"/>
  <c r="M47"/>
  <c r="E48"/>
  <c r="I48"/>
  <c r="C50"/>
  <c r="D50"/>
  <c r="E50"/>
  <c r="G50"/>
  <c r="H50"/>
  <c r="I50"/>
  <c r="J50"/>
  <c r="K50"/>
  <c r="L50"/>
  <c r="M50"/>
  <c r="N50"/>
  <c r="I57"/>
  <c r="J57"/>
  <c r="L57"/>
  <c r="I63"/>
  <c r="J63"/>
  <c r="L63"/>
  <c r="D64" a="1"/>
  <c r="D64"/>
  <c r="D65"/>
  <c r="D66"/>
  <c r="D67"/>
  <c r="E64" a="1"/>
  <c r="E64"/>
  <c r="E65"/>
  <c r="E66"/>
  <c r="E67"/>
  <c r="F64" a="1"/>
  <c r="F64"/>
  <c r="F65"/>
  <c r="F66"/>
  <c r="F67"/>
  <c r="G64" a="1"/>
  <c r="G64"/>
  <c r="G65"/>
  <c r="G66"/>
  <c r="G67"/>
  <c r="H64" a="1"/>
  <c r="H64"/>
  <c r="H65"/>
  <c r="H66"/>
  <c r="H67"/>
  <c r="K64" a="1"/>
  <c r="K64"/>
  <c r="K65"/>
  <c r="K66"/>
  <c r="K67"/>
  <c r="M64" a="1"/>
  <c r="M64"/>
  <c r="M65"/>
  <c r="M66"/>
  <c r="M67"/>
  <c r="C68"/>
  <c r="D68"/>
  <c r="E68"/>
  <c r="F68"/>
  <c r="G68"/>
  <c r="H68"/>
  <c r="I68"/>
  <c r="J68"/>
  <c r="K68"/>
  <c r="L68"/>
  <c r="M68"/>
  <c r="C69"/>
  <c r="F69"/>
  <c r="G69"/>
  <c r="C70"/>
  <c r="D70"/>
  <c r="E70"/>
  <c r="F70"/>
  <c r="G70"/>
  <c r="C75"/>
  <c r="D75"/>
  <c r="E75"/>
  <c r="F75"/>
  <c r="G75"/>
  <c r="H75"/>
  <c r="K75"/>
  <c r="L75"/>
  <c r="M75"/>
  <c r="N75"/>
  <c r="C76"/>
  <c r="D76"/>
  <c r="E76"/>
  <c r="F76"/>
  <c r="G76"/>
  <c r="H76"/>
  <c r="K76"/>
  <c r="L76"/>
  <c r="M76"/>
  <c r="N76"/>
  <c r="A78"/>
  <c r="B78"/>
  <c r="C78"/>
  <c r="I78"/>
  <c r="J78"/>
  <c r="L78"/>
  <c r="A79"/>
  <c r="B79"/>
  <c r="C79"/>
  <c r="I79"/>
  <c r="J79"/>
  <c r="L79"/>
  <c r="A80"/>
  <c r="B80"/>
  <c r="C80"/>
  <c r="I80"/>
  <c r="J80"/>
  <c r="L80"/>
  <c r="A81"/>
  <c r="B81"/>
  <c r="C81"/>
  <c r="I81"/>
  <c r="J81"/>
  <c r="L81"/>
  <c r="A82"/>
  <c r="B82"/>
  <c r="C82"/>
  <c r="I82"/>
  <c r="J82"/>
  <c r="L82"/>
  <c r="A83"/>
  <c r="B83"/>
  <c r="C83"/>
  <c r="I83"/>
  <c r="J83"/>
  <c r="L83"/>
  <c r="A84"/>
  <c r="B84"/>
  <c r="C84"/>
  <c r="I84"/>
  <c r="J84"/>
  <c r="L84"/>
  <c r="A85"/>
  <c r="B85"/>
  <c r="C85"/>
  <c r="I85"/>
  <c r="J85"/>
  <c r="L85"/>
  <c r="A87"/>
  <c r="B87"/>
  <c r="C87"/>
  <c r="D87"/>
  <c r="E87"/>
  <c r="F87"/>
  <c r="G87"/>
  <c r="I87"/>
  <c r="J87"/>
  <c r="N87"/>
  <c r="A88"/>
  <c r="B88"/>
  <c r="C88"/>
  <c r="D88"/>
  <c r="E88"/>
  <c r="F88"/>
  <c r="G88"/>
  <c r="I88"/>
  <c r="J88"/>
  <c r="N88"/>
  <c r="C90"/>
  <c r="D90"/>
  <c r="E90"/>
  <c r="F90"/>
  <c r="G90"/>
  <c r="I90"/>
  <c r="J90"/>
  <c r="M90"/>
  <c r="N90"/>
  <c r="C92"/>
  <c r="D92"/>
  <c r="E92"/>
  <c r="F92"/>
  <c r="G92"/>
  <c r="H92"/>
  <c r="I92"/>
  <c r="J92"/>
  <c r="K92"/>
  <c r="L92"/>
  <c r="M92"/>
  <c r="N92"/>
  <c r="C95"/>
  <c r="I95"/>
  <c r="J95"/>
  <c r="L95"/>
  <c r="D58" a="1"/>
  <c r="D58"/>
  <c r="D59"/>
  <c r="D60"/>
  <c r="D61"/>
  <c r="D62"/>
  <c r="D78"/>
  <c r="E58" a="1"/>
  <c r="E58"/>
  <c r="E59"/>
  <c r="E60"/>
  <c r="E61"/>
  <c r="E62"/>
  <c r="E78"/>
  <c r="F58" a="1"/>
  <c r="F58"/>
  <c r="F59"/>
  <c r="F60"/>
  <c r="F61"/>
  <c r="F62"/>
  <c r="F78"/>
  <c r="G58" a="1"/>
  <c r="G58"/>
  <c r="G59"/>
  <c r="G60"/>
  <c r="G61"/>
  <c r="G62"/>
  <c r="G78"/>
  <c r="M58" a="1"/>
  <c r="M58"/>
  <c r="M59"/>
  <c r="M60"/>
  <c r="M61"/>
  <c r="M62"/>
  <c r="M78"/>
  <c r="D79"/>
  <c r="E79"/>
  <c r="F79"/>
  <c r="G79"/>
  <c r="M79"/>
  <c r="D80"/>
  <c r="E80"/>
  <c r="F80"/>
  <c r="G80"/>
  <c r="M80"/>
  <c r="D63"/>
  <c r="D81"/>
  <c r="E63"/>
  <c r="E81"/>
  <c r="F63"/>
  <c r="F81"/>
  <c r="G63"/>
  <c r="G81"/>
  <c r="M63"/>
  <c r="M81"/>
  <c r="D82"/>
  <c r="E82"/>
  <c r="F82"/>
  <c r="G82"/>
  <c r="M82"/>
  <c r="D83"/>
  <c r="E83"/>
  <c r="F83"/>
  <c r="G83"/>
  <c r="M83"/>
  <c r="D84"/>
  <c r="E84"/>
  <c r="F84"/>
  <c r="G84"/>
  <c r="M84"/>
  <c r="D85"/>
  <c r="E85"/>
  <c r="F85"/>
  <c r="G85"/>
  <c r="M85"/>
  <c r="M95"/>
  <c r="G95"/>
  <c r="F95"/>
  <c r="E95"/>
  <c r="D95"/>
  <c r="M57"/>
  <c r="G57"/>
  <c r="F57"/>
  <c r="D58" i="61865" a="1"/>
  <c r="D58"/>
  <c r="D59"/>
  <c r="D60"/>
  <c r="D61"/>
  <c r="D62"/>
  <c r="D78"/>
  <c r="E58" a="1"/>
  <c r="E58"/>
  <c r="E59"/>
  <c r="E60"/>
  <c r="E61"/>
  <c r="E62"/>
  <c r="E78"/>
  <c r="F58" a="1"/>
  <c r="F58"/>
  <c r="F59"/>
  <c r="F60"/>
  <c r="F61"/>
  <c r="F62"/>
  <c r="F78"/>
  <c r="G58" a="1"/>
  <c r="G58"/>
  <c r="G59"/>
  <c r="G60"/>
  <c r="G61"/>
  <c r="G62"/>
  <c r="G78"/>
  <c r="M58" a="1"/>
  <c r="M58"/>
  <c r="M59"/>
  <c r="M60"/>
  <c r="M61"/>
  <c r="M62"/>
  <c r="M78"/>
  <c r="D79"/>
  <c r="E79"/>
  <c r="F79"/>
  <c r="G79"/>
  <c r="M79"/>
  <c r="D80"/>
  <c r="E80"/>
  <c r="F80"/>
  <c r="G80"/>
  <c r="M80"/>
  <c r="D63"/>
  <c r="D81"/>
  <c r="E63"/>
  <c r="E81"/>
  <c r="F63"/>
  <c r="F81"/>
  <c r="G63"/>
  <c r="G81"/>
  <c r="M63"/>
  <c r="M81"/>
  <c r="D82"/>
  <c r="E82"/>
  <c r="F82"/>
  <c r="G82"/>
  <c r="M82"/>
  <c r="D83"/>
  <c r="E83"/>
  <c r="F83"/>
  <c r="G83"/>
  <c r="M83"/>
  <c r="D84"/>
  <c r="E84"/>
  <c r="F84"/>
  <c r="G84"/>
  <c r="M84"/>
  <c r="D85"/>
  <c r="E85"/>
  <c r="F85"/>
  <c r="G85"/>
  <c r="M85"/>
  <c r="M95"/>
  <c r="G95"/>
  <c r="F95"/>
  <c r="E95"/>
  <c r="D95"/>
  <c r="M57"/>
  <c r="G57"/>
  <c r="F57"/>
  <c r="F41" i="61866"/>
  <c r="L41"/>
  <c r="F42"/>
  <c r="L42"/>
  <c r="F43"/>
  <c r="L43"/>
  <c r="F44"/>
  <c r="L44"/>
  <c r="E41"/>
  <c r="K41"/>
  <c r="E42"/>
  <c r="K42"/>
  <c r="E43"/>
  <c r="K43"/>
  <c r="E44"/>
  <c r="K44"/>
  <c r="F33"/>
  <c r="L33"/>
  <c r="F34"/>
  <c r="L34"/>
  <c r="F35"/>
  <c r="L35"/>
  <c r="F36"/>
  <c r="L36"/>
  <c r="F37"/>
  <c r="L37"/>
  <c r="E33"/>
  <c r="K33"/>
  <c r="E34"/>
  <c r="K34"/>
  <c r="E35"/>
  <c r="K35"/>
  <c r="E36"/>
  <c r="K36"/>
  <c r="E37"/>
  <c r="K37"/>
  <c r="F25"/>
  <c r="L25"/>
  <c r="F26"/>
  <c r="L26"/>
  <c r="F27"/>
  <c r="L27"/>
  <c r="F28"/>
  <c r="L28"/>
  <c r="E25"/>
  <c r="K25"/>
  <c r="E26"/>
  <c r="K26"/>
  <c r="E27"/>
  <c r="K27"/>
  <c r="E28"/>
  <c r="K28"/>
  <c r="F17"/>
  <c r="L17"/>
  <c r="F18"/>
  <c r="L18"/>
  <c r="F19"/>
  <c r="L19"/>
  <c r="F20"/>
  <c r="L20"/>
  <c r="F21"/>
  <c r="L21"/>
  <c r="E17"/>
  <c r="K17"/>
  <c r="E18"/>
  <c r="K18"/>
  <c r="E19"/>
  <c r="K19"/>
  <c r="E20"/>
  <c r="K20"/>
  <c r="E21"/>
  <c r="K21"/>
  <c r="F9"/>
  <c r="L9"/>
  <c r="F10"/>
  <c r="L10"/>
  <c r="F11"/>
  <c r="L11"/>
  <c r="F12"/>
  <c r="L12"/>
  <c r="E9"/>
  <c r="K9"/>
  <c r="E10"/>
  <c r="K10"/>
  <c r="E11"/>
  <c r="K11"/>
  <c r="E12"/>
  <c r="K12"/>
  <c r="F48"/>
  <c r="L48"/>
  <c r="P48"/>
  <c r="S48"/>
  <c r="E48"/>
  <c r="K48"/>
  <c r="O48"/>
  <c r="P44"/>
  <c r="S44"/>
  <c r="R44"/>
  <c r="O44"/>
  <c r="P43"/>
  <c r="S43"/>
  <c r="R43"/>
  <c r="O43"/>
  <c r="P42"/>
  <c r="S42"/>
  <c r="R42"/>
  <c r="O42"/>
  <c r="P41"/>
  <c r="S41"/>
  <c r="R41"/>
  <c r="O41"/>
  <c r="P37"/>
  <c r="S37"/>
  <c r="R37"/>
  <c r="O37"/>
  <c r="P36"/>
  <c r="S36"/>
  <c r="R36"/>
  <c r="O36"/>
  <c r="P35"/>
  <c r="S35"/>
  <c r="R35"/>
  <c r="O35"/>
  <c r="P34"/>
  <c r="S34"/>
  <c r="R34"/>
  <c r="O34"/>
  <c r="P33"/>
  <c r="S33"/>
  <c r="R33"/>
  <c r="O33"/>
  <c r="P25"/>
  <c r="P26"/>
  <c r="P27"/>
  <c r="P28"/>
  <c r="O25"/>
  <c r="O26"/>
  <c r="O27"/>
  <c r="O28"/>
  <c r="S28"/>
  <c r="R28"/>
  <c r="S27"/>
  <c r="R27"/>
  <c r="S26"/>
  <c r="R26"/>
  <c r="S25"/>
  <c r="R25"/>
  <c r="P17"/>
  <c r="P18"/>
  <c r="P19"/>
  <c r="P20"/>
  <c r="P21"/>
  <c r="O17"/>
  <c r="O18"/>
  <c r="O19"/>
  <c r="O20"/>
  <c r="O21"/>
  <c r="S21"/>
  <c r="R21"/>
  <c r="S20"/>
  <c r="R20"/>
  <c r="S19"/>
  <c r="R19"/>
  <c r="S18"/>
  <c r="R18"/>
  <c r="S17"/>
  <c r="R17"/>
  <c r="P9"/>
  <c r="P10"/>
  <c r="P11"/>
  <c r="P12"/>
  <c r="O9"/>
  <c r="O10"/>
  <c r="O11"/>
  <c r="O12"/>
  <c r="S12"/>
  <c r="R12"/>
  <c r="S11"/>
  <c r="R11"/>
  <c r="S10"/>
  <c r="R10"/>
  <c r="S9"/>
  <c r="R9"/>
  <c r="H11" i="61613"/>
  <c r="F9"/>
  <c r="F10"/>
  <c r="F11"/>
  <c r="F12"/>
  <c r="F13"/>
  <c r="G9"/>
  <c r="G10"/>
  <c r="G12"/>
  <c r="G13"/>
  <c r="D9"/>
  <c r="D10"/>
  <c r="D11"/>
  <c r="D12"/>
  <c r="D13"/>
  <c r="E9"/>
  <c r="E10"/>
  <c r="E11"/>
  <c r="E12"/>
  <c r="C9"/>
  <c r="C10"/>
  <c r="C11"/>
  <c r="C12"/>
  <c r="H58" i="1" a="1"/>
  <c r="H58"/>
  <c r="H59"/>
  <c r="H60"/>
  <c r="H61"/>
  <c r="H62"/>
  <c r="H78"/>
  <c r="P78"/>
  <c r="Q78"/>
  <c r="E7" i="61866"/>
  <c r="K7"/>
  <c r="E13"/>
  <c r="K13"/>
  <c r="H63" i="1"/>
  <c r="H81"/>
  <c r="E15" i="61866"/>
  <c r="K15"/>
  <c r="H85" i="1"/>
  <c r="E46" i="61866"/>
  <c r="K46"/>
  <c r="E47"/>
  <c r="K47"/>
  <c r="K49"/>
  <c r="O64"/>
  <c r="M49" i="61613"/>
  <c r="H79" i="1"/>
  <c r="H83"/>
  <c r="E31" i="61866"/>
  <c r="K31"/>
  <c r="H82" i="1"/>
  <c r="E40" i="61866"/>
  <c r="K40"/>
  <c r="O7"/>
  <c r="O13"/>
  <c r="O15"/>
  <c r="O31"/>
  <c r="O40"/>
  <c r="O46"/>
  <c r="O47"/>
  <c r="H80" i="1"/>
  <c r="E50" i="61866"/>
  <c r="K50"/>
  <c r="O50"/>
  <c r="H84" i="1"/>
  <c r="H95"/>
  <c r="H57"/>
  <c r="K58" a="1"/>
  <c r="K58"/>
  <c r="K59"/>
  <c r="K60"/>
  <c r="K61"/>
  <c r="K62"/>
  <c r="K78"/>
  <c r="E8" i="61866"/>
  <c r="K8"/>
  <c r="K14"/>
  <c r="O59"/>
  <c r="K63" i="1"/>
  <c r="K81"/>
  <c r="E16" i="61866"/>
  <c r="K16"/>
  <c r="K22"/>
  <c r="O60"/>
  <c r="K79" i="1"/>
  <c r="P79"/>
  <c r="Q79"/>
  <c r="E23" i="61866"/>
  <c r="K23"/>
  <c r="E24"/>
  <c r="K24"/>
  <c r="E29"/>
  <c r="K29"/>
  <c r="K30"/>
  <c r="O61"/>
  <c r="K83" i="1"/>
  <c r="E32" i="61866"/>
  <c r="K32"/>
  <c r="K38"/>
  <c r="O62"/>
  <c r="K82" i="1"/>
  <c r="E39" i="61866"/>
  <c r="K39"/>
  <c r="K45"/>
  <c r="O63"/>
  <c r="K80" i="1"/>
  <c r="E51" i="61866"/>
  <c r="K51"/>
  <c r="K52"/>
  <c r="O65"/>
  <c r="N78" i="1"/>
  <c r="N79"/>
  <c r="N80"/>
  <c r="N81"/>
  <c r="N82"/>
  <c r="N83"/>
  <c r="K84"/>
  <c r="N84"/>
  <c r="K85"/>
  <c r="N85"/>
  <c r="N95"/>
  <c r="N96"/>
  <c r="M96"/>
  <c r="L96"/>
  <c r="K95"/>
  <c r="K96"/>
  <c r="J96"/>
  <c r="I96"/>
  <c r="H96"/>
  <c r="G96"/>
  <c r="F96"/>
  <c r="E96"/>
  <c r="D96"/>
  <c r="C96"/>
  <c r="P95"/>
  <c r="O95"/>
  <c r="O94"/>
  <c r="O92"/>
  <c r="O90"/>
  <c r="O88"/>
  <c r="O87"/>
  <c r="O85"/>
  <c r="O84"/>
  <c r="O83"/>
  <c r="O82"/>
  <c r="O81"/>
  <c r="O80"/>
  <c r="O79"/>
  <c r="O78"/>
  <c r="O76"/>
  <c r="O75"/>
  <c r="K57"/>
  <c r="Q95"/>
  <c r="R49" i="7576"/>
  <c r="O51" i="61866"/>
  <c r="E45"/>
  <c r="O39"/>
  <c r="E38"/>
  <c r="O32"/>
  <c r="O23"/>
  <c r="O24"/>
  <c r="O29"/>
  <c r="O30"/>
  <c r="E30"/>
  <c r="O16"/>
  <c r="O22"/>
  <c r="E22"/>
  <c r="O8"/>
  <c r="O14"/>
  <c r="E14"/>
  <c r="M55" i="61613"/>
  <c r="M54"/>
  <c r="M53"/>
  <c r="M48"/>
  <c r="M47"/>
  <c r="M9" i="7576"/>
  <c r="K58" i="61865" a="1"/>
  <c r="K58"/>
  <c r="K59"/>
  <c r="K60"/>
  <c r="K61"/>
  <c r="K62"/>
  <c r="K63"/>
  <c r="K82"/>
  <c r="F39" i="61866"/>
  <c r="L39"/>
  <c r="H58" i="61865" a="1"/>
  <c r="H58"/>
  <c r="H59"/>
  <c r="H60"/>
  <c r="H61"/>
  <c r="H62"/>
  <c r="H63"/>
  <c r="H82"/>
  <c r="F40" i="61866"/>
  <c r="L40"/>
  <c r="L45"/>
  <c r="P63"/>
  <c r="H63"/>
  <c r="Q63"/>
  <c r="H70"/>
  <c r="H83" i="61865"/>
  <c r="F31" i="61866"/>
  <c r="L31"/>
  <c r="K83" i="61865"/>
  <c r="F32" i="61866"/>
  <c r="L32"/>
  <c r="L38"/>
  <c r="P62"/>
  <c r="H62"/>
  <c r="Q62"/>
  <c r="H69"/>
  <c r="H79" i="61865"/>
  <c r="K79"/>
  <c r="P79"/>
  <c r="Q79"/>
  <c r="F23" i="61866"/>
  <c r="L23"/>
  <c r="F24"/>
  <c r="L24"/>
  <c r="F29"/>
  <c r="L29"/>
  <c r="L30"/>
  <c r="P61"/>
  <c r="H61"/>
  <c r="Q61"/>
  <c r="H68"/>
  <c r="H81" i="61865"/>
  <c r="F15" i="61866"/>
  <c r="L15"/>
  <c r="K81" i="61865"/>
  <c r="F16" i="61866"/>
  <c r="L16"/>
  <c r="L22"/>
  <c r="P60"/>
  <c r="H60"/>
  <c r="Q60"/>
  <c r="H67"/>
  <c r="H78" i="61865"/>
  <c r="P78"/>
  <c r="Q78"/>
  <c r="F7" i="61866"/>
  <c r="L7"/>
  <c r="K78" i="61865"/>
  <c r="F8" i="61866"/>
  <c r="L8"/>
  <c r="F13"/>
  <c r="L13"/>
  <c r="L14"/>
  <c r="P59"/>
  <c r="H59"/>
  <c r="Q59"/>
  <c r="H66"/>
  <c r="H80" i="61865"/>
  <c r="F50" i="61866"/>
  <c r="L50"/>
  <c r="K80" i="61865"/>
  <c r="F51" i="61866"/>
  <c r="L51"/>
  <c r="L52"/>
  <c r="P65"/>
  <c r="H65"/>
  <c r="Q65"/>
  <c r="Q55" i="61613"/>
  <c r="Q54"/>
  <c r="Q53"/>
  <c r="Q48"/>
  <c r="Q47"/>
  <c r="C7"/>
  <c r="C8"/>
  <c r="C13"/>
  <c r="C14"/>
  <c r="N22"/>
  <c r="H41"/>
  <c r="I41"/>
  <c r="J41"/>
  <c r="K41"/>
  <c r="L41"/>
  <c r="N23"/>
  <c r="H42"/>
  <c r="I42"/>
  <c r="J42"/>
  <c r="K42"/>
  <c r="L42"/>
  <c r="F22"/>
  <c r="F23"/>
  <c r="E7"/>
  <c r="E8"/>
  <c r="E13"/>
  <c r="E14"/>
  <c r="N25"/>
  <c r="F25"/>
  <c r="N26"/>
  <c r="F26"/>
  <c r="D8"/>
  <c r="D7"/>
  <c r="D14"/>
  <c r="N28"/>
  <c r="F28"/>
  <c r="G8"/>
  <c r="G7"/>
  <c r="G14"/>
  <c r="N29"/>
  <c r="F29"/>
  <c r="F8"/>
  <c r="F7"/>
  <c r="F14"/>
  <c r="N30"/>
  <c r="F30"/>
  <c r="H85" i="61865"/>
  <c r="F46" i="61866"/>
  <c r="L46"/>
  <c r="F47"/>
  <c r="L47"/>
  <c r="H7" i="61613"/>
  <c r="H14"/>
  <c r="N32"/>
  <c r="F32"/>
  <c r="N47"/>
  <c r="R59" i="61866"/>
  <c r="R47" i="61613"/>
  <c r="N48"/>
  <c r="R60" i="61866"/>
  <c r="R48" i="61613"/>
  <c r="L49" i="61866"/>
  <c r="P64"/>
  <c r="N49" i="61613"/>
  <c r="H64" i="61866"/>
  <c r="Q64"/>
  <c r="Q49" i="61613"/>
  <c r="R64" i="61866"/>
  <c r="R49" i="61613"/>
  <c r="N53"/>
  <c r="R61" i="61866"/>
  <c r="R53" i="61613"/>
  <c r="N54"/>
  <c r="R62" i="61866"/>
  <c r="R54" i="61613"/>
  <c r="N55"/>
  <c r="R63" i="61866"/>
  <c r="R55" i="61613"/>
  <c r="P7" i="61866"/>
  <c r="R7"/>
  <c r="S7"/>
  <c r="P8"/>
  <c r="R8"/>
  <c r="S8"/>
  <c r="P13"/>
  <c r="R13"/>
  <c r="S13"/>
  <c r="F14"/>
  <c r="P14"/>
  <c r="P15"/>
  <c r="R15"/>
  <c r="S15"/>
  <c r="P16"/>
  <c r="R16"/>
  <c r="S16"/>
  <c r="F22"/>
  <c r="P22"/>
  <c r="P23"/>
  <c r="R23"/>
  <c r="S23"/>
  <c r="P24"/>
  <c r="R24"/>
  <c r="S24"/>
  <c r="P29"/>
  <c r="R29"/>
  <c r="S29"/>
  <c r="F30"/>
  <c r="P30"/>
  <c r="P31"/>
  <c r="R31"/>
  <c r="S31"/>
  <c r="P32"/>
  <c r="R32"/>
  <c r="S32"/>
  <c r="F38"/>
  <c r="P39"/>
  <c r="R39"/>
  <c r="S39"/>
  <c r="P40"/>
  <c r="R40"/>
  <c r="S40"/>
  <c r="F45"/>
  <c r="P46"/>
  <c r="S46"/>
  <c r="P47"/>
  <c r="S47"/>
  <c r="P50"/>
  <c r="S50"/>
  <c r="P51"/>
  <c r="S51"/>
  <c r="R65"/>
  <c r="H84" i="61865"/>
  <c r="H95"/>
  <c r="Q95"/>
  <c r="S49" i="7576"/>
  <c r="H57" i="61865"/>
  <c r="K57"/>
  <c r="N78"/>
  <c r="N79"/>
  <c r="N80"/>
  <c r="N81"/>
  <c r="N82"/>
  <c r="N83"/>
  <c r="K84"/>
  <c r="N84"/>
  <c r="K85"/>
  <c r="N85"/>
  <c r="N95"/>
  <c r="O75"/>
  <c r="O76"/>
  <c r="O78"/>
  <c r="O79"/>
  <c r="O80"/>
  <c r="O81"/>
  <c r="O82"/>
  <c r="O83"/>
  <c r="O84"/>
  <c r="O85"/>
  <c r="O87"/>
  <c r="O88"/>
  <c r="O90"/>
  <c r="O92"/>
  <c r="O94"/>
  <c r="O95"/>
  <c r="P95"/>
  <c r="C96"/>
  <c r="D96"/>
  <c r="E96"/>
  <c r="F96"/>
  <c r="G96"/>
  <c r="H96"/>
  <c r="I96"/>
  <c r="J96"/>
  <c r="K95"/>
  <c r="K96"/>
  <c r="L96"/>
  <c r="M96"/>
  <c r="N96"/>
  <c r="I66" i="61866"/>
  <c r="I67"/>
  <c r="I68"/>
  <c r="I69"/>
  <c r="I70"/>
  <c r="H71"/>
  <c r="I71"/>
  <c r="D61" i="61613"/>
  <c r="D62"/>
  <c r="D67"/>
  <c r="D68"/>
  <c r="D69"/>
  <c r="D63"/>
  <c r="K58" i="61871" a="1"/>
  <c r="K58"/>
  <c r="K59"/>
  <c r="K60"/>
  <c r="K61"/>
  <c r="K62"/>
  <c r="K63"/>
  <c r="K64" a="1"/>
  <c r="K64"/>
  <c r="K65"/>
  <c r="K66"/>
  <c r="K67"/>
  <c r="K82"/>
  <c r="F39" i="61877"/>
  <c r="L39"/>
  <c r="H58" i="61871" a="1"/>
  <c r="H58"/>
  <c r="H59"/>
  <c r="H60"/>
  <c r="H61"/>
  <c r="H62"/>
  <c r="H63"/>
  <c r="H64" a="1"/>
  <c r="H64"/>
  <c r="H65"/>
  <c r="H66"/>
  <c r="H67"/>
  <c r="H82"/>
  <c r="F40" i="61877"/>
  <c r="L40"/>
  <c r="G58" i="61871" a="1"/>
  <c r="G58"/>
  <c r="G59"/>
  <c r="G60"/>
  <c r="G61"/>
  <c r="G62"/>
  <c r="G63"/>
  <c r="G64" a="1"/>
  <c r="G64"/>
  <c r="G65"/>
  <c r="G66"/>
  <c r="G67"/>
  <c r="G82"/>
  <c r="F41" i="61877"/>
  <c r="L41"/>
  <c r="F58" i="61871" a="1"/>
  <c r="F58"/>
  <c r="F59"/>
  <c r="F60"/>
  <c r="F61"/>
  <c r="F62"/>
  <c r="F63"/>
  <c r="F64" a="1"/>
  <c r="F64"/>
  <c r="F65"/>
  <c r="F66"/>
  <c r="F67"/>
  <c r="F82"/>
  <c r="F42" i="61877"/>
  <c r="L42"/>
  <c r="D58" i="61871" a="1"/>
  <c r="D58"/>
  <c r="D59"/>
  <c r="D60"/>
  <c r="D61"/>
  <c r="D62"/>
  <c r="D63"/>
  <c r="D64" a="1"/>
  <c r="D64"/>
  <c r="D65"/>
  <c r="D66"/>
  <c r="D67"/>
  <c r="D82"/>
  <c r="F43" i="61877"/>
  <c r="L43"/>
  <c r="E58" i="61871" a="1"/>
  <c r="E58"/>
  <c r="E59"/>
  <c r="E60"/>
  <c r="E61"/>
  <c r="E62"/>
  <c r="E63"/>
  <c r="E64" a="1"/>
  <c r="E64"/>
  <c r="E65"/>
  <c r="E66"/>
  <c r="E67"/>
  <c r="E82"/>
  <c r="F44" i="61877"/>
  <c r="L44"/>
  <c r="L45"/>
  <c r="P63"/>
  <c r="K58" i="61870" a="1"/>
  <c r="K58"/>
  <c r="K59"/>
  <c r="K60"/>
  <c r="K61"/>
  <c r="K62"/>
  <c r="K63"/>
  <c r="K64" a="1"/>
  <c r="K64"/>
  <c r="K65"/>
  <c r="K66"/>
  <c r="K67"/>
  <c r="K82"/>
  <c r="E39" i="61877"/>
  <c r="K39"/>
  <c r="H58" i="61870" a="1"/>
  <c r="H58"/>
  <c r="H59"/>
  <c r="H60"/>
  <c r="H61"/>
  <c r="H62"/>
  <c r="H63"/>
  <c r="H64" a="1"/>
  <c r="H64"/>
  <c r="H65"/>
  <c r="H66"/>
  <c r="H67"/>
  <c r="H82"/>
  <c r="E40" i="61877"/>
  <c r="K40"/>
  <c r="G58" i="61870" a="1"/>
  <c r="G58"/>
  <c r="G59"/>
  <c r="G60"/>
  <c r="G61"/>
  <c r="G62"/>
  <c r="G63"/>
  <c r="G64" a="1"/>
  <c r="G64"/>
  <c r="G65"/>
  <c r="G66"/>
  <c r="G67"/>
  <c r="G82"/>
  <c r="E41" i="61877"/>
  <c r="K41"/>
  <c r="F58" i="61870" a="1"/>
  <c r="F58"/>
  <c r="F59"/>
  <c r="F60"/>
  <c r="F61"/>
  <c r="F62"/>
  <c r="F63"/>
  <c r="F64" a="1"/>
  <c r="F64"/>
  <c r="F65"/>
  <c r="F66"/>
  <c r="F67"/>
  <c r="F82"/>
  <c r="E42" i="61877"/>
  <c r="K42"/>
  <c r="D58" i="61870" a="1"/>
  <c r="D58"/>
  <c r="D59"/>
  <c r="D60"/>
  <c r="D61"/>
  <c r="D62"/>
  <c r="D63"/>
  <c r="D64" a="1"/>
  <c r="D64"/>
  <c r="D65"/>
  <c r="D66"/>
  <c r="D67"/>
  <c r="D82"/>
  <c r="E43" i="61877"/>
  <c r="K43"/>
  <c r="E58" i="61870" a="1"/>
  <c r="E58"/>
  <c r="E59"/>
  <c r="E60"/>
  <c r="E61"/>
  <c r="E62"/>
  <c r="E63"/>
  <c r="E64" a="1"/>
  <c r="E64"/>
  <c r="E65"/>
  <c r="E66"/>
  <c r="E67"/>
  <c r="E82"/>
  <c r="E44" i="61877"/>
  <c r="K44"/>
  <c r="K45"/>
  <c r="O63"/>
  <c r="H63"/>
  <c r="D69" i="61881"/>
  <c r="H83" i="61871"/>
  <c r="F31" i="61877"/>
  <c r="L31"/>
  <c r="K83" i="61871"/>
  <c r="F32" i="61877"/>
  <c r="L32"/>
  <c r="G83" i="61871"/>
  <c r="F33" i="61877"/>
  <c r="L33"/>
  <c r="F83" i="61871"/>
  <c r="F34" i="61877"/>
  <c r="L34"/>
  <c r="M58" i="61871" a="1"/>
  <c r="M58"/>
  <c r="M59"/>
  <c r="M60"/>
  <c r="M61"/>
  <c r="M62"/>
  <c r="M63"/>
  <c r="M64" a="1"/>
  <c r="M64"/>
  <c r="M65"/>
  <c r="M66"/>
  <c r="M67"/>
  <c r="M83"/>
  <c r="F35" i="61877"/>
  <c r="L35"/>
  <c r="D83" i="61871"/>
  <c r="F36" i="61877"/>
  <c r="L36"/>
  <c r="E83" i="61871"/>
  <c r="F37" i="61877"/>
  <c r="L37"/>
  <c r="L38"/>
  <c r="P62"/>
  <c r="H83" i="61870"/>
  <c r="E31" i="61877"/>
  <c r="K31"/>
  <c r="K83" i="61870"/>
  <c r="E32" i="61877"/>
  <c r="K32"/>
  <c r="G83" i="61870"/>
  <c r="E33" i="61877"/>
  <c r="K33"/>
  <c r="F83" i="61870"/>
  <c r="E34" i="61877"/>
  <c r="K34"/>
  <c r="M58" i="61870" a="1"/>
  <c r="M58"/>
  <c r="M59"/>
  <c r="M60"/>
  <c r="M61"/>
  <c r="M62"/>
  <c r="M63"/>
  <c r="M64" a="1"/>
  <c r="M64"/>
  <c r="M65"/>
  <c r="M66"/>
  <c r="M67"/>
  <c r="M83"/>
  <c r="E35" i="61877"/>
  <c r="K35"/>
  <c r="D83" i="61870"/>
  <c r="E36" i="61877"/>
  <c r="K36"/>
  <c r="E83" i="61870"/>
  <c r="E37" i="61877"/>
  <c r="K37"/>
  <c r="K38"/>
  <c r="O62"/>
  <c r="H62"/>
  <c r="D68" i="61881"/>
  <c r="H79" i="61871"/>
  <c r="E79"/>
  <c r="K79"/>
  <c r="P79"/>
  <c r="Q79"/>
  <c r="F23" i="61877"/>
  <c r="L23"/>
  <c r="F24"/>
  <c r="L24"/>
  <c r="G79" i="61871"/>
  <c r="F25" i="61877"/>
  <c r="L25"/>
  <c r="F79" i="61871"/>
  <c r="F26" i="61877"/>
  <c r="L26"/>
  <c r="M79" i="61871"/>
  <c r="F27" i="61877"/>
  <c r="L27"/>
  <c r="D79" i="61871"/>
  <c r="F28" i="61877"/>
  <c r="L28"/>
  <c r="F29"/>
  <c r="L29"/>
  <c r="L30"/>
  <c r="P61"/>
  <c r="H79" i="61870"/>
  <c r="E79"/>
  <c r="K79"/>
  <c r="P79"/>
  <c r="Q79"/>
  <c r="E23" i="61877"/>
  <c r="K23"/>
  <c r="E24"/>
  <c r="K24"/>
  <c r="G79" i="61870"/>
  <c r="E25" i="61877"/>
  <c r="K25"/>
  <c r="F79" i="61870"/>
  <c r="E26" i="61877"/>
  <c r="K26"/>
  <c r="M79" i="61870"/>
  <c r="E27" i="61877"/>
  <c r="K27"/>
  <c r="D79" i="61870"/>
  <c r="E28" i="61877"/>
  <c r="K28"/>
  <c r="E29"/>
  <c r="K29"/>
  <c r="K30"/>
  <c r="O61"/>
  <c r="H61"/>
  <c r="D67" i="61881"/>
  <c r="H85" i="61871"/>
  <c r="F46" i="61877"/>
  <c r="L46"/>
  <c r="F47"/>
  <c r="L47"/>
  <c r="L49"/>
  <c r="P64"/>
  <c r="H85" i="61870"/>
  <c r="E46" i="61877"/>
  <c r="K46"/>
  <c r="E47"/>
  <c r="K47"/>
  <c r="K49"/>
  <c r="O64"/>
  <c r="H64"/>
  <c r="D63" i="61881"/>
  <c r="H81" i="61871"/>
  <c r="F15" i="61877"/>
  <c r="L15"/>
  <c r="K81" i="61871"/>
  <c r="F16" i="61877"/>
  <c r="L16"/>
  <c r="G81" i="61871"/>
  <c r="F17" i="61877"/>
  <c r="L17"/>
  <c r="F81" i="61871"/>
  <c r="F18" i="61877"/>
  <c r="L18"/>
  <c r="M81" i="61871"/>
  <c r="F19" i="61877"/>
  <c r="L19"/>
  <c r="D81" i="61871"/>
  <c r="F20" i="61877"/>
  <c r="L20"/>
  <c r="E81" i="61871"/>
  <c r="F21" i="61877"/>
  <c r="L21"/>
  <c r="L22"/>
  <c r="P60"/>
  <c r="H81" i="61870"/>
  <c r="E15" i="61877"/>
  <c r="K15"/>
  <c r="K81" i="61870"/>
  <c r="E16" i="61877"/>
  <c r="K16"/>
  <c r="G81" i="61870"/>
  <c r="E17" i="61877"/>
  <c r="K17"/>
  <c r="F81" i="61870"/>
  <c r="E18" i="61877"/>
  <c r="K18"/>
  <c r="M81" i="61870"/>
  <c r="E19" i="61877"/>
  <c r="K19"/>
  <c r="D81" i="61870"/>
  <c r="E20" i="61877"/>
  <c r="K20"/>
  <c r="E81" i="61870"/>
  <c r="E21" i="61877"/>
  <c r="K21"/>
  <c r="K22"/>
  <c r="O60"/>
  <c r="H60"/>
  <c r="D62" i="61881"/>
  <c r="H78" i="61871"/>
  <c r="E78"/>
  <c r="P78"/>
  <c r="Q78"/>
  <c r="F7" i="61877"/>
  <c r="L7"/>
  <c r="K78" i="61871"/>
  <c r="F8" i="61877"/>
  <c r="L8"/>
  <c r="G78" i="61871"/>
  <c r="F9" i="61877"/>
  <c r="L9"/>
  <c r="F78" i="61871"/>
  <c r="F10" i="61877"/>
  <c r="L10"/>
  <c r="M78" i="61871"/>
  <c r="F11" i="61877"/>
  <c r="L11"/>
  <c r="D78" i="61871"/>
  <c r="F12" i="61877"/>
  <c r="L12"/>
  <c r="F13"/>
  <c r="L13"/>
  <c r="L14"/>
  <c r="P59"/>
  <c r="H78" i="61870"/>
  <c r="E78"/>
  <c r="P78"/>
  <c r="Q78"/>
  <c r="E7" i="61877"/>
  <c r="K7"/>
  <c r="K78" i="61870"/>
  <c r="E8" i="61877"/>
  <c r="K8"/>
  <c r="G78" i="61870"/>
  <c r="E9" i="61877"/>
  <c r="K9"/>
  <c r="F78" i="61870"/>
  <c r="E10" i="61877"/>
  <c r="K10"/>
  <c r="M78" i="61870"/>
  <c r="E11" i="61877"/>
  <c r="K11"/>
  <c r="D78" i="61870"/>
  <c r="E12" i="61877"/>
  <c r="K12"/>
  <c r="E13"/>
  <c r="K13"/>
  <c r="K14"/>
  <c r="O59"/>
  <c r="H59"/>
  <c r="D61" i="61881"/>
  <c r="R63" i="61877"/>
  <c r="R55" i="61881"/>
  <c r="Q63" i="61877"/>
  <c r="Q55" i="61881"/>
  <c r="N55"/>
  <c r="M55"/>
  <c r="R62" i="61877"/>
  <c r="R54" i="61881"/>
  <c r="Q62" i="61877"/>
  <c r="Q54" i="61881"/>
  <c r="N54"/>
  <c r="M54"/>
  <c r="R61" i="61877"/>
  <c r="R53" i="61881"/>
  <c r="Q61" i="61877"/>
  <c r="Q53" i="61881"/>
  <c r="N53"/>
  <c r="M53"/>
  <c r="R64" i="61877"/>
  <c r="R49" i="61881"/>
  <c r="Q64" i="61877"/>
  <c r="Q49" i="61881"/>
  <c r="N49"/>
  <c r="M49"/>
  <c r="R60" i="61877"/>
  <c r="R48" i="61881"/>
  <c r="Q60" i="61877"/>
  <c r="Q48" i="61881"/>
  <c r="N48"/>
  <c r="M48"/>
  <c r="R59" i="61877"/>
  <c r="R47" i="61881"/>
  <c r="Q59" i="61877"/>
  <c r="Q47" i="61881"/>
  <c r="N47"/>
  <c r="M47"/>
  <c r="C8"/>
  <c r="C7"/>
  <c r="C9"/>
  <c r="C10"/>
  <c r="C11"/>
  <c r="C12"/>
  <c r="C13"/>
  <c r="C14"/>
  <c r="N23"/>
  <c r="H42"/>
  <c r="I42"/>
  <c r="J42"/>
  <c r="K42"/>
  <c r="L42"/>
  <c r="N22"/>
  <c r="H41"/>
  <c r="I41"/>
  <c r="J41"/>
  <c r="K41"/>
  <c r="L41"/>
  <c r="H7"/>
  <c r="M85" i="61871"/>
  <c r="F48" i="61877"/>
  <c r="L48"/>
  <c r="H11" i="61881"/>
  <c r="H14"/>
  <c r="N32"/>
  <c r="F32"/>
  <c r="F8"/>
  <c r="F7"/>
  <c r="F9"/>
  <c r="F10"/>
  <c r="F11"/>
  <c r="F12"/>
  <c r="F13"/>
  <c r="F14"/>
  <c r="N30"/>
  <c r="F30"/>
  <c r="G8"/>
  <c r="G7"/>
  <c r="G9"/>
  <c r="G10"/>
  <c r="G12"/>
  <c r="G13"/>
  <c r="G14"/>
  <c r="N29"/>
  <c r="F29"/>
  <c r="D8"/>
  <c r="D7"/>
  <c r="D9"/>
  <c r="D10"/>
  <c r="D11"/>
  <c r="D12"/>
  <c r="D13"/>
  <c r="D14"/>
  <c r="N28"/>
  <c r="F28"/>
  <c r="E8"/>
  <c r="E7"/>
  <c r="E9"/>
  <c r="E10"/>
  <c r="E11"/>
  <c r="E12"/>
  <c r="E13"/>
  <c r="E14"/>
  <c r="N26"/>
  <c r="F26"/>
  <c r="N25"/>
  <c r="F25"/>
  <c r="F23"/>
  <c r="F22"/>
  <c r="I71" i="61877"/>
  <c r="H71"/>
  <c r="I70"/>
  <c r="H70"/>
  <c r="I69"/>
  <c r="H69"/>
  <c r="I68"/>
  <c r="H68"/>
  <c r="I67"/>
  <c r="H67"/>
  <c r="I66"/>
  <c r="H66"/>
  <c r="H80" i="61871"/>
  <c r="F50" i="61877"/>
  <c r="L50"/>
  <c r="K80" i="61871"/>
  <c r="F51" i="61877"/>
  <c r="L51"/>
  <c r="L52"/>
  <c r="P65"/>
  <c r="R65"/>
  <c r="H80" i="61870"/>
  <c r="E50" i="61877"/>
  <c r="K50"/>
  <c r="K80" i="61870"/>
  <c r="E51" i="61877"/>
  <c r="K51"/>
  <c r="K52"/>
  <c r="O65"/>
  <c r="H65"/>
  <c r="Q65"/>
  <c r="P51"/>
  <c r="S51"/>
  <c r="O51"/>
  <c r="P50"/>
  <c r="S50"/>
  <c r="O50"/>
  <c r="P48"/>
  <c r="S48"/>
  <c r="M85" i="61870"/>
  <c r="E48" i="61877"/>
  <c r="K48"/>
  <c r="O48"/>
  <c r="P47"/>
  <c r="S47"/>
  <c r="O47"/>
  <c r="P46"/>
  <c r="S46"/>
  <c r="O46"/>
  <c r="F45"/>
  <c r="E45"/>
  <c r="P44"/>
  <c r="S44"/>
  <c r="R44"/>
  <c r="O44"/>
  <c r="P43"/>
  <c r="S43"/>
  <c r="R43"/>
  <c r="O43"/>
  <c r="P42"/>
  <c r="S42"/>
  <c r="R42"/>
  <c r="O42"/>
  <c r="P41"/>
  <c r="S41"/>
  <c r="R41"/>
  <c r="O41"/>
  <c r="P40"/>
  <c r="S40"/>
  <c r="R40"/>
  <c r="O40"/>
  <c r="P39"/>
  <c r="S39"/>
  <c r="R39"/>
  <c r="O39"/>
  <c r="F38"/>
  <c r="E38"/>
  <c r="P37"/>
  <c r="S37"/>
  <c r="R37"/>
  <c r="O37"/>
  <c r="P36"/>
  <c r="S36"/>
  <c r="R36"/>
  <c r="O36"/>
  <c r="P35"/>
  <c r="S35"/>
  <c r="R35"/>
  <c r="O35"/>
  <c r="P34"/>
  <c r="S34"/>
  <c r="R34"/>
  <c r="O34"/>
  <c r="P33"/>
  <c r="S33"/>
  <c r="R33"/>
  <c r="O33"/>
  <c r="P32"/>
  <c r="S32"/>
  <c r="R32"/>
  <c r="O32"/>
  <c r="P31"/>
  <c r="S31"/>
  <c r="R31"/>
  <c r="O31"/>
  <c r="P23"/>
  <c r="P24"/>
  <c r="P25"/>
  <c r="P26"/>
  <c r="P27"/>
  <c r="P28"/>
  <c r="P29"/>
  <c r="P30"/>
  <c r="O23"/>
  <c r="O24"/>
  <c r="O25"/>
  <c r="O26"/>
  <c r="O27"/>
  <c r="O28"/>
  <c r="O29"/>
  <c r="O30"/>
  <c r="F30"/>
  <c r="E30"/>
  <c r="S29"/>
  <c r="R29"/>
  <c r="S28"/>
  <c r="R28"/>
  <c r="S27"/>
  <c r="R27"/>
  <c r="S26"/>
  <c r="R26"/>
  <c r="S25"/>
  <c r="R25"/>
  <c r="S24"/>
  <c r="R24"/>
  <c r="S23"/>
  <c r="R23"/>
  <c r="P15"/>
  <c r="P16"/>
  <c r="P17"/>
  <c r="P18"/>
  <c r="P19"/>
  <c r="P20"/>
  <c r="P21"/>
  <c r="P22"/>
  <c r="O15"/>
  <c r="O16"/>
  <c r="O17"/>
  <c r="O18"/>
  <c r="O19"/>
  <c r="O20"/>
  <c r="O21"/>
  <c r="O22"/>
  <c r="F22"/>
  <c r="E22"/>
  <c r="S21"/>
  <c r="R21"/>
  <c r="S20"/>
  <c r="R20"/>
  <c r="S19"/>
  <c r="R19"/>
  <c r="S18"/>
  <c r="R18"/>
  <c r="S17"/>
  <c r="R17"/>
  <c r="S16"/>
  <c r="R16"/>
  <c r="S15"/>
  <c r="R15"/>
  <c r="P7"/>
  <c r="P8"/>
  <c r="P9"/>
  <c r="P10"/>
  <c r="P11"/>
  <c r="P12"/>
  <c r="P13"/>
  <c r="P14"/>
  <c r="O7"/>
  <c r="O8"/>
  <c r="O9"/>
  <c r="O10"/>
  <c r="O11"/>
  <c r="O12"/>
  <c r="O13"/>
  <c r="O14"/>
  <c r="F14"/>
  <c r="E14"/>
  <c r="S13"/>
  <c r="R13"/>
  <c r="S12"/>
  <c r="R12"/>
  <c r="S11"/>
  <c r="R11"/>
  <c r="S10"/>
  <c r="R10"/>
  <c r="S9"/>
  <c r="R9"/>
  <c r="S8"/>
  <c r="R8"/>
  <c r="S7"/>
  <c r="R7"/>
  <c r="H84" i="61871"/>
  <c r="H95"/>
  <c r="Q95"/>
  <c r="S49" i="61875"/>
  <c r="H84" i="61870"/>
  <c r="H95"/>
  <c r="Q95"/>
  <c r="R49" i="61875"/>
  <c r="K84" i="61870"/>
  <c r="K85"/>
  <c r="K95"/>
  <c r="M9" i="61875"/>
  <c r="N78" i="61871"/>
  <c r="N79"/>
  <c r="D80"/>
  <c r="E80"/>
  <c r="F80"/>
  <c r="G80"/>
  <c r="M80"/>
  <c r="N80"/>
  <c r="N81"/>
  <c r="M82"/>
  <c r="N82"/>
  <c r="N83"/>
  <c r="D84"/>
  <c r="E84"/>
  <c r="F84"/>
  <c r="G84"/>
  <c r="K84"/>
  <c r="M84"/>
  <c r="N84"/>
  <c r="D85"/>
  <c r="E85"/>
  <c r="F85"/>
  <c r="G85"/>
  <c r="K85"/>
  <c r="N85"/>
  <c r="N95"/>
  <c r="N96"/>
  <c r="M95"/>
  <c r="M96"/>
  <c r="L96"/>
  <c r="K95"/>
  <c r="K96"/>
  <c r="J96"/>
  <c r="I96"/>
  <c r="H96"/>
  <c r="G95"/>
  <c r="G96"/>
  <c r="F95"/>
  <c r="F96"/>
  <c r="E95"/>
  <c r="E96"/>
  <c r="D95"/>
  <c r="D96"/>
  <c r="C96"/>
  <c r="P95"/>
  <c r="O95"/>
  <c r="O94"/>
  <c r="O92"/>
  <c r="O90"/>
  <c r="O88"/>
  <c r="O87"/>
  <c r="O85"/>
  <c r="O84"/>
  <c r="O83"/>
  <c r="O82"/>
  <c r="O81"/>
  <c r="O80"/>
  <c r="O79"/>
  <c r="O78"/>
  <c r="O76"/>
  <c r="O75"/>
  <c r="M68"/>
  <c r="K68"/>
  <c r="H68"/>
  <c r="G68"/>
  <c r="F68"/>
  <c r="E68"/>
  <c r="D68"/>
  <c r="M57"/>
  <c r="K57"/>
  <c r="H57"/>
  <c r="G57"/>
  <c r="F57"/>
  <c r="N78" i="61870"/>
  <c r="N79"/>
  <c r="D80"/>
  <c r="E80"/>
  <c r="F80"/>
  <c r="G80"/>
  <c r="M80"/>
  <c r="N80"/>
  <c r="N81"/>
  <c r="M82"/>
  <c r="N82"/>
  <c r="N83"/>
  <c r="D84"/>
  <c r="E84"/>
  <c r="F84"/>
  <c r="G84"/>
  <c r="M84"/>
  <c r="N84"/>
  <c r="D85"/>
  <c r="E85"/>
  <c r="F85"/>
  <c r="G85"/>
  <c r="N85"/>
  <c r="N95"/>
  <c r="N96"/>
  <c r="M95"/>
  <c r="M96"/>
  <c r="L96"/>
  <c r="K96"/>
  <c r="J96"/>
  <c r="I96"/>
  <c r="H96"/>
  <c r="G95"/>
  <c r="G96"/>
  <c r="F95"/>
  <c r="F96"/>
  <c r="E95"/>
  <c r="E96"/>
  <c r="D95"/>
  <c r="D96"/>
  <c r="C96"/>
  <c r="P95"/>
  <c r="O95"/>
  <c r="O94"/>
  <c r="O92"/>
  <c r="O90"/>
  <c r="O88"/>
  <c r="O87"/>
  <c r="O85"/>
  <c r="O84"/>
  <c r="O83"/>
  <c r="O82"/>
  <c r="O81"/>
  <c r="O80"/>
  <c r="O79"/>
  <c r="O78"/>
  <c r="O76"/>
  <c r="O75"/>
  <c r="M68"/>
  <c r="K68"/>
  <c r="H68"/>
  <c r="G68"/>
  <c r="F68"/>
  <c r="E68"/>
  <c r="D68"/>
  <c r="M57"/>
  <c r="K57"/>
  <c r="H57"/>
  <c r="G57"/>
  <c r="F57"/>
</calcChain>
</file>

<file path=xl/comments1.xml><?xml version="1.0" encoding="utf-8"?>
<comments xmlns="http://schemas.openxmlformats.org/spreadsheetml/2006/main">
  <authors>
    <author>Default</author>
    <author>Maryse Labriet</author>
    <author>Barry Kapilow-Cohen</author>
    <author>Amit Kanudia</author>
  </authors>
  <commentList>
    <comment ref="B9" authorId="0">
      <text>
        <r>
          <rPr>
            <sz val="8"/>
            <color indexed="81"/>
            <rFont val="Tahoma"/>
            <family val="2"/>
          </rPr>
          <t>COKCOAL, BITCOAL AND SUBCOAL (</t>
        </r>
        <r>
          <rPr>
            <sz val="8"/>
            <color indexed="81"/>
            <rFont val="Tahoma"/>
          </rPr>
          <t>Mainly Bitcoal)</t>
        </r>
      </text>
    </comment>
    <comment ref="F18" authorId="1">
      <text>
        <r>
          <rPr>
            <sz val="8"/>
            <color indexed="81"/>
            <rFont val="Tahoma"/>
          </rPr>
          <t>Maryse Labriet:
In TRA, BIOBLQ is equivalent to BIOLIQ, given IEA statistics (no BIOGAS in TAR)</t>
        </r>
      </text>
    </comment>
    <comment ref="E21" authorId="2">
      <text>
        <r>
          <rPr>
            <sz val="8"/>
            <color indexed="81"/>
            <rFont val="Tahoma"/>
          </rPr>
          <t xml:space="preserve">Not included in IEA data, for purposes of override </t>
        </r>
      </text>
    </comment>
    <comment ref="K32" authorId="2">
      <text>
        <r>
          <rPr>
            <sz val="8"/>
            <color indexed="81"/>
            <rFont val="Tahoma"/>
          </rPr>
          <t>Share out trononspe for distillate to non road modes.</t>
        </r>
      </text>
    </comment>
    <comment ref="H33" authorId="2">
      <text>
        <r>
          <rPr>
            <sz val="8"/>
            <color indexed="81"/>
            <rFont val="Tahoma"/>
          </rPr>
          <t>Motor gas designated for air modes reassigned to road</t>
        </r>
      </text>
    </comment>
    <comment ref="G37" authorId="2">
      <text>
        <r>
          <rPr>
            <sz val="8"/>
            <color indexed="81"/>
            <rFont val="Tahoma"/>
          </rPr>
          <t>Add inland water LPG to riad LPG category rather than in total</t>
        </r>
      </text>
    </comment>
    <comment ref="B41" authorId="3">
      <text>
        <r>
          <rPr>
            <sz val="8"/>
            <color indexed="81"/>
            <rFont val="Tahoma"/>
          </rPr>
          <t>Only for the road segment, as the others are handled in PJ.</t>
        </r>
      </text>
    </comment>
    <comment ref="E42" authorId="2">
      <text>
        <r>
          <rPr>
            <b/>
            <sz val="8"/>
            <color indexed="81"/>
            <rFont val="Tahoma"/>
          </rPr>
          <t>Barry Kapilow-Cohen:</t>
        </r>
        <r>
          <rPr>
            <sz val="8"/>
            <color indexed="81"/>
            <rFont val="Tahoma"/>
          </rPr>
          <t xml:space="preserve">
Not included in IEA data, for purposes of override </t>
        </r>
      </text>
    </comment>
    <comment ref="B100" authorId="0">
      <text>
        <r>
          <rPr>
            <sz val="8"/>
            <color indexed="81"/>
            <rFont val="Tahoma"/>
            <family val="2"/>
          </rPr>
          <t>COKCOAL, BITCOAL AND SUBCOAL (</t>
        </r>
        <r>
          <rPr>
            <sz val="8"/>
            <color indexed="81"/>
            <rFont val="Tahoma"/>
          </rPr>
          <t>Mainly Bitcoal)</t>
        </r>
      </text>
    </comment>
    <comment ref="Q100" authorId="1">
      <text>
        <r>
          <rPr>
            <sz val="8"/>
            <color indexed="81"/>
            <rFont val="Tahoma"/>
          </rPr>
          <t xml:space="preserve">Kathleen: 
Petroleum products.
</t>
        </r>
      </text>
    </comment>
  </commentList>
</comments>
</file>

<file path=xl/comments2.xml><?xml version="1.0" encoding="utf-8"?>
<comments xmlns="http://schemas.openxmlformats.org/spreadsheetml/2006/main">
  <authors>
    <author>Default</author>
    <author>Maryse Labriet</author>
    <author>Barry Kapilow-Cohen</author>
    <author>Amit Kanudia</author>
  </authors>
  <commentList>
    <comment ref="B9" authorId="0">
      <text>
        <r>
          <rPr>
            <sz val="8"/>
            <color indexed="81"/>
            <rFont val="Tahoma"/>
            <family val="2"/>
          </rPr>
          <t>COKCOAL, BITCOAL AND SUBCOAL (</t>
        </r>
        <r>
          <rPr>
            <sz val="8"/>
            <color indexed="81"/>
            <rFont val="Tahoma"/>
          </rPr>
          <t>Mainly Bitcoal)</t>
        </r>
      </text>
    </comment>
    <comment ref="F18" authorId="1">
      <text>
        <r>
          <rPr>
            <sz val="8"/>
            <color indexed="81"/>
            <rFont val="Tahoma"/>
          </rPr>
          <t>Maryse Labriet:
In TRA, BIOBLQ is equivalent to BIOLIQ, given IEA statistics (no BIOGAS in TAR)</t>
        </r>
      </text>
    </comment>
    <comment ref="E21" authorId="2">
      <text>
        <r>
          <rPr>
            <sz val="8"/>
            <color indexed="81"/>
            <rFont val="Tahoma"/>
          </rPr>
          <t xml:space="preserve">Not included in IEA data, for purposes of override </t>
        </r>
      </text>
    </comment>
    <comment ref="K32" authorId="2">
      <text>
        <r>
          <rPr>
            <sz val="8"/>
            <color indexed="81"/>
            <rFont val="Tahoma"/>
          </rPr>
          <t>Share out trononspe for distillate to non road modes.</t>
        </r>
      </text>
    </comment>
    <comment ref="H33" authorId="2">
      <text>
        <r>
          <rPr>
            <sz val="8"/>
            <color indexed="81"/>
            <rFont val="Tahoma"/>
          </rPr>
          <t>Motor gas designated for air modes reassigned to road</t>
        </r>
      </text>
    </comment>
    <comment ref="G37" authorId="2">
      <text>
        <r>
          <rPr>
            <sz val="8"/>
            <color indexed="81"/>
            <rFont val="Tahoma"/>
          </rPr>
          <t>Add inland water LPG to riad LPG category rather than in total</t>
        </r>
      </text>
    </comment>
    <comment ref="B41" authorId="3">
      <text>
        <r>
          <rPr>
            <sz val="8"/>
            <color indexed="81"/>
            <rFont val="Tahoma"/>
          </rPr>
          <t>Only for the road segment, as the others are handled in PJ.</t>
        </r>
      </text>
    </comment>
    <comment ref="E42" authorId="2">
      <text>
        <r>
          <rPr>
            <b/>
            <sz val="8"/>
            <color indexed="81"/>
            <rFont val="Tahoma"/>
          </rPr>
          <t>Barry Kapilow-Cohen:</t>
        </r>
        <r>
          <rPr>
            <sz val="8"/>
            <color indexed="81"/>
            <rFont val="Tahoma"/>
          </rPr>
          <t xml:space="preserve">
Not included in IEA data, for purposes of override </t>
        </r>
      </text>
    </comment>
    <comment ref="B100" authorId="0">
      <text>
        <r>
          <rPr>
            <sz val="8"/>
            <color indexed="81"/>
            <rFont val="Tahoma"/>
            <family val="2"/>
          </rPr>
          <t>COKCOAL, BITCOAL AND SUBCOAL (</t>
        </r>
        <r>
          <rPr>
            <sz val="8"/>
            <color indexed="81"/>
            <rFont val="Tahoma"/>
          </rPr>
          <t>Mainly Bitcoal)</t>
        </r>
      </text>
    </comment>
    <comment ref="Q100" authorId="1">
      <text>
        <r>
          <rPr>
            <sz val="8"/>
            <color indexed="81"/>
            <rFont val="Tahoma"/>
          </rPr>
          <t xml:space="preserve">Kathleen: 
Petroleum products.
</t>
        </r>
      </text>
    </comment>
  </commentList>
</comments>
</file>

<file path=xl/comments3.xml><?xml version="1.0" encoding="utf-8"?>
<comments xmlns="http://schemas.openxmlformats.org/spreadsheetml/2006/main">
  <authors>
    <author>Kathleen</author>
    <author>Monisha Shah</author>
  </authors>
  <commentList>
    <comment ref="B30" authorId="0">
      <text>
        <r>
          <rPr>
            <sz val="8"/>
            <color indexed="81"/>
            <rFont val="Tahoma"/>
          </rPr>
          <t>OILLUB is used only for non-energy use</t>
        </r>
      </text>
    </comment>
    <comment ref="B38" authorId="1">
      <text>
        <r>
          <rPr>
            <sz val="8"/>
            <color indexed="81"/>
            <rFont val="Tahoma"/>
          </rPr>
          <t>Bio-energy</t>
        </r>
      </text>
    </comment>
    <comment ref="B39" authorId="1">
      <text>
        <r>
          <rPr>
            <sz val="8"/>
            <color indexed="81"/>
            <rFont val="Tahoma"/>
          </rPr>
          <t>Bio-energy</t>
        </r>
      </text>
    </comment>
    <comment ref="B43" authorId="1">
      <text>
        <r>
          <rPr>
            <sz val="8"/>
            <color indexed="81"/>
            <rFont val="Tahoma"/>
          </rPr>
          <t>Bio-energy</t>
        </r>
      </text>
    </comment>
    <comment ref="B44" authorId="1">
      <text>
        <r>
          <rPr>
            <sz val="8"/>
            <color indexed="81"/>
            <rFont val="Tahoma"/>
          </rPr>
          <t>Bio-energy</t>
        </r>
      </text>
    </comment>
  </commentList>
</comments>
</file>

<file path=xl/comments4.xml><?xml version="1.0" encoding="utf-8"?>
<comments xmlns="http://schemas.openxmlformats.org/spreadsheetml/2006/main">
  <authors>
    <author>Default</author>
    <author>Maryse Labriet</author>
    <author>Barry Kapilow-Cohen</author>
    <author>Amit Kanudia</author>
  </authors>
  <commentList>
    <comment ref="B9" authorId="0">
      <text>
        <r>
          <rPr>
            <sz val="8"/>
            <color indexed="81"/>
            <rFont val="Tahoma"/>
            <family val="2"/>
          </rPr>
          <t>COKCOAL, BITCOAL AND SUBCOAL (</t>
        </r>
        <r>
          <rPr>
            <sz val="8"/>
            <color indexed="81"/>
            <rFont val="Tahoma"/>
          </rPr>
          <t>Mainly Bitcoal)</t>
        </r>
      </text>
    </comment>
    <comment ref="F18" authorId="1">
      <text>
        <r>
          <rPr>
            <sz val="8"/>
            <color indexed="81"/>
            <rFont val="Tahoma"/>
          </rPr>
          <t>Maryse Labriet:
In TRA, BIOBLQ is equivalent to BIOLIQ, given IEA statistics (no BIOGAS in TAR)</t>
        </r>
      </text>
    </comment>
    <comment ref="E21" authorId="2">
      <text>
        <r>
          <rPr>
            <sz val="8"/>
            <color indexed="81"/>
            <rFont val="Tahoma"/>
          </rPr>
          <t xml:space="preserve">Not included in IEA data, for purposes of override </t>
        </r>
      </text>
    </comment>
    <comment ref="K32" authorId="2">
      <text>
        <r>
          <rPr>
            <sz val="8"/>
            <color indexed="81"/>
            <rFont val="Tahoma"/>
          </rPr>
          <t>Share out trononspe for distillate to non road modes.</t>
        </r>
      </text>
    </comment>
    <comment ref="H33" authorId="2">
      <text>
        <r>
          <rPr>
            <sz val="8"/>
            <color indexed="81"/>
            <rFont val="Tahoma"/>
          </rPr>
          <t>Motor gas designated for air modes reassigned to road</t>
        </r>
      </text>
    </comment>
    <comment ref="G37" authorId="2">
      <text>
        <r>
          <rPr>
            <sz val="8"/>
            <color indexed="81"/>
            <rFont val="Tahoma"/>
          </rPr>
          <t>Add inland water LPG to riad LPG category rather than in total</t>
        </r>
      </text>
    </comment>
    <comment ref="B41" authorId="3">
      <text>
        <r>
          <rPr>
            <sz val="8"/>
            <color indexed="81"/>
            <rFont val="Tahoma"/>
          </rPr>
          <t>Only for the road segment, as the others are handled in PJ.</t>
        </r>
      </text>
    </comment>
    <comment ref="E42" authorId="2">
      <text>
        <r>
          <rPr>
            <b/>
            <sz val="8"/>
            <color indexed="81"/>
            <rFont val="Tahoma"/>
          </rPr>
          <t>Barry Kapilow-Cohen:</t>
        </r>
        <r>
          <rPr>
            <sz val="8"/>
            <color indexed="81"/>
            <rFont val="Tahoma"/>
          </rPr>
          <t xml:space="preserve">
Not included in IEA data, for purposes of override </t>
        </r>
      </text>
    </comment>
    <comment ref="B100" authorId="0">
      <text>
        <r>
          <rPr>
            <sz val="8"/>
            <color indexed="81"/>
            <rFont val="Tahoma"/>
            <family val="2"/>
          </rPr>
          <t>COKCOAL, BITCOAL AND SUBCOAL (</t>
        </r>
        <r>
          <rPr>
            <sz val="8"/>
            <color indexed="81"/>
            <rFont val="Tahoma"/>
          </rPr>
          <t>Mainly Bitcoal)</t>
        </r>
      </text>
    </comment>
    <comment ref="Q100" authorId="1">
      <text>
        <r>
          <rPr>
            <sz val="8"/>
            <color indexed="81"/>
            <rFont val="Tahoma"/>
          </rPr>
          <t xml:space="preserve">Kathleen: 
Petroleum products.
</t>
        </r>
      </text>
    </comment>
  </commentList>
</comments>
</file>

<file path=xl/comments5.xml><?xml version="1.0" encoding="utf-8"?>
<comments xmlns="http://schemas.openxmlformats.org/spreadsheetml/2006/main">
  <authors>
    <author>Default</author>
    <author>Maryse Labriet</author>
    <author>Barry Kapilow-Cohen</author>
    <author>Amit Kanudia</author>
  </authors>
  <commentList>
    <comment ref="B9" authorId="0">
      <text>
        <r>
          <rPr>
            <sz val="8"/>
            <color indexed="81"/>
            <rFont val="Tahoma"/>
            <family val="2"/>
          </rPr>
          <t>COKCOAL, BITCOAL AND SUBCOAL (</t>
        </r>
        <r>
          <rPr>
            <sz val="8"/>
            <color indexed="81"/>
            <rFont val="Tahoma"/>
          </rPr>
          <t>Mainly Bitcoal)</t>
        </r>
      </text>
    </comment>
    <comment ref="F18" authorId="1">
      <text>
        <r>
          <rPr>
            <sz val="8"/>
            <color indexed="81"/>
            <rFont val="Tahoma"/>
          </rPr>
          <t>Maryse Labriet:
In TRA, BIOBLQ is equivalent to BIOLIQ, given IEA statistics (no BIOGAS in TAR)</t>
        </r>
      </text>
    </comment>
    <comment ref="E21" authorId="2">
      <text>
        <r>
          <rPr>
            <sz val="8"/>
            <color indexed="81"/>
            <rFont val="Tahoma"/>
          </rPr>
          <t xml:space="preserve">Not included in IEA data, for purposes of override </t>
        </r>
      </text>
    </comment>
    <comment ref="K32" authorId="2">
      <text>
        <r>
          <rPr>
            <sz val="8"/>
            <color indexed="81"/>
            <rFont val="Tahoma"/>
          </rPr>
          <t>Share out trononspe for distillate to non road modes.</t>
        </r>
      </text>
    </comment>
    <comment ref="H33" authorId="2">
      <text>
        <r>
          <rPr>
            <sz val="8"/>
            <color indexed="81"/>
            <rFont val="Tahoma"/>
          </rPr>
          <t>Motor gas designated for air modes reassigned to road</t>
        </r>
      </text>
    </comment>
    <comment ref="G37" authorId="2">
      <text>
        <r>
          <rPr>
            <sz val="8"/>
            <color indexed="81"/>
            <rFont val="Tahoma"/>
          </rPr>
          <t>Add inland water LPG to riad LPG category rather than in total</t>
        </r>
      </text>
    </comment>
    <comment ref="B41" authorId="3">
      <text>
        <r>
          <rPr>
            <sz val="8"/>
            <color indexed="81"/>
            <rFont val="Tahoma"/>
          </rPr>
          <t>Only for the road segment, as the others are handled in PJ.</t>
        </r>
      </text>
    </comment>
    <comment ref="E42" authorId="2">
      <text>
        <r>
          <rPr>
            <b/>
            <sz val="8"/>
            <color indexed="81"/>
            <rFont val="Tahoma"/>
          </rPr>
          <t>Barry Kapilow-Cohen:</t>
        </r>
        <r>
          <rPr>
            <sz val="8"/>
            <color indexed="81"/>
            <rFont val="Tahoma"/>
          </rPr>
          <t xml:space="preserve">
Not included in IEA data, for purposes of override </t>
        </r>
      </text>
    </comment>
    <comment ref="B100" authorId="0">
      <text>
        <r>
          <rPr>
            <sz val="8"/>
            <color indexed="81"/>
            <rFont val="Tahoma"/>
            <family val="2"/>
          </rPr>
          <t>COKCOAL, BITCOAL AND SUBCOAL (</t>
        </r>
        <r>
          <rPr>
            <sz val="8"/>
            <color indexed="81"/>
            <rFont val="Tahoma"/>
          </rPr>
          <t>Mainly Bitcoal)</t>
        </r>
      </text>
    </comment>
    <comment ref="Q100" authorId="1">
      <text>
        <r>
          <rPr>
            <sz val="8"/>
            <color indexed="81"/>
            <rFont val="Tahoma"/>
          </rPr>
          <t xml:space="preserve">Kathleen: 
Petroleum products.
</t>
        </r>
      </text>
    </comment>
  </commentList>
</comments>
</file>

<file path=xl/sharedStrings.xml><?xml version="1.0" encoding="utf-8"?>
<sst xmlns="http://schemas.openxmlformats.org/spreadsheetml/2006/main" count="4367" uniqueCount="584">
  <si>
    <t>CAR: .00.CFV.GAS.EXISTING.STD.</t>
  </si>
  <si>
    <t>CAR: .00.CFV.DST.EXISTING.STD.</t>
  </si>
  <si>
    <t>CAR: .00.AFV.LPG.EXISTING.STD.</t>
  </si>
  <si>
    <t>CAR: .00.AFV.NGA.EXISTING.STD.</t>
  </si>
  <si>
    <t>CAR: .00.AFV.ELC.EXISTING.STD.</t>
  </si>
  <si>
    <t>CAR: .00.AFV.MET.EXISTING.STD.</t>
  </si>
  <si>
    <t>CAR: .00.AFV.ETH.EXISTING.STD.</t>
  </si>
  <si>
    <t>LIGHT TRUCK: .00.CFV.GAS.EXISTING.STD.</t>
  </si>
  <si>
    <t>LIGHT TRUCK: .00.CFV.DST.EXISTING.STD.</t>
  </si>
  <si>
    <t>LIGHT TRUCK: .00.AFV.LPG.EXISTING.STD.</t>
  </si>
  <si>
    <t>LIGHT TRUCK: .00.AFV.NGA.EXISTING.STD.</t>
  </si>
  <si>
    <t>LIGHT TRUCK: .00.AFV.ELC.EXISTING.STD.</t>
  </si>
  <si>
    <t>LIGHT TRUCK: .00.AFV.MET.EXISTING.STD.</t>
  </si>
  <si>
    <t>LIGHT TRUCK: .00.AFV.ETH.EXISTING.STD.</t>
  </si>
  <si>
    <t>BUS: .00.CFV.GAS.EXISTING.STD.</t>
  </si>
  <si>
    <t>BUS: .00.CFV.DST.EXISTING.STD.</t>
  </si>
  <si>
    <t>BUS: .00.AFV.LPG.EXISTING.STD.</t>
  </si>
  <si>
    <t>BUS: .00.AFV.NGA.EXISTING.STD.</t>
  </si>
  <si>
    <t>BUS: .00.AFV.ELC.EXISTING.STD.</t>
  </si>
  <si>
    <t>BUS: .00.AFV.MET.EXISTING.STD.</t>
  </si>
  <si>
    <t>BUS: .00.AFV.ETH.EXISTING.STD.</t>
  </si>
  <si>
    <t>HEAVY TRUCK: .00.CFV.GAS.EXISTING.STD.</t>
  </si>
  <si>
    <t>HEAVY TRUCK: .00.CFV.DST.EXISTING.STD.</t>
  </si>
  <si>
    <t>HEAVY TRUCK: .00.AFV.LPG.EXISTING.STD.</t>
  </si>
  <si>
    <t>HEAVY TRUCK: .00.AFV.NGA.EXISTING.STD.</t>
  </si>
  <si>
    <t>HEAVY TRUCK: .00.AFV.MET.EXISTING.STD.</t>
  </si>
  <si>
    <t>HEAVY TRUCK: .00.AFV.ETH.EXISTING.STD.</t>
  </si>
  <si>
    <t>MEDIUM TRUCK: .00.CFV.GAS.EXISTING.STD.</t>
  </si>
  <si>
    <t>MEDIUM TRUCK: .00.CFV.DST.EXISTING.STD.</t>
  </si>
  <si>
    <t>MEDIUM TRUCK: .00.AFV.LPG.EXISTING.STD.</t>
  </si>
  <si>
    <t>MEDIUM TRUCK: .00.AFV.NGA.EXISTING.STD.</t>
  </si>
  <si>
    <t>MEDIUM TRUCK: .00.AFV.MET.EXISTING.STD.</t>
  </si>
  <si>
    <t>MEDIUM TRUCK: .00.AFV.ETH.EXISTING.STD.</t>
  </si>
  <si>
    <t>LUBRIC, WHITESP</t>
  </si>
  <si>
    <t>NETRANS</t>
  </si>
  <si>
    <t>Coal (TRA)</t>
  </si>
  <si>
    <t>Natural Gas (TRA)</t>
  </si>
  <si>
    <t>Liquified Petroleum Gas (TRA)</t>
  </si>
  <si>
    <t>Gasoline (TRA)</t>
  </si>
  <si>
    <t>Aviation Gasoline (TRA)</t>
  </si>
  <si>
    <t>Jet Kerosene (TRA)</t>
  </si>
  <si>
    <t>Diesel (TRA)</t>
  </si>
  <si>
    <t>Heavy Fuel Oil (TRA)</t>
  </si>
  <si>
    <t>Methanol (TRA)</t>
  </si>
  <si>
    <t>Ethanol (TRA)</t>
  </si>
  <si>
    <t>Electricity (TRA)</t>
  </si>
  <si>
    <t>Non Energy Uses</t>
  </si>
  <si>
    <t>NEU000</t>
  </si>
  <si>
    <t>NEU</t>
  </si>
  <si>
    <t>BIOLIQ</t>
  </si>
  <si>
    <t>TRL</t>
  </si>
  <si>
    <t>TRB</t>
  </si>
  <si>
    <t>TRH</t>
  </si>
  <si>
    <t>TRC</t>
  </si>
  <si>
    <t>Commodity</t>
  </si>
  <si>
    <t>CAPUNIT</t>
  </si>
  <si>
    <t>CF</t>
  </si>
  <si>
    <t>DST</t>
  </si>
  <si>
    <t>Transportation</t>
  </si>
  <si>
    <t>LIFE</t>
  </si>
  <si>
    <t>ELC</t>
  </si>
  <si>
    <t>Units</t>
  </si>
  <si>
    <t>Electricity</t>
  </si>
  <si>
    <t>Total</t>
  </si>
  <si>
    <t>PJ</t>
  </si>
  <si>
    <t xml:space="preserve"> </t>
  </si>
  <si>
    <t>RAIL- Freight</t>
  </si>
  <si>
    <t>Passengers</t>
  </si>
  <si>
    <t>HFO</t>
  </si>
  <si>
    <t>^IEA_ASO</t>
  </si>
  <si>
    <t>^IEA_O</t>
  </si>
  <si>
    <t>NATGAS</t>
  </si>
  <si>
    <t>GASDIES</t>
  </si>
  <si>
    <t>RESFUEL</t>
  </si>
  <si>
    <t>OTHKERO</t>
  </si>
  <si>
    <t>MOTORGAS</t>
  </si>
  <si>
    <t>ROAD</t>
  </si>
  <si>
    <t>ELECTR</t>
  </si>
  <si>
    <t>TOTAL</t>
  </si>
  <si>
    <t>INTLCIAV</t>
  </si>
  <si>
    <t>DOMESAIR</t>
  </si>
  <si>
    <t>RAIL</t>
  </si>
  <si>
    <t>INLWATER</t>
  </si>
  <si>
    <t>TRNONSPE</t>
  </si>
  <si>
    <t>TOTTRANS</t>
  </si>
  <si>
    <t>LPG</t>
  </si>
  <si>
    <t>AVGAS</t>
  </si>
  <si>
    <t>JETGAS</t>
  </si>
  <si>
    <t>JETKERO</t>
  </si>
  <si>
    <t>ONONSPEC</t>
  </si>
  <si>
    <t>IEA DATA</t>
  </si>
  <si>
    <t>GASNGA</t>
  </si>
  <si>
    <t>COAHCO</t>
  </si>
  <si>
    <t>OILHFO</t>
  </si>
  <si>
    <t>OILDST</t>
  </si>
  <si>
    <t>OILKER</t>
  </si>
  <si>
    <t>OILGSL</t>
  </si>
  <si>
    <t>Coal</t>
  </si>
  <si>
    <t>ComRen</t>
  </si>
  <si>
    <t>TRAELC</t>
  </si>
  <si>
    <t>TRANGA</t>
  </si>
  <si>
    <t>TRALPG</t>
  </si>
  <si>
    <t>TRACOA</t>
  </si>
  <si>
    <t>TRAHFO</t>
  </si>
  <si>
    <t>TRADST</t>
  </si>
  <si>
    <t>TRABIO</t>
  </si>
  <si>
    <t>Kerosene</t>
  </si>
  <si>
    <t>Bus</t>
  </si>
  <si>
    <t>Heavy Trucks</t>
  </si>
  <si>
    <t>Freight</t>
  </si>
  <si>
    <t>All</t>
  </si>
  <si>
    <t>Fractional Shares</t>
  </si>
  <si>
    <t>Motor  Gas</t>
  </si>
  <si>
    <t>Áviation  Gas</t>
  </si>
  <si>
    <t>Motor Gas</t>
  </si>
  <si>
    <t>Aviation Gas</t>
  </si>
  <si>
    <t>Commercial Trucks</t>
  </si>
  <si>
    <t>^IEA_LC</t>
  </si>
  <si>
    <t>Nat Gas</t>
  </si>
  <si>
    <t>TRBGAS000</t>
  </si>
  <si>
    <t>TRBDST000</t>
  </si>
  <si>
    <t>TRBLPG000</t>
  </si>
  <si>
    <t>TRBNGA000</t>
  </si>
  <si>
    <t>TRBELC000</t>
  </si>
  <si>
    <t>SBIOMASS</t>
  </si>
  <si>
    <t>BIOCHR</t>
  </si>
  <si>
    <t>BUNKERS</t>
  </si>
  <si>
    <t>Road Bus Demand</t>
  </si>
  <si>
    <t>International Aviation</t>
  </si>
  <si>
    <t>Generic International Aircraft-Existing</t>
  </si>
  <si>
    <t>TRAAVG</t>
  </si>
  <si>
    <t>OILAVG</t>
  </si>
  <si>
    <t>OILJTG</t>
  </si>
  <si>
    <t>OILJTK</t>
  </si>
  <si>
    <t>Other</t>
  </si>
  <si>
    <t>TRAJTK</t>
  </si>
  <si>
    <t>TRLGAS000</t>
  </si>
  <si>
    <t>Road Light Vehicle Demand</t>
  </si>
  <si>
    <t>TRHDST000</t>
  </si>
  <si>
    <t>Road Heavy Trucks Demand</t>
  </si>
  <si>
    <t>TRW</t>
  </si>
  <si>
    <t>Auto</t>
  </si>
  <si>
    <t>Light Trucks</t>
  </si>
  <si>
    <t>Road Auto Demand</t>
  </si>
  <si>
    <t>TRLDST000</t>
  </si>
  <si>
    <t>TRLLPG000</t>
  </si>
  <si>
    <t>TRLNGA000</t>
  </si>
  <si>
    <t>Domestic Aviation</t>
  </si>
  <si>
    <t>Generic Domestic Aircraft-Existing</t>
  </si>
  <si>
    <t>RAIL- Passengers</t>
  </si>
  <si>
    <t>TTF000</t>
  </si>
  <si>
    <t>TTF</t>
  </si>
  <si>
    <t>Generic Freight Train-Existing</t>
  </si>
  <si>
    <t>Generic Passengers Train-Existing</t>
  </si>
  <si>
    <t>TTP000</t>
  </si>
  <si>
    <t>TTP</t>
  </si>
  <si>
    <t>Rail-Freight</t>
  </si>
  <si>
    <t>Rail-Passengers</t>
  </si>
  <si>
    <t>International Navigation</t>
  </si>
  <si>
    <t>Technologies to produce Transportation sector fuels</t>
  </si>
  <si>
    <t>Methanol</t>
  </si>
  <si>
    <t>Ethanol</t>
  </si>
  <si>
    <t>TRAMET</t>
  </si>
  <si>
    <t>TRAETH</t>
  </si>
  <si>
    <t>TRLMET000</t>
  </si>
  <si>
    <t>TRLETH000</t>
  </si>
  <si>
    <t>TRBMET000</t>
  </si>
  <si>
    <t>TRBETH000</t>
  </si>
  <si>
    <t>TRHMET000</t>
  </si>
  <si>
    <t>TRHETH000</t>
  </si>
  <si>
    <t>Internal Navigation</t>
  </si>
  <si>
    <t xml:space="preserve">  </t>
  </si>
  <si>
    <t>TRAGSL</t>
  </si>
  <si>
    <t>TRTDST000</t>
  </si>
  <si>
    <t>TRTLPG000</t>
  </si>
  <si>
    <t>TRTNGA000</t>
  </si>
  <si>
    <t>TRTELC000</t>
  </si>
  <si>
    <t>TRTMET000</t>
  </si>
  <si>
    <t>TRTETH000</t>
  </si>
  <si>
    <t>TRT</t>
  </si>
  <si>
    <t>TRTGAS000</t>
  </si>
  <si>
    <t>Light Duty Vehicles Share</t>
  </si>
  <si>
    <t>TRHGAS000</t>
  </si>
  <si>
    <t>TRWMCG000</t>
  </si>
  <si>
    <t>TRWMPG000</t>
  </si>
  <si>
    <t>Generic Domestic Navigation Ship Existing</t>
  </si>
  <si>
    <t>International Water Shipping</t>
  </si>
  <si>
    <t>COABCO</t>
  </si>
  <si>
    <t>COAOVC</t>
  </si>
  <si>
    <t>COAGSC</t>
  </si>
  <si>
    <t>GASCOG</t>
  </si>
  <si>
    <t>GASBFG</t>
  </si>
  <si>
    <t>GASOXY</t>
  </si>
  <si>
    <t>OILPTC</t>
  </si>
  <si>
    <t>OILCRL</t>
  </si>
  <si>
    <t>OILCRH</t>
  </si>
  <si>
    <t>BIOBSL</t>
  </si>
  <si>
    <t>BIOBLQ</t>
  </si>
  <si>
    <t>BIOBMU</t>
  </si>
  <si>
    <t>BIOBIN</t>
  </si>
  <si>
    <t>Three Wheels</t>
  </si>
  <si>
    <t>Two Wheels</t>
  </si>
  <si>
    <t>TRE</t>
  </si>
  <si>
    <t>MOTOR PED: .00.CFV.GAS.MPG.</t>
  </si>
  <si>
    <t>MOTOR CYCLE: .00.CFV.GAS.MCG.</t>
  </si>
  <si>
    <t>Road Two Wheels Demand</t>
  </si>
  <si>
    <t>TREGSL000</t>
  </si>
  <si>
    <t>THREE WHEELS: .00.CFV.GAS.</t>
  </si>
  <si>
    <t>TREDST000</t>
  </si>
  <si>
    <t>THREE WHEELS: .00.CFV.DST.</t>
  </si>
  <si>
    <t>Road Three Wheels Demand</t>
  </si>
  <si>
    <t>OILNGL</t>
  </si>
  <si>
    <t>OILFEE</t>
  </si>
  <si>
    <t>OILADD</t>
  </si>
  <si>
    <t>OILNCR</t>
  </si>
  <si>
    <t>OILNAP</t>
  </si>
  <si>
    <t>OILWSP</t>
  </si>
  <si>
    <t>OILLUB</t>
  </si>
  <si>
    <t>OILASP</t>
  </si>
  <si>
    <t>OILWAX</t>
  </si>
  <si>
    <t>OILNSP</t>
  </si>
  <si>
    <t>GASRFG</t>
  </si>
  <si>
    <t>GASETH</t>
  </si>
  <si>
    <t>BIOETH</t>
  </si>
  <si>
    <t>Trends in Canada's Greenhouse Gas Emissions ; 1990-1995. Environment Canada, 1997.</t>
  </si>
  <si>
    <t>Canada's Greenhouse Gas Emissions : Estimates for 1990. Environment Canada, 1992.</t>
  </si>
  <si>
    <r>
      <t>Sources :</t>
    </r>
    <r>
      <rPr>
        <sz val="8"/>
        <rFont val="Arial"/>
        <family val="2"/>
      </rPr>
      <t xml:space="preserve"> </t>
    </r>
  </si>
  <si>
    <t>TRACO2N</t>
  </si>
  <si>
    <t>TRACH4N</t>
  </si>
  <si>
    <t>TRAN2ON</t>
  </si>
  <si>
    <t>Domestic Internal Navigation</t>
  </si>
  <si>
    <t>Other Road Vehicles</t>
  </si>
  <si>
    <t>Transport CO2</t>
  </si>
  <si>
    <t>Transport CH4</t>
  </si>
  <si>
    <t>Transport N2O</t>
  </si>
  <si>
    <t>t</t>
  </si>
  <si>
    <t>Table 1:  IEA Data</t>
  </si>
  <si>
    <t>Table 2: IEA Data aggregated by (modeled) fuels</t>
  </si>
  <si>
    <t>TRLELC000</t>
  </si>
  <si>
    <t>HEAT</t>
  </si>
  <si>
    <t>CRUDEOIL</t>
  </si>
  <si>
    <t>NONCRUDE</t>
  </si>
  <si>
    <t>PETCOKE</t>
  </si>
  <si>
    <t>SOLARPV,SOLARTH</t>
  </si>
  <si>
    <t>HET</t>
  </si>
  <si>
    <t>OILCRD</t>
  </si>
  <si>
    <t>SOL</t>
  </si>
  <si>
    <t>OECDEUR,Malta,Gibraltar</t>
  </si>
  <si>
    <t>TRWMPG005</t>
  </si>
  <si>
    <t>TRWMCG005</t>
  </si>
  <si>
    <t>Proportion</t>
  </si>
  <si>
    <t>LimType</t>
  </si>
  <si>
    <t>BLQ</t>
  </si>
  <si>
    <t>BSL</t>
  </si>
  <si>
    <t>BMU</t>
  </si>
  <si>
    <t>BIN</t>
  </si>
  <si>
    <t>Medium Trucks</t>
  </si>
  <si>
    <t>TRM</t>
  </si>
  <si>
    <t>TRHLPG000</t>
  </si>
  <si>
    <t>TRHNGA000</t>
  </si>
  <si>
    <t>TRMGAS000</t>
  </si>
  <si>
    <t>TRMDST000</t>
  </si>
  <si>
    <t>TRMLPG000</t>
  </si>
  <si>
    <t>TRMNGA000</t>
  </si>
  <si>
    <t>TRMMET000</t>
  </si>
  <si>
    <t>TRMETH000</t>
  </si>
  <si>
    <t>Road Medium Trucks Demand</t>
  </si>
  <si>
    <t>CHARCOAL</t>
  </si>
  <si>
    <t>MUNWASTEN,MUNWASTER</t>
  </si>
  <si>
    <t>For CO2: Revised 1996 IPCC Guidelines for National Greenhouse Gas Inventories</t>
  </si>
  <si>
    <t>JT Houghton, LG Meira Filho, B Lim, K Treanton, I Mamaty, Y Bonduki,DJ Griggs and BA Callender (Eds)</t>
  </si>
  <si>
    <t>IPCC/OECD/IEA. UK Meteorological Office, Bracknell.</t>
  </si>
  <si>
    <t>ELCD</t>
  </si>
  <si>
    <t>Table 3:  Aggregation assumptions to assign TRNONSPE and to eliminate improbable combinations</t>
  </si>
  <si>
    <t>Table 4:  Reaggregated to eliminate small numbers and improbable mode-fuel combinations</t>
  </si>
  <si>
    <t>Table 5:  Breakout by transport mode (Fractional Shares)</t>
  </si>
  <si>
    <t>Table 6:  Breakout by transport mode (Absolute Values)</t>
  </si>
  <si>
    <t>Table 7:  IEA Data for non energy use in transport and other non specified uses</t>
  </si>
  <si>
    <t>IEA Data</t>
  </si>
  <si>
    <t>IEA Data Aggregations</t>
  </si>
  <si>
    <t>Assumptions</t>
  </si>
  <si>
    <t>Names</t>
  </si>
  <si>
    <t>Descriptions, etc.</t>
  </si>
  <si>
    <t>Used in technology sheets</t>
  </si>
  <si>
    <t>User constraints</t>
  </si>
  <si>
    <t>Sector fuel production - Electricity</t>
  </si>
  <si>
    <t>Emission - Static coefficients</t>
  </si>
  <si>
    <t>Existing vehicles</t>
  </si>
  <si>
    <t>Existing technology</t>
  </si>
  <si>
    <t>Demand</t>
  </si>
  <si>
    <t>~FI_Comm</t>
  </si>
  <si>
    <t>CSet</t>
  </si>
  <si>
    <t>CommName</t>
  </si>
  <si>
    <t>CommDesc</t>
  </si>
  <si>
    <t>Unit</t>
  </si>
  <si>
    <t>ENV</t>
  </si>
  <si>
    <t>Comm-IN</t>
  </si>
  <si>
    <t>TechName</t>
  </si>
  <si>
    <t>TechDesc</t>
  </si>
  <si>
    <t>Comm-OUT</t>
  </si>
  <si>
    <t>EFF~2050</t>
  </si>
  <si>
    <t>EFF~2065</t>
  </si>
  <si>
    <t>EFF~2080</t>
  </si>
  <si>
    <t>EFF~2100</t>
  </si>
  <si>
    <t>Share~FX</t>
  </si>
  <si>
    <t>AF</t>
  </si>
  <si>
    <t>VAROM</t>
  </si>
  <si>
    <t>FIXOM</t>
  </si>
  <si>
    <t>EFF</t>
  </si>
  <si>
    <t>CTSLvl</t>
  </si>
  <si>
    <t>PeakTS</t>
  </si>
  <si>
    <t>Ctype</t>
  </si>
  <si>
    <t>Share~FX~2020</t>
  </si>
  <si>
    <t>Share~FX~2035</t>
  </si>
  <si>
    <t>Share~FX~2050</t>
  </si>
  <si>
    <t>Sector fuel production - New</t>
  </si>
  <si>
    <t>INVCOST</t>
  </si>
  <si>
    <t>Sector fuel production - Existing</t>
  </si>
  <si>
    <t>Fuel Tech - Coal (TRA) - Existing</t>
  </si>
  <si>
    <t>Fuel Tech - Natural Gas (TRA) - Existing</t>
  </si>
  <si>
    <t>Fuel Tech - Liquified Petroleum Gas (TRA) - Existing</t>
  </si>
  <si>
    <t>Fuel Tech - Gasoline (TRA) - Existing</t>
  </si>
  <si>
    <t>Fuel Tech - Aviation Gasoline (TRA) - Existing</t>
  </si>
  <si>
    <t>Fuel Tech - Jet Kerosene (TRA) - Existing</t>
  </si>
  <si>
    <t>Fuel Tech - Diesel (TRA) - Existing</t>
  </si>
  <si>
    <t>Fuel Tech - Heavy Fuel Oil (TRA) - Existing</t>
  </si>
  <si>
    <t>Fuel Tech - Natural Gas (TRA) - New</t>
  </si>
  <si>
    <t>Fuel Tech - Liquified Petroleum Gas (TRA) - New</t>
  </si>
  <si>
    <t>Fuel Tech - Jet Kerosene (TRA) - New</t>
  </si>
  <si>
    <t>Fuel Tech - Diesel (TRA) - New</t>
  </si>
  <si>
    <t>Fuel Tech - Heavy Fuel Oil (TRA) - New</t>
  </si>
  <si>
    <t>Fuel Tech - Methanol (TRA) - New</t>
  </si>
  <si>
    <t>Fuel Tech - Ethanol (TRA) - New</t>
  </si>
  <si>
    <t>START</t>
  </si>
  <si>
    <t>OILLPG</t>
  </si>
  <si>
    <t>\I: D_LNK_EFF</t>
  </si>
  <si>
    <t>~COUNTRY</t>
  </si>
  <si>
    <t>~YEAR</t>
  </si>
  <si>
    <t>~UNITS</t>
  </si>
  <si>
    <t>~-COUNTRY</t>
  </si>
  <si>
    <t>~IEAStats</t>
  </si>
  <si>
    <t>HARDCOAL,PATFUEL,ANTCOAL,BITCOAL</t>
  </si>
  <si>
    <t>PEAT,BKB,BROWN,SUBCOAL,LIGNITE</t>
  </si>
  <si>
    <t>RESID</t>
  </si>
  <si>
    <t>DEMAND</t>
  </si>
  <si>
    <t>CZECH,HUNGARY,POLAND,TURKEY,SLOVAKIA</t>
  </si>
  <si>
    <t>GBIOMASS,OBIOLIQ</t>
  </si>
  <si>
    <t>INTLAIR</t>
  </si>
  <si>
    <t>DOMESNAV</t>
  </si>
  <si>
    <t>~FI_Process</t>
  </si>
  <si>
    <t>Sets</t>
  </si>
  <si>
    <t>Tact</t>
  </si>
  <si>
    <t>Tcap</t>
  </si>
  <si>
    <t>Tslvl</t>
  </si>
  <si>
    <t>PrimaryCG</t>
  </si>
  <si>
    <t>Vintage</t>
  </si>
  <si>
    <t>PJ_a</t>
  </si>
  <si>
    <t>NO</t>
  </si>
  <si>
    <t>Fuel Tech - Methanol  (TRA)</t>
  </si>
  <si>
    <t>Fuel Tech - Ethanol  (TRA)</t>
  </si>
  <si>
    <t>BIODST</t>
  </si>
  <si>
    <t>Biodiesel</t>
  </si>
  <si>
    <t>RegIndex</t>
  </si>
  <si>
    <t>Regions</t>
  </si>
  <si>
    <t>WEU</t>
  </si>
  <si>
    <t>Region</t>
  </si>
  <si>
    <t>Tiny</t>
  </si>
  <si>
    <t>Describe</t>
  </si>
  <si>
    <t>Comm</t>
  </si>
  <si>
    <t>COL</t>
  </si>
  <si>
    <t>ROW</t>
  </si>
  <si>
    <t>!D</t>
  </si>
  <si>
    <t>!E</t>
  </si>
  <si>
    <t>!F</t>
  </si>
  <si>
    <t>!G</t>
  </si>
  <si>
    <t>!H</t>
  </si>
  <si>
    <t>!K</t>
  </si>
  <si>
    <t>!M</t>
  </si>
  <si>
    <t>!C</t>
  </si>
  <si>
    <t>!L</t>
  </si>
  <si>
    <t>Car</t>
  </si>
  <si>
    <t>Light truck</t>
  </si>
  <si>
    <t>Heavy</t>
  </si>
  <si>
    <t>Medium</t>
  </si>
  <si>
    <t>Two-wheel</t>
  </si>
  <si>
    <t>!A</t>
  </si>
  <si>
    <t>Three-wheel</t>
  </si>
  <si>
    <t>SYNMET</t>
  </si>
  <si>
    <t>SYNETH</t>
  </si>
  <si>
    <t>CommGrp</t>
  </si>
  <si>
    <t>CEFF</t>
  </si>
  <si>
    <t>Share~UP~2050</t>
  </si>
  <si>
    <t>Share~UP~2100</t>
  </si>
  <si>
    <t>ACT_BND~2050~UP</t>
  </si>
  <si>
    <t>ACT_BND~2100~UP</t>
  </si>
  <si>
    <t>EFF MULTIPLIERS</t>
  </si>
  <si>
    <t>FIN</t>
  </si>
  <si>
    <t>TRDELC</t>
  </si>
  <si>
    <t>Electricity (TRD)</t>
  </si>
  <si>
    <t>ANNUAL</t>
  </si>
  <si>
    <t>ELCM</t>
  </si>
  <si>
    <t>INPUT</t>
  </si>
  <si>
    <t>DELIV</t>
  </si>
  <si>
    <t>Fuel Tech - Electricity (TRD)</t>
  </si>
  <si>
    <t>Market share constraints</t>
  </si>
  <si>
    <t>BD</t>
  </si>
  <si>
    <t>\I: Start</t>
  </si>
  <si>
    <t>\I: Rate</t>
  </si>
  <si>
    <t>\I: Log</t>
  </si>
  <si>
    <t>\I: Max/Min Share</t>
  </si>
  <si>
    <t>\I:Description</t>
  </si>
  <si>
    <t>LO</t>
  </si>
  <si>
    <t>Service</t>
  </si>
  <si>
    <t>Fuel</t>
  </si>
  <si>
    <t>\I: Constraints for TRT</t>
  </si>
  <si>
    <t>Minimum GASOLINE</t>
  </si>
  <si>
    <t>Minimum DIESEL</t>
  </si>
  <si>
    <t>\I: Constraints for TRL</t>
  </si>
  <si>
    <t>\I: Constraints for TRB+TRH+TRM+TRC</t>
  </si>
  <si>
    <t>Min market share:</t>
  </si>
  <si>
    <t>TTRELC</t>
  </si>
  <si>
    <t>Electricity (TTR)</t>
  </si>
  <si>
    <t>FLO_SHAR~ELCD</t>
  </si>
  <si>
    <t>DAYNITE</t>
  </si>
  <si>
    <t>Fuel Tech - Electricity (TTR)</t>
  </si>
  <si>
    <t>Electricity (Decentralized)</t>
  </si>
  <si>
    <t>TRADSO</t>
  </si>
  <si>
    <t>Light fuel oil (TRA)</t>
  </si>
  <si>
    <t>Light Fuel Oil (TRA)</t>
  </si>
  <si>
    <t>Fuel Tech - Biodiesel (TRA) - New</t>
  </si>
  <si>
    <t>Biodiesel (TRA)</t>
  </si>
  <si>
    <t>Fuel Tech - Gasoil (TRA) - Existing</t>
  </si>
  <si>
    <t>Fuel Tech - Gasoline (TRA) - Ethanol mix</t>
  </si>
  <si>
    <t>BIOJTK</t>
  </si>
  <si>
    <t>Biojet kerosene</t>
  </si>
  <si>
    <t>\I: Constraints for TW*</t>
  </si>
  <si>
    <t>TRANO2N</t>
  </si>
  <si>
    <t>N2O+NO2</t>
  </si>
  <si>
    <t>Fuel Tech - Dom Jet Kerosene (TRA)</t>
  </si>
  <si>
    <t>Fuel Tech - Dom Aviation Gasoline (TRA)</t>
  </si>
  <si>
    <t>TRAJET</t>
  </si>
  <si>
    <t>INPUT~0</t>
  </si>
  <si>
    <t>TRAOIL</t>
  </si>
  <si>
    <t>Bunker oils (TRA)</t>
  </si>
  <si>
    <t>END</t>
  </si>
  <si>
    <t>Fuel Tech - Bunker oils (TRA) - HFO</t>
  </si>
  <si>
    <t>Fuel Tech - Bunker oils (TRA) - LFO</t>
  </si>
  <si>
    <t>Bunker fuel (TRA)</t>
  </si>
  <si>
    <t>E100</t>
  </si>
  <si>
    <t>E20</t>
  </si>
  <si>
    <t>GASLNG</t>
  </si>
  <si>
    <t>SYNGAS</t>
  </si>
  <si>
    <t>Synthetic methane gas</t>
  </si>
  <si>
    <t>Fuel Tech - BIOGSL (TRA) - New</t>
  </si>
  <si>
    <t>BIOGSL</t>
  </si>
  <si>
    <t>RESID~2050</t>
  </si>
  <si>
    <t>RESID~2100</t>
  </si>
  <si>
    <t>Biogasoline</t>
  </si>
  <si>
    <t>FIM</t>
  </si>
  <si>
    <t>NCAP_BND~0</t>
  </si>
  <si>
    <t>ACT_BND~LO</t>
  </si>
  <si>
    <t>LBIOMASS</t>
  </si>
  <si>
    <t>GBIOMASS</t>
  </si>
  <si>
    <t>Params for Aux Year</t>
  </si>
  <si>
    <t>COM_IE</t>
  </si>
  <si>
    <t>Share~FX~2030</t>
  </si>
  <si>
    <t>DEM</t>
  </si>
  <si>
    <t>NRG</t>
  </si>
  <si>
    <t>Start</t>
  </si>
  <si>
    <t>MODE</t>
  </si>
  <si>
    <t>*</t>
  </si>
  <si>
    <t>R1</t>
  </si>
  <si>
    <t>R2</t>
  </si>
  <si>
    <t>MK1</t>
  </si>
  <si>
    <t>MK2</t>
  </si>
  <si>
    <t>Offset</t>
  </si>
  <si>
    <t>!L$6</t>
  </si>
  <si>
    <t>Road-Vehicles</t>
  </si>
  <si>
    <t xml:space="preserve">Emissions on flows  </t>
  </si>
  <si>
    <t>TODOS</t>
  </si>
  <si>
    <t>ADD one open option to all demands</t>
  </si>
  <si>
    <t>BioDst</t>
  </si>
  <si>
    <t>Life</t>
  </si>
  <si>
    <t>Miles</t>
  </si>
  <si>
    <t>Load</t>
  </si>
  <si>
    <t>TRMELC000</t>
  </si>
  <si>
    <t>MEDIUM TRUCK: .00.AFV.ELC.EXISTING.STD.</t>
  </si>
  <si>
    <t>TRWELC000</t>
  </si>
  <si>
    <t>\I: Constraints for TRW</t>
  </si>
  <si>
    <t>Minimum GASOL</t>
  </si>
  <si>
    <t>DMD</t>
  </si>
  <si>
    <t>MOTOR PED: .00.AFV.ELC.</t>
  </si>
  <si>
    <t>MOTOR CYCLE: .00.AFV.ELC</t>
  </si>
  <si>
    <t>PRE</t>
  </si>
  <si>
    <t>ELE</t>
  </si>
  <si>
    <t>kt</t>
  </si>
  <si>
    <t>Generic International Ship Oil - Existing</t>
  </si>
  <si>
    <t>~FI_T: FLO_EMIS</t>
  </si>
  <si>
    <t>DEMAND~0</t>
  </si>
  <si>
    <t>Market shares Generated</t>
  </si>
  <si>
    <t>FLO_EFF</t>
  </si>
  <si>
    <t>TRAPASS</t>
  </si>
  <si>
    <t>TPRB</t>
  </si>
  <si>
    <t>TPRW</t>
  </si>
  <si>
    <t>TRAGOOD</t>
  </si>
  <si>
    <t>TFRM</t>
  </si>
  <si>
    <t>TFRH</t>
  </si>
  <si>
    <t>P</t>
  </si>
  <si>
    <t>F</t>
  </si>
  <si>
    <t>Passenger land transport</t>
  </si>
  <si>
    <t>Goods land tranport</t>
  </si>
  <si>
    <t>Group</t>
  </si>
  <si>
    <t>Metropolitan light rail</t>
  </si>
  <si>
    <t>TTM</t>
  </si>
  <si>
    <t>MetroRail-Passengers</t>
  </si>
  <si>
    <t>MetroRail</t>
  </si>
  <si>
    <t>VKM</t>
  </si>
  <si>
    <t>TKM</t>
  </si>
  <si>
    <t>Gvkm</t>
  </si>
  <si>
    <t>Gpkm</t>
  </si>
  <si>
    <t>Gtkm</t>
  </si>
  <si>
    <t>TFSN</t>
  </si>
  <si>
    <t>TFSI</t>
  </si>
  <si>
    <t>TPAN</t>
  </si>
  <si>
    <t>TPAI</t>
  </si>
  <si>
    <t>TPAI000</t>
  </si>
  <si>
    <t>TPAN000</t>
  </si>
  <si>
    <t>TFSN000</t>
  </si>
  <si>
    <t>TFSI000</t>
  </si>
  <si>
    <t>Generic International Ships - Existing</t>
  </si>
  <si>
    <t>TPTN</t>
  </si>
  <si>
    <t>TPTM</t>
  </si>
  <si>
    <t>TFTN</t>
  </si>
  <si>
    <t>TPRC</t>
  </si>
  <si>
    <t>Land Transport Demands</t>
  </si>
  <si>
    <t>Road Car Demand</t>
  </si>
  <si>
    <t>TFRL</t>
  </si>
  <si>
    <t>TTM000</t>
  </si>
  <si>
    <t>kvehicles</t>
  </si>
  <si>
    <t>Fuel Tech - Hydrogen(TRA)</t>
  </si>
  <si>
    <t>SYNHYN</t>
  </si>
  <si>
    <t>SYNHYD</t>
  </si>
  <si>
    <t>TRAHH2</t>
  </si>
  <si>
    <t>Hydrogen (TRA)</t>
  </si>
  <si>
    <t>Hydrogen decentralized</t>
  </si>
  <si>
    <t>FT-TTRELC0</t>
  </si>
  <si>
    <t>FT-TRDELC0</t>
  </si>
  <si>
    <t>FT-TRAAVG0</t>
  </si>
  <si>
    <t>FT-TRACOA0</t>
  </si>
  <si>
    <t>FT-TRADSO0</t>
  </si>
  <si>
    <t>FT-TRADST5</t>
  </si>
  <si>
    <t>FT-TRADSO5</t>
  </si>
  <si>
    <t>FT-TRAETH5</t>
  </si>
  <si>
    <t>FT-TRAGSL0</t>
  </si>
  <si>
    <t>FT-TRAGSL5</t>
  </si>
  <si>
    <t>FT-TRAHFO0</t>
  </si>
  <si>
    <t>FT-TRAHFO5</t>
  </si>
  <si>
    <t>FT-TRAJTK0</t>
  </si>
  <si>
    <t>FT-TRAJTK5</t>
  </si>
  <si>
    <t>FT-TRAJET5</t>
  </si>
  <si>
    <t>FT-TRALPG0</t>
  </si>
  <si>
    <t>FT-TRALPG5</t>
  </si>
  <si>
    <t>FT-TRAMET5</t>
  </si>
  <si>
    <t>FT-TRANGA0</t>
  </si>
  <si>
    <t>FT-TRANGA5</t>
  </si>
  <si>
    <t>FT-TRAGSL6</t>
  </si>
  <si>
    <t>FT-TRAOIL0</t>
  </si>
  <si>
    <t>FT-TRAOIL5</t>
  </si>
  <si>
    <t>FT-TRAHH20</t>
  </si>
  <si>
    <t>SYNLH2</t>
  </si>
  <si>
    <t>Liquid hydrogen for distribution</t>
  </si>
  <si>
    <t>Hydrogen from central supply</t>
  </si>
  <si>
    <t>WEEKLY</t>
  </si>
  <si>
    <t>TRALNG</t>
  </si>
  <si>
    <t>LNG (TRA)</t>
  </si>
  <si>
    <t>TRACO2B</t>
  </si>
  <si>
    <t>Jet Kerosene Bunker (TRA)</t>
  </si>
  <si>
    <t>Fuel Tech - Jet Kerosene (TRA) - Bunker</t>
  </si>
  <si>
    <t>Fuel Tech - LNG (TRA)</t>
  </si>
  <si>
    <t>Transport Bunker CO2</t>
  </si>
  <si>
    <t>FT-TRALNG5</t>
  </si>
  <si>
    <t>Fuel Tech - Natural Gas (TRA) - Local prod.</t>
  </si>
  <si>
    <t>Bunker LNG (TRA)</t>
  </si>
  <si>
    <t>Share~UP</t>
  </si>
</sst>
</file>

<file path=xl/styles.xml><?xml version="1.0" encoding="utf-8"?>
<styleSheet xmlns="http://schemas.openxmlformats.org/spreadsheetml/2006/main">
  <numFmts count="6">
    <numFmt numFmtId="164" formatCode="0.000"/>
    <numFmt numFmtId="165" formatCode="0.0"/>
    <numFmt numFmtId="166" formatCode="0.0_)"/>
    <numFmt numFmtId="167" formatCode="0.0%"/>
    <numFmt numFmtId="169" formatCode="0.0000"/>
    <numFmt numFmtId="170" formatCode="0.000;General;General"/>
  </numFmts>
  <fonts count="39">
    <font>
      <sz val="10"/>
      <name val="Arial"/>
    </font>
    <font>
      <sz val="10"/>
      <color indexed="8"/>
      <name val="Arial"/>
      <family val="2"/>
    </font>
    <font>
      <sz val="10"/>
      <name val="Arial"/>
    </font>
    <font>
      <b/>
      <sz val="11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12"/>
      <name val="Arial"/>
      <family val="2"/>
    </font>
    <font>
      <u/>
      <sz val="10"/>
      <name val="Arial"/>
      <family val="2"/>
    </font>
    <font>
      <sz val="11"/>
      <name val="Arial"/>
      <family val="2"/>
    </font>
    <font>
      <sz val="14"/>
      <name val="Arial"/>
      <family val="2"/>
    </font>
    <font>
      <b/>
      <sz val="8"/>
      <name val="Arial"/>
      <family val="2"/>
    </font>
    <font>
      <sz val="12"/>
      <name val="Arial"/>
      <family val="2"/>
    </font>
    <font>
      <sz val="10"/>
      <color indexed="9"/>
      <name val="Arial"/>
      <family val="2"/>
    </font>
    <font>
      <b/>
      <i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b/>
      <sz val="8"/>
      <color indexed="8"/>
      <name val="Arial"/>
      <family val="2"/>
    </font>
    <font>
      <sz val="10"/>
      <color indexed="8"/>
      <name val="Arial"/>
      <family val="2"/>
    </font>
    <font>
      <sz val="8"/>
      <color indexed="55"/>
      <name val="Arial"/>
      <family val="2"/>
    </font>
    <font>
      <sz val="10"/>
      <color indexed="55"/>
      <name val="Arial"/>
      <family val="2"/>
    </font>
    <font>
      <sz val="14"/>
      <color indexed="9"/>
      <name val="Arial"/>
      <family val="2"/>
    </font>
    <font>
      <b/>
      <sz val="12"/>
      <color indexed="9"/>
      <name val="Arial"/>
      <family val="2"/>
    </font>
    <font>
      <b/>
      <sz val="11"/>
      <color indexed="9"/>
      <name val="Arial"/>
      <family val="2"/>
    </font>
    <font>
      <b/>
      <sz val="10"/>
      <color indexed="12"/>
      <name val="Arial"/>
      <family val="2"/>
    </font>
    <font>
      <b/>
      <sz val="8"/>
      <color indexed="12"/>
      <name val="Arial"/>
      <family val="2"/>
    </font>
    <font>
      <sz val="10"/>
      <color indexed="12"/>
      <name val="Arial"/>
      <family val="2"/>
    </font>
    <font>
      <sz val="10"/>
      <color indexed="12"/>
      <name val="Arial"/>
    </font>
    <font>
      <sz val="10"/>
      <color indexed="10"/>
      <name val="Arial"/>
    </font>
    <font>
      <sz val="12"/>
      <color indexed="9"/>
      <name val="Arial"/>
      <family val="2"/>
    </font>
    <font>
      <sz val="8"/>
      <name val="Arial"/>
    </font>
    <font>
      <sz val="9"/>
      <color indexed="8"/>
      <name val="Arial"/>
      <family val="2"/>
    </font>
    <font>
      <sz val="9"/>
      <name val="Arial"/>
    </font>
    <font>
      <b/>
      <sz val="11"/>
      <color indexed="12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26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26"/>
      </patternFill>
    </fill>
    <fill>
      <patternFill patternType="solid">
        <fgColor indexed="13"/>
        <bgColor indexed="26"/>
      </patternFill>
    </fill>
    <fill>
      <patternFill patternType="solid">
        <fgColor indexed="44"/>
        <bgColor indexed="26"/>
      </patternFill>
    </fill>
    <fill>
      <patternFill patternType="solid">
        <fgColor indexed="47"/>
        <bgColor indexed="26"/>
      </patternFill>
    </fill>
    <fill>
      <patternFill patternType="gray125">
        <fgColor indexed="22"/>
        <bgColor indexed="22"/>
      </patternFill>
    </fill>
    <fill>
      <patternFill patternType="solid">
        <fgColor indexed="1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2"/>
        <bgColor indexed="26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26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88">
    <xf numFmtId="0" fontId="0" fillId="0" borderId="0" xfId="0"/>
    <xf numFmtId="0" fontId="0" fillId="2" borderId="1" xfId="0" applyFill="1" applyBorder="1"/>
    <xf numFmtId="2" fontId="6" fillId="3" borderId="1" xfId="0" applyNumberFormat="1" applyFont="1" applyFill="1" applyBorder="1" applyAlignment="1">
      <alignment horizontal="center" wrapText="1"/>
    </xf>
    <xf numFmtId="1" fontId="6" fillId="2" borderId="1" xfId="0" applyNumberFormat="1" applyFont="1" applyFill="1" applyBorder="1" applyAlignment="1">
      <alignment horizontal="center" wrapText="1"/>
    </xf>
    <xf numFmtId="1" fontId="6" fillId="3" borderId="1" xfId="0" applyNumberFormat="1" applyFont="1" applyFill="1" applyBorder="1" applyAlignment="1">
      <alignment horizontal="center" wrapText="1"/>
    </xf>
    <xf numFmtId="0" fontId="0" fillId="4" borderId="1" xfId="0" applyFill="1" applyBorder="1"/>
    <xf numFmtId="0" fontId="6" fillId="4" borderId="1" xfId="0" applyFont="1" applyFill="1" applyBorder="1" applyAlignment="1"/>
    <xf numFmtId="0" fontId="6" fillId="4" borderId="0" xfId="0" applyFont="1" applyFill="1"/>
    <xf numFmtId="0" fontId="38" fillId="0" borderId="0" xfId="0" applyFont="1" applyAlignment="1">
      <alignment horizontal="right"/>
    </xf>
    <xf numFmtId="1" fontId="1" fillId="4" borderId="2" xfId="0" applyNumberFormat="1" applyFont="1" applyFill="1" applyBorder="1" applyAlignment="1">
      <alignment horizontal="center"/>
    </xf>
    <xf numFmtId="16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4" borderId="0" xfId="0" applyFill="1"/>
    <xf numFmtId="0" fontId="12" fillId="0" borderId="0" xfId="0" applyFont="1"/>
    <xf numFmtId="0" fontId="12" fillId="0" borderId="0" xfId="0" applyFont="1" applyAlignment="1">
      <alignment horizontal="center"/>
    </xf>
    <xf numFmtId="0" fontId="0" fillId="2" borderId="0" xfId="0" applyFill="1"/>
    <xf numFmtId="2" fontId="0" fillId="0" borderId="3" xfId="0" applyNumberFormat="1" applyBorder="1"/>
    <xf numFmtId="0" fontId="0" fillId="0" borderId="0" xfId="0" applyFill="1"/>
    <xf numFmtId="0" fontId="9" fillId="3" borderId="0" xfId="0" applyFont="1" applyFill="1"/>
    <xf numFmtId="0" fontId="9" fillId="5" borderId="0" xfId="0" applyFont="1" applyFill="1"/>
    <xf numFmtId="0" fontId="9" fillId="6" borderId="0" xfId="0" applyFont="1" applyFill="1"/>
    <xf numFmtId="0" fontId="0" fillId="6" borderId="0" xfId="0" applyFill="1"/>
    <xf numFmtId="0" fontId="9" fillId="2" borderId="0" xfId="0" applyFont="1" applyFill="1"/>
    <xf numFmtId="0" fontId="0" fillId="4" borderId="3" xfId="0" applyFill="1" applyBorder="1"/>
    <xf numFmtId="0" fontId="0" fillId="4" borderId="0" xfId="0" applyFill="1" applyAlignment="1">
      <alignment wrapText="1"/>
    </xf>
    <xf numFmtId="0" fontId="6" fillId="4" borderId="4" xfId="0" applyFont="1" applyFill="1" applyBorder="1" applyAlignment="1">
      <alignment wrapText="1"/>
    </xf>
    <xf numFmtId="0" fontId="6" fillId="4" borderId="4" xfId="0" applyFont="1" applyFill="1" applyBorder="1"/>
    <xf numFmtId="2" fontId="0" fillId="3" borderId="0" xfId="0" applyNumberFormat="1" applyFill="1"/>
    <xf numFmtId="2" fontId="0" fillId="3" borderId="3" xfId="0" applyNumberFormat="1" applyFill="1" applyBorder="1"/>
    <xf numFmtId="0" fontId="6" fillId="4" borderId="0" xfId="0" applyFont="1" applyFill="1" applyAlignment="1"/>
    <xf numFmtId="0" fontId="0" fillId="4" borderId="0" xfId="0" applyFill="1" applyBorder="1"/>
    <xf numFmtId="1" fontId="9" fillId="3" borderId="0" xfId="0" applyNumberFormat="1" applyFont="1" applyFill="1"/>
    <xf numFmtId="0" fontId="0" fillId="7" borderId="0" xfId="0" applyFill="1"/>
    <xf numFmtId="0" fontId="0" fillId="7" borderId="0" xfId="0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6" borderId="0" xfId="0" applyFont="1" applyFill="1"/>
    <xf numFmtId="0" fontId="6" fillId="9" borderId="0" xfId="0" applyFont="1" applyFill="1"/>
    <xf numFmtId="0" fontId="9" fillId="7" borderId="0" xfId="0" applyFont="1" applyFill="1"/>
    <xf numFmtId="0" fontId="6" fillId="10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1" fontId="0" fillId="6" borderId="0" xfId="0" applyNumberFormat="1" applyFill="1" applyAlignment="1">
      <alignment horizontal="right"/>
    </xf>
    <xf numFmtId="165" fontId="9" fillId="11" borderId="0" xfId="0" applyNumberFormat="1" applyFont="1" applyFill="1"/>
    <xf numFmtId="0" fontId="9" fillId="4" borderId="4" xfId="0" applyFont="1" applyFill="1" applyBorder="1" applyAlignment="1">
      <alignment horizontal="center" vertical="center" wrapText="1"/>
    </xf>
    <xf numFmtId="1" fontId="9" fillId="9" borderId="0" xfId="0" applyNumberFormat="1" applyFont="1" applyFill="1" applyAlignment="1">
      <alignment horizontal="right"/>
    </xf>
    <xf numFmtId="165" fontId="0" fillId="5" borderId="0" xfId="0" applyNumberFormat="1" applyFill="1"/>
    <xf numFmtId="165" fontId="0" fillId="12" borderId="0" xfId="0" applyNumberFormat="1" applyFill="1"/>
    <xf numFmtId="165" fontId="9" fillId="12" borderId="0" xfId="0" applyNumberFormat="1" applyFont="1" applyFill="1"/>
    <xf numFmtId="0" fontId="0" fillId="2" borderId="3" xfId="0" applyFill="1" applyBorder="1"/>
    <xf numFmtId="164" fontId="0" fillId="2" borderId="3" xfId="0" applyNumberFormat="1" applyFill="1" applyBorder="1"/>
    <xf numFmtId="0" fontId="9" fillId="4" borderId="4" xfId="0" applyFont="1" applyFill="1" applyBorder="1" applyAlignment="1">
      <alignment vertical="center" wrapText="1"/>
    </xf>
    <xf numFmtId="0" fontId="9" fillId="4" borderId="4" xfId="0" applyFont="1" applyFill="1" applyBorder="1" applyAlignment="1">
      <alignment horizontal="right" vertical="center" wrapText="1"/>
    </xf>
    <xf numFmtId="2" fontId="0" fillId="3" borderId="0" xfId="0" applyNumberFormat="1" applyFill="1" applyAlignment="1">
      <alignment horizontal="right"/>
    </xf>
    <xf numFmtId="0" fontId="0" fillId="2" borderId="0" xfId="0" applyFill="1" applyAlignment="1">
      <alignment horizontal="right"/>
    </xf>
    <xf numFmtId="2" fontId="0" fillId="3" borderId="3" xfId="0" applyNumberFormat="1" applyFill="1" applyBorder="1" applyAlignment="1">
      <alignment horizontal="right"/>
    </xf>
    <xf numFmtId="0" fontId="13" fillId="0" borderId="0" xfId="0" applyFont="1" applyAlignment="1">
      <alignment horizontal="center" vertical="center" wrapText="1"/>
    </xf>
    <xf numFmtId="2" fontId="0" fillId="2" borderId="0" xfId="0" applyNumberFormat="1" applyFill="1"/>
    <xf numFmtId="0" fontId="9" fillId="10" borderId="0" xfId="0" applyFont="1" applyFill="1"/>
    <xf numFmtId="2" fontId="0" fillId="3" borderId="5" xfId="0" applyNumberFormat="1" applyFill="1" applyBorder="1" applyAlignment="1">
      <alignment horizontal="right"/>
    </xf>
    <xf numFmtId="1" fontId="0" fillId="4" borderId="3" xfId="0" applyNumberFormat="1" applyFill="1" applyBorder="1"/>
    <xf numFmtId="2" fontId="0" fillId="0" borderId="0" xfId="0" applyNumberFormat="1" applyBorder="1"/>
    <xf numFmtId="164" fontId="0" fillId="0" borderId="0" xfId="0" applyNumberFormat="1" applyBorder="1"/>
    <xf numFmtId="164" fontId="0" fillId="2" borderId="0" xfId="0" applyNumberFormat="1" applyFill="1" applyBorder="1"/>
    <xf numFmtId="0" fontId="0" fillId="0" borderId="0" xfId="0" applyBorder="1"/>
    <xf numFmtId="0" fontId="14" fillId="0" borderId="0" xfId="0" applyFont="1"/>
    <xf numFmtId="2" fontId="0" fillId="3" borderId="0" xfId="0" applyNumberFormat="1" applyFill="1" applyBorder="1"/>
    <xf numFmtId="2" fontId="0" fillId="3" borderId="0" xfId="0" applyNumberFormat="1" applyFill="1" applyBorder="1" applyAlignment="1">
      <alignment horizontal="right"/>
    </xf>
    <xf numFmtId="0" fontId="6" fillId="10" borderId="0" xfId="0" applyFont="1" applyFill="1"/>
    <xf numFmtId="0" fontId="6" fillId="4" borderId="0" xfId="0" applyFont="1" applyFill="1" applyAlignment="1">
      <alignment wrapText="1"/>
    </xf>
    <xf numFmtId="2" fontId="0" fillId="4" borderId="0" xfId="0" applyNumberFormat="1" applyFill="1"/>
    <xf numFmtId="166" fontId="0" fillId="0" borderId="0" xfId="0" applyNumberFormat="1" applyProtection="1"/>
    <xf numFmtId="0" fontId="18" fillId="6" borderId="0" xfId="0" applyFont="1" applyFill="1" applyAlignment="1">
      <alignment horizontal="right"/>
    </xf>
    <xf numFmtId="0" fontId="8" fillId="4" borderId="6" xfId="0" applyFont="1" applyFill="1" applyBorder="1" applyAlignment="1">
      <alignment horizontal="left" vertical="center" wrapText="1"/>
    </xf>
    <xf numFmtId="0" fontId="8" fillId="4" borderId="7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horizontal="left" vertical="center" wrapText="1"/>
    </xf>
    <xf numFmtId="2" fontId="8" fillId="2" borderId="8" xfId="0" applyNumberFormat="1" applyFont="1" applyFill="1" applyBorder="1" applyAlignment="1">
      <alignment horizontal="right"/>
    </xf>
    <xf numFmtId="2" fontId="8" fillId="2" borderId="6" xfId="0" applyNumberFormat="1" applyFont="1" applyFill="1" applyBorder="1" applyAlignment="1">
      <alignment horizontal="right"/>
    </xf>
    <xf numFmtId="0" fontId="8" fillId="2" borderId="6" xfId="0" applyFont="1" applyFill="1" applyBorder="1" applyAlignment="1">
      <alignment horizontal="right"/>
    </xf>
    <xf numFmtId="0" fontId="8" fillId="2" borderId="7" xfId="0" applyFont="1" applyFill="1" applyBorder="1" applyAlignment="1">
      <alignment horizontal="right"/>
    </xf>
    <xf numFmtId="2" fontId="8" fillId="2" borderId="7" xfId="0" applyNumberFormat="1" applyFont="1" applyFill="1" applyBorder="1" applyAlignment="1">
      <alignment horizontal="right"/>
    </xf>
    <xf numFmtId="0" fontId="8" fillId="2" borderId="8" xfId="0" applyFont="1" applyFill="1" applyBorder="1" applyAlignment="1">
      <alignment horizontal="right"/>
    </xf>
    <xf numFmtId="0" fontId="1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20" fillId="13" borderId="0" xfId="0" applyFont="1" applyFill="1"/>
    <xf numFmtId="0" fontId="20" fillId="7" borderId="0" xfId="0" applyFont="1" applyFill="1"/>
    <xf numFmtId="2" fontId="20" fillId="7" borderId="0" xfId="0" applyNumberFormat="1" applyFont="1" applyFill="1"/>
    <xf numFmtId="2" fontId="0" fillId="2" borderId="3" xfId="0" applyNumberFormat="1" applyFill="1" applyBorder="1"/>
    <xf numFmtId="2" fontId="0" fillId="2" borderId="0" xfId="0" applyNumberFormat="1" applyFill="1" applyBorder="1"/>
    <xf numFmtId="0" fontId="19" fillId="13" borderId="0" xfId="0" applyFont="1" applyFill="1"/>
    <xf numFmtId="2" fontId="19" fillId="13" borderId="0" xfId="0" applyNumberFormat="1" applyFont="1" applyFill="1"/>
    <xf numFmtId="164" fontId="0" fillId="0" borderId="3" xfId="0" applyNumberFormat="1" applyBorder="1"/>
    <xf numFmtId="0" fontId="0" fillId="2" borderId="0" xfId="0" applyFill="1" applyBorder="1"/>
    <xf numFmtId="0" fontId="23" fillId="0" borderId="0" xfId="0" applyNumberFormat="1" applyFont="1" applyFill="1" applyBorder="1" applyAlignment="1"/>
    <xf numFmtId="0" fontId="22" fillId="0" borderId="0" xfId="0" applyNumberFormat="1" applyFont="1" applyFill="1" applyBorder="1" applyAlignment="1"/>
    <xf numFmtId="0" fontId="23" fillId="0" borderId="2" xfId="0" applyNumberFormat="1" applyFont="1" applyFill="1" applyBorder="1" applyAlignment="1"/>
    <xf numFmtId="0" fontId="26" fillId="14" borderId="0" xfId="0" applyFont="1" applyFill="1"/>
    <xf numFmtId="0" fontId="17" fillId="14" borderId="0" xfId="0" applyFont="1" applyFill="1"/>
    <xf numFmtId="0" fontId="6" fillId="4" borderId="4" xfId="0" applyFont="1" applyFill="1" applyBorder="1" applyAlignment="1"/>
    <xf numFmtId="0" fontId="20" fillId="13" borderId="0" xfId="0" applyFont="1" applyFill="1" applyBorder="1"/>
    <xf numFmtId="0" fontId="26" fillId="14" borderId="0" xfId="0" quotePrefix="1" applyFont="1" applyFill="1" applyAlignment="1">
      <alignment horizontal="left"/>
    </xf>
    <xf numFmtId="0" fontId="17" fillId="15" borderId="0" xfId="0" applyFont="1" applyFill="1"/>
    <xf numFmtId="0" fontId="26" fillId="16" borderId="0" xfId="0" applyFont="1" applyFill="1"/>
    <xf numFmtId="0" fontId="27" fillId="16" borderId="0" xfId="0" applyFont="1" applyFill="1"/>
    <xf numFmtId="0" fontId="11" fillId="16" borderId="0" xfId="0" applyFont="1" applyFill="1"/>
    <xf numFmtId="0" fontId="6" fillId="13" borderId="0" xfId="0" applyFont="1" applyFill="1"/>
    <xf numFmtId="0" fontId="20" fillId="7" borderId="0" xfId="0" applyFont="1" applyFill="1" applyBorder="1"/>
    <xf numFmtId="0" fontId="0" fillId="14" borderId="0" xfId="0" applyFill="1"/>
    <xf numFmtId="0" fontId="13" fillId="0" borderId="0" xfId="0" applyFont="1"/>
    <xf numFmtId="164" fontId="0" fillId="0" borderId="0" xfId="0" applyNumberFormat="1" applyFill="1"/>
    <xf numFmtId="2" fontId="0" fillId="0" borderId="0" xfId="0" applyNumberFormat="1" applyFill="1"/>
    <xf numFmtId="0" fontId="0" fillId="0" borderId="0" xfId="0" applyFill="1" applyProtection="1">
      <protection locked="0"/>
    </xf>
    <xf numFmtId="1" fontId="0" fillId="4" borderId="0" xfId="0" applyNumberFormat="1" applyFill="1"/>
    <xf numFmtId="0" fontId="0" fillId="4" borderId="0" xfId="0" applyFill="1" applyProtection="1">
      <protection locked="0"/>
    </xf>
    <xf numFmtId="0" fontId="0" fillId="2" borderId="0" xfId="0" applyFill="1" applyProtection="1">
      <protection locked="0"/>
    </xf>
    <xf numFmtId="0" fontId="13" fillId="4" borderId="1" xfId="0" applyFont="1" applyFill="1" applyBorder="1"/>
    <xf numFmtId="164" fontId="0" fillId="4" borderId="1" xfId="0" applyNumberFormat="1" applyFill="1" applyBorder="1"/>
    <xf numFmtId="2" fontId="0" fillId="4" borderId="1" xfId="0" applyNumberFormat="1" applyFill="1" applyBorder="1"/>
    <xf numFmtId="0" fontId="0" fillId="4" borderId="1" xfId="0" applyFill="1" applyBorder="1" applyProtection="1">
      <protection locked="0"/>
    </xf>
    <xf numFmtId="0" fontId="26" fillId="14" borderId="0" xfId="0" applyFont="1" applyFill="1" applyBorder="1" applyAlignment="1">
      <alignment horizontal="left"/>
    </xf>
    <xf numFmtId="1" fontId="8" fillId="4" borderId="8" xfId="0" applyNumberFormat="1" applyFont="1" applyFill="1" applyBorder="1" applyAlignment="1">
      <alignment horizontal="left" vertical="center" wrapText="1"/>
    </xf>
    <xf numFmtId="1" fontId="8" fillId="4" borderId="6" xfId="0" applyNumberFormat="1" applyFont="1" applyFill="1" applyBorder="1" applyAlignment="1">
      <alignment horizontal="left" vertical="center" wrapText="1"/>
    </xf>
    <xf numFmtId="1" fontId="8" fillId="4" borderId="9" xfId="0" applyNumberFormat="1" applyFont="1" applyFill="1" applyBorder="1" applyAlignment="1">
      <alignment horizontal="left"/>
    </xf>
    <xf numFmtId="1" fontId="8" fillId="4" borderId="7" xfId="0" applyNumberFormat="1" applyFont="1" applyFill="1" applyBorder="1" applyAlignment="1">
      <alignment horizontal="left" vertical="center" wrapText="1"/>
    </xf>
    <xf numFmtId="0" fontId="28" fillId="14" borderId="0" xfId="0" applyFont="1" applyFill="1" applyAlignment="1">
      <alignment horizontal="center" vertical="center" wrapText="1"/>
    </xf>
    <xf numFmtId="0" fontId="24" fillId="0" borderId="0" xfId="0" applyFont="1"/>
    <xf numFmtId="0" fontId="8" fillId="4" borderId="4" xfId="0" applyFont="1" applyFill="1" applyBorder="1" applyAlignment="1">
      <alignment horizontal="right" vertical="center" wrapText="1"/>
    </xf>
    <xf numFmtId="10" fontId="25" fillId="0" borderId="0" xfId="1" applyNumberFormat="1" applyFont="1"/>
    <xf numFmtId="0" fontId="8" fillId="4" borderId="0" xfId="0" applyFont="1" applyFill="1" applyBorder="1"/>
    <xf numFmtId="2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0" fontId="0" fillId="2" borderId="5" xfId="0" applyFill="1" applyBorder="1"/>
    <xf numFmtId="0" fontId="0" fillId="2" borderId="0" xfId="0" applyFill="1" applyBorder="1" applyAlignment="1">
      <alignment horizontal="right"/>
    </xf>
    <xf numFmtId="0" fontId="8" fillId="4" borderId="3" xfId="0" applyFont="1" applyFill="1" applyBorder="1"/>
    <xf numFmtId="2" fontId="17" fillId="14" borderId="0" xfId="0" applyNumberFormat="1" applyFont="1" applyFill="1"/>
    <xf numFmtId="2" fontId="6" fillId="3" borderId="0" xfId="0" applyNumberFormat="1" applyFont="1" applyFill="1" applyAlignment="1">
      <alignment wrapText="1"/>
    </xf>
    <xf numFmtId="0" fontId="0" fillId="0" borderId="0" xfId="0" applyAlignment="1"/>
    <xf numFmtId="2" fontId="0" fillId="4" borderId="0" xfId="0" applyNumberFormat="1" applyFill="1" applyBorder="1"/>
    <xf numFmtId="164" fontId="9" fillId="0" borderId="0" xfId="0" applyNumberFormat="1" applyFont="1" applyFill="1" applyBorder="1" applyAlignment="1">
      <alignment horizontal="right" vertical="center" wrapText="1"/>
    </xf>
    <xf numFmtId="164" fontId="0" fillId="0" borderId="0" xfId="0" applyNumberFormat="1" applyFill="1" applyBorder="1" applyAlignment="1">
      <alignment horizontal="right"/>
    </xf>
    <xf numFmtId="2" fontId="0" fillId="3" borderId="0" xfId="0" quotePrefix="1" applyNumberFormat="1" applyFill="1" applyBorder="1" applyAlignment="1">
      <alignment horizontal="right"/>
    </xf>
    <xf numFmtId="2" fontId="0" fillId="2" borderId="5" xfId="0" applyNumberFormat="1" applyFill="1" applyBorder="1"/>
    <xf numFmtId="164" fontId="0" fillId="2" borderId="5" xfId="0" applyNumberFormat="1" applyFill="1" applyBorder="1"/>
    <xf numFmtId="2" fontId="9" fillId="0" borderId="0" xfId="0" applyNumberFormat="1" applyFont="1" applyFill="1" applyBorder="1" applyAlignment="1">
      <alignment horizontal="right"/>
    </xf>
    <xf numFmtId="165" fontId="8" fillId="2" borderId="0" xfId="0" applyNumberFormat="1" applyFont="1" applyFill="1"/>
    <xf numFmtId="165" fontId="8" fillId="2" borderId="7" xfId="0" applyNumberFormat="1" applyFont="1" applyFill="1" applyBorder="1"/>
    <xf numFmtId="0" fontId="0" fillId="17" borderId="10" xfId="0" applyFill="1" applyBorder="1"/>
    <xf numFmtId="2" fontId="0" fillId="17" borderId="10" xfId="0" applyNumberFormat="1" applyFill="1" applyBorder="1"/>
    <xf numFmtId="0" fontId="6" fillId="18" borderId="0" xfId="0" applyFont="1" applyFill="1"/>
    <xf numFmtId="1" fontId="0" fillId="15" borderId="0" xfId="0" applyNumberFormat="1" applyFill="1" applyAlignment="1">
      <alignment horizontal="right"/>
    </xf>
    <xf numFmtId="0" fontId="29" fillId="18" borderId="0" xfId="0" applyFont="1" applyFill="1"/>
    <xf numFmtId="0" fontId="11" fillId="18" borderId="0" xfId="0" applyFont="1" applyFill="1"/>
    <xf numFmtId="0" fontId="9" fillId="18" borderId="0" xfId="0" applyFont="1" applyFill="1"/>
    <xf numFmtId="0" fontId="16" fillId="18" borderId="0" xfId="0" applyFont="1" applyFill="1"/>
    <xf numFmtId="0" fontId="9" fillId="18" borderId="0" xfId="0" applyFont="1" applyFill="1" applyBorder="1"/>
    <xf numFmtId="0" fontId="21" fillId="18" borderId="0" xfId="0" applyFont="1" applyFill="1" applyBorder="1"/>
    <xf numFmtId="0" fontId="0" fillId="15" borderId="0" xfId="0" applyFill="1"/>
    <xf numFmtId="0" fontId="0" fillId="18" borderId="0" xfId="0" applyFill="1"/>
    <xf numFmtId="0" fontId="9" fillId="15" borderId="0" xfId="0" applyFont="1" applyFill="1" applyAlignment="1">
      <alignment horizontal="right"/>
    </xf>
    <xf numFmtId="0" fontId="9" fillId="18" borderId="0" xfId="0" applyFont="1" applyFill="1" applyAlignment="1">
      <alignment horizontal="left"/>
    </xf>
    <xf numFmtId="0" fontId="9" fillId="18" borderId="0" xfId="0" applyFont="1" applyFill="1" applyAlignment="1">
      <alignment horizontal="right"/>
    </xf>
    <xf numFmtId="167" fontId="21" fillId="18" borderId="0" xfId="1" applyNumberFormat="1" applyFont="1" applyFill="1"/>
    <xf numFmtId="2" fontId="16" fillId="18" borderId="0" xfId="0" applyNumberFormat="1" applyFont="1" applyFill="1"/>
    <xf numFmtId="0" fontId="6" fillId="15" borderId="0" xfId="0" applyFont="1" applyFill="1"/>
    <xf numFmtId="0" fontId="6" fillId="18" borderId="0" xfId="0" applyFont="1" applyFill="1" applyAlignment="1">
      <alignment horizontal="right"/>
    </xf>
    <xf numFmtId="165" fontId="9" fillId="18" borderId="0" xfId="0" applyNumberFormat="1" applyFont="1" applyFill="1"/>
    <xf numFmtId="165" fontId="9" fillId="18" borderId="0" xfId="0" applyNumberFormat="1" applyFont="1" applyFill="1" applyBorder="1"/>
    <xf numFmtId="167" fontId="21" fillId="18" borderId="0" xfId="1" applyNumberFormat="1" applyFont="1" applyFill="1" applyBorder="1"/>
    <xf numFmtId="0" fontId="0" fillId="15" borderId="0" xfId="0" applyFill="1" applyBorder="1"/>
    <xf numFmtId="0" fontId="6" fillId="15" borderId="0" xfId="0" applyFont="1" applyFill="1" applyBorder="1" applyAlignment="1">
      <alignment horizontal="right"/>
    </xf>
    <xf numFmtId="0" fontId="11" fillId="18" borderId="0" xfId="0" applyFont="1" applyFill="1" applyBorder="1"/>
    <xf numFmtId="0" fontId="3" fillId="18" borderId="0" xfId="0" applyFont="1" applyFill="1"/>
    <xf numFmtId="0" fontId="3" fillId="18" borderId="0" xfId="0" applyFont="1" applyFill="1" applyBorder="1" applyAlignment="1">
      <alignment horizontal="left"/>
    </xf>
    <xf numFmtId="0" fontId="3" fillId="18" borderId="0" xfId="0" applyFont="1" applyFill="1" applyAlignment="1">
      <alignment horizontal="left"/>
    </xf>
    <xf numFmtId="0" fontId="6" fillId="18" borderId="0" xfId="0" applyFont="1" applyFill="1" applyAlignment="1">
      <alignment horizontal="left"/>
    </xf>
    <xf numFmtId="0" fontId="6" fillId="18" borderId="0" xfId="0" applyFont="1" applyFill="1" applyBorder="1" applyAlignment="1">
      <alignment horizontal="left"/>
    </xf>
    <xf numFmtId="0" fontId="9" fillId="18" borderId="0" xfId="0" applyFont="1" applyFill="1" applyBorder="1" applyAlignment="1">
      <alignment horizontal="left"/>
    </xf>
    <xf numFmtId="2" fontId="19" fillId="18" borderId="0" xfId="0" applyNumberFormat="1" applyFont="1" applyFill="1"/>
    <xf numFmtId="2" fontId="6" fillId="18" borderId="0" xfId="0" applyNumberFormat="1" applyFont="1" applyFill="1"/>
    <xf numFmtId="2" fontId="9" fillId="18" borderId="0" xfId="0" applyNumberFormat="1" applyFont="1" applyFill="1"/>
    <xf numFmtId="164" fontId="11" fillId="18" borderId="0" xfId="0" applyNumberFormat="1" applyFont="1" applyFill="1"/>
    <xf numFmtId="0" fontId="27" fillId="18" borderId="0" xfId="0" applyFont="1" applyFill="1"/>
    <xf numFmtId="164" fontId="16" fillId="18" borderId="0" xfId="0" applyNumberFormat="1" applyFont="1" applyFill="1"/>
    <xf numFmtId="0" fontId="9" fillId="15" borderId="0" xfId="0" applyFont="1" applyFill="1"/>
    <xf numFmtId="0" fontId="29" fillId="0" borderId="0" xfId="0" applyFont="1"/>
    <xf numFmtId="0" fontId="29" fillId="0" borderId="0" xfId="0" applyFont="1" applyBorder="1" applyAlignment="1">
      <alignment horizontal="left"/>
    </xf>
    <xf numFmtId="0" fontId="29" fillId="4" borderId="1" xfId="0" applyFont="1" applyFill="1" applyBorder="1"/>
    <xf numFmtId="0" fontId="8" fillId="4" borderId="11" xfId="0" applyFont="1" applyFill="1" applyBorder="1" applyAlignment="1">
      <alignment horizontal="left" vertical="center" wrapText="1"/>
    </xf>
    <xf numFmtId="0" fontId="8" fillId="4" borderId="11" xfId="0" applyFont="1" applyFill="1" applyBorder="1" applyAlignment="1">
      <alignment horizontal="right" vertical="center" wrapText="1"/>
    </xf>
    <xf numFmtId="0" fontId="29" fillId="0" borderId="0" xfId="0" applyFont="1" applyAlignment="1">
      <alignment horizontal="left"/>
    </xf>
    <xf numFmtId="0" fontId="9" fillId="19" borderId="0" xfId="0" applyFont="1" applyFill="1"/>
    <xf numFmtId="2" fontId="6" fillId="9" borderId="0" xfId="0" applyNumberFormat="1" applyFont="1" applyFill="1" applyAlignment="1">
      <alignment horizontal="right"/>
    </xf>
    <xf numFmtId="0" fontId="11" fillId="9" borderId="0" xfId="0" applyFont="1" applyFill="1"/>
    <xf numFmtId="2" fontId="6" fillId="9" borderId="0" xfId="0" applyNumberFormat="1" applyFont="1" applyFill="1"/>
    <xf numFmtId="2" fontId="9" fillId="9" borderId="0" xfId="0" applyNumberFormat="1" applyFont="1" applyFill="1"/>
    <xf numFmtId="164" fontId="9" fillId="9" borderId="0" xfId="0" applyNumberFormat="1" applyFont="1" applyFill="1"/>
    <xf numFmtId="2" fontId="26" fillId="14" borderId="0" xfId="0" applyNumberFormat="1" applyFont="1" applyFill="1" applyAlignment="1">
      <alignment horizontal="left"/>
    </xf>
    <xf numFmtId="0" fontId="0" fillId="8" borderId="0" xfId="0" applyFill="1"/>
    <xf numFmtId="0" fontId="0" fillId="8" borderId="0" xfId="0" applyFill="1" applyBorder="1"/>
    <xf numFmtId="0" fontId="0" fillId="8" borderId="3" xfId="0" applyFill="1" applyBorder="1"/>
    <xf numFmtId="0" fontId="0" fillId="8" borderId="5" xfId="0" applyFill="1" applyBorder="1"/>
    <xf numFmtId="0" fontId="9" fillId="8" borderId="0" xfId="0" applyFont="1" applyFill="1" applyBorder="1" applyAlignment="1">
      <alignment vertical="center" wrapText="1"/>
    </xf>
    <xf numFmtId="2" fontId="0" fillId="2" borderId="1" xfId="0" applyNumberFormat="1" applyFill="1" applyBorder="1"/>
    <xf numFmtId="0" fontId="30" fillId="0" borderId="0" xfId="0" applyNumberFormat="1" applyFont="1" applyFill="1" applyBorder="1" applyAlignment="1">
      <alignment horizontal="left"/>
    </xf>
    <xf numFmtId="0" fontId="26" fillId="14" borderId="0" xfId="0" applyFont="1" applyFill="1" applyAlignment="1">
      <alignment horizontal="left"/>
    </xf>
    <xf numFmtId="1" fontId="0" fillId="4" borderId="1" xfId="0" applyNumberFormat="1" applyFill="1" applyBorder="1"/>
    <xf numFmtId="0" fontId="9" fillId="4" borderId="4" xfId="0" quotePrefix="1" applyFont="1" applyFill="1" applyBorder="1" applyAlignment="1">
      <alignment horizontal="center" vertical="center" wrapText="1"/>
    </xf>
    <xf numFmtId="0" fontId="3" fillId="8" borderId="0" xfId="0" applyFont="1" applyFill="1" applyAlignment="1"/>
    <xf numFmtId="0" fontId="6" fillId="8" borderId="0" xfId="0" applyFont="1" applyFill="1" applyAlignment="1"/>
    <xf numFmtId="0" fontId="15" fillId="8" borderId="0" xfId="0" applyNumberFormat="1" applyFont="1" applyFill="1" applyBorder="1" applyAlignment="1"/>
    <xf numFmtId="0" fontId="29" fillId="15" borderId="0" xfId="0" applyFont="1" applyFill="1"/>
    <xf numFmtId="1" fontId="0" fillId="4" borderId="0" xfId="0" quotePrefix="1" applyNumberFormat="1" applyFill="1" applyAlignment="1">
      <alignment horizontal="left"/>
    </xf>
    <xf numFmtId="164" fontId="0" fillId="4" borderId="0" xfId="0" applyNumberFormat="1" applyFill="1"/>
    <xf numFmtId="0" fontId="31" fillId="0" borderId="0" xfId="0" applyFont="1" applyFill="1" applyBorder="1"/>
    <xf numFmtId="0" fontId="6" fillId="4" borderId="12" xfId="0" applyFont="1" applyFill="1" applyBorder="1"/>
    <xf numFmtId="0" fontId="6" fillId="4" borderId="10" xfId="0" applyFont="1" applyFill="1" applyBorder="1"/>
    <xf numFmtId="0" fontId="6" fillId="4" borderId="13" xfId="0" applyFont="1" applyFill="1" applyBorder="1"/>
    <xf numFmtId="0" fontId="33" fillId="4" borderId="0" xfId="0" applyFont="1" applyFill="1"/>
    <xf numFmtId="0" fontId="33" fillId="4" borderId="1" xfId="0" applyFont="1" applyFill="1" applyBorder="1"/>
    <xf numFmtId="0" fontId="6" fillId="4" borderId="14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11" fontId="0" fillId="5" borderId="0" xfId="0" applyNumberFormat="1" applyFill="1"/>
    <xf numFmtId="0" fontId="9" fillId="20" borderId="0" xfId="0" applyFont="1" applyFill="1"/>
    <xf numFmtId="165" fontId="0" fillId="0" borderId="0" xfId="0" applyNumberFormat="1" applyFill="1"/>
    <xf numFmtId="1" fontId="0" fillId="2" borderId="0" xfId="0" applyNumberFormat="1" applyFill="1"/>
    <xf numFmtId="1" fontId="36" fillId="4" borderId="4" xfId="0" applyNumberFormat="1" applyFont="1" applyFill="1" applyBorder="1" applyAlignment="1">
      <alignment horizontal="right"/>
    </xf>
    <xf numFmtId="0" fontId="20" fillId="4" borderId="0" xfId="0" applyFont="1" applyFill="1"/>
    <xf numFmtId="0" fontId="37" fillId="4" borderId="0" xfId="0" applyFont="1" applyFill="1"/>
    <xf numFmtId="165" fontId="8" fillId="2" borderId="6" xfId="0" applyNumberFormat="1" applyFont="1" applyFill="1" applyBorder="1" applyAlignment="1"/>
    <xf numFmtId="165" fontId="16" fillId="18" borderId="0" xfId="0" applyNumberFormat="1" applyFont="1" applyFill="1"/>
    <xf numFmtId="0" fontId="0" fillId="4" borderId="0" xfId="0" applyFill="1" applyAlignment="1"/>
    <xf numFmtId="0" fontId="8" fillId="17" borderId="10" xfId="0" applyFont="1" applyFill="1" applyBorder="1"/>
    <xf numFmtId="0" fontId="8" fillId="17" borderId="14" xfId="0" applyFont="1" applyFill="1" applyBorder="1" applyAlignment="1">
      <alignment horizontal="center"/>
    </xf>
    <xf numFmtId="0" fontId="0" fillId="0" borderId="10" xfId="0" applyBorder="1"/>
    <xf numFmtId="0" fontId="8" fillId="17" borderId="12" xfId="0" applyFont="1" applyFill="1" applyBorder="1"/>
    <xf numFmtId="2" fontId="9" fillId="7" borderId="0" xfId="0" applyNumberFormat="1" applyFont="1" applyFill="1"/>
    <xf numFmtId="0" fontId="0" fillId="4" borderId="0" xfId="0" applyFill="1" applyAlignment="1">
      <alignment horizontal="right"/>
    </xf>
    <xf numFmtId="0" fontId="2" fillId="4" borderId="1" xfId="0" applyFont="1" applyFill="1" applyBorder="1" applyAlignment="1">
      <alignment horizontal="center"/>
    </xf>
    <xf numFmtId="1" fontId="8" fillId="2" borderId="8" xfId="0" applyNumberFormat="1" applyFont="1" applyFill="1" applyBorder="1" applyAlignment="1">
      <alignment horizontal="right"/>
    </xf>
    <xf numFmtId="1" fontId="8" fillId="2" borderId="6" xfId="0" applyNumberFormat="1" applyFont="1" applyFill="1" applyBorder="1" applyAlignment="1">
      <alignment horizontal="right"/>
    </xf>
    <xf numFmtId="1" fontId="8" fillId="2" borderId="7" xfId="0" applyNumberFormat="1" applyFont="1" applyFill="1" applyBorder="1" applyAlignment="1">
      <alignment horizontal="right"/>
    </xf>
    <xf numFmtId="2" fontId="0" fillId="5" borderId="0" xfId="0" applyNumberFormat="1" applyFill="1"/>
    <xf numFmtId="0" fontId="33" fillId="4" borderId="0" xfId="0" applyFont="1" applyFill="1" applyAlignment="1">
      <alignment horizontal="center"/>
    </xf>
    <xf numFmtId="0" fontId="0" fillId="4" borderId="0" xfId="0" applyFill="1" applyAlignment="1" applyProtection="1">
      <alignment horizontal="center"/>
      <protection locked="0"/>
    </xf>
    <xf numFmtId="0" fontId="0" fillId="4" borderId="1" xfId="0" applyFill="1" applyBorder="1" applyAlignment="1" applyProtection="1">
      <alignment horizontal="center"/>
      <protection locked="0"/>
    </xf>
    <xf numFmtId="164" fontId="0" fillId="8" borderId="0" xfId="0" applyNumberFormat="1" applyFill="1" applyAlignment="1">
      <alignment horizontal="center"/>
    </xf>
    <xf numFmtId="0" fontId="0" fillId="4" borderId="0" xfId="0" applyFill="1" applyBorder="1" applyAlignment="1">
      <alignment wrapText="1"/>
    </xf>
    <xf numFmtId="0" fontId="0" fillId="4" borderId="0" xfId="0" applyFill="1" applyBorder="1" applyProtection="1">
      <protection locked="0"/>
    </xf>
    <xf numFmtId="1" fontId="0" fillId="4" borderId="0" xfId="0" applyNumberFormat="1" applyFill="1" applyBorder="1"/>
    <xf numFmtId="0" fontId="9" fillId="4" borderId="15" xfId="0" applyFont="1" applyFill="1" applyBorder="1" applyAlignment="1">
      <alignment horizontal="center" vertical="center" wrapText="1"/>
    </xf>
    <xf numFmtId="0" fontId="0" fillId="2" borderId="16" xfId="0" applyFill="1" applyBorder="1"/>
    <xf numFmtId="0" fontId="9" fillId="4" borderId="11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/>
    </xf>
    <xf numFmtId="0" fontId="6" fillId="15" borderId="0" xfId="0" applyFont="1" applyFill="1" applyAlignment="1">
      <alignment horizontal="center"/>
    </xf>
    <xf numFmtId="0" fontId="0" fillId="15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15" borderId="0" xfId="0" applyNumberFormat="1" applyFill="1" applyAlignment="1">
      <alignment horizontal="center"/>
    </xf>
    <xf numFmtId="165" fontId="9" fillId="7" borderId="0" xfId="0" applyNumberFormat="1" applyFont="1" applyFill="1" applyBorder="1" applyAlignment="1">
      <alignment horizontal="center"/>
    </xf>
    <xf numFmtId="2" fontId="0" fillId="3" borderId="0" xfId="0" quotePrefix="1" applyNumberFormat="1" applyFill="1"/>
    <xf numFmtId="2" fontId="2" fillId="4" borderId="1" xfId="0" applyNumberFormat="1" applyFont="1" applyFill="1" applyBorder="1" applyAlignment="1">
      <alignment horizontal="center"/>
    </xf>
    <xf numFmtId="1" fontId="0" fillId="4" borderId="0" xfId="0" applyNumberFormat="1" applyFill="1" applyAlignment="1">
      <alignment horizontal="center"/>
    </xf>
    <xf numFmtId="1" fontId="0" fillId="4" borderId="0" xfId="0" applyNumberFormat="1" applyFill="1" applyAlignment="1" applyProtection="1">
      <alignment horizontal="center"/>
      <protection locked="0"/>
    </xf>
    <xf numFmtId="0" fontId="9" fillId="18" borderId="0" xfId="0" applyFont="1" applyFill="1" applyAlignment="1">
      <alignment horizontal="center"/>
    </xf>
    <xf numFmtId="1" fontId="0" fillId="4" borderId="16" xfId="0" applyNumberFormat="1" applyFill="1" applyBorder="1"/>
    <xf numFmtId="1" fontId="0" fillId="4" borderId="17" xfId="0" applyNumberFormat="1" applyFill="1" applyBorder="1"/>
    <xf numFmtId="2" fontId="0" fillId="4" borderId="16" xfId="0" applyNumberFormat="1" applyFill="1" applyBorder="1"/>
    <xf numFmtId="2" fontId="0" fillId="4" borderId="17" xfId="0" applyNumberFormat="1" applyFill="1" applyBorder="1"/>
    <xf numFmtId="0" fontId="6" fillId="4" borderId="4" xfId="0" applyFont="1" applyFill="1" applyBorder="1" applyAlignment="1">
      <alignment horizontal="center" wrapText="1"/>
    </xf>
    <xf numFmtId="0" fontId="6" fillId="17" borderId="10" xfId="0" applyFont="1" applyFill="1" applyBorder="1" applyAlignment="1">
      <alignment horizontal="center"/>
    </xf>
    <xf numFmtId="0" fontId="0" fillId="5" borderId="0" xfId="0" applyFill="1"/>
    <xf numFmtId="0" fontId="37" fillId="17" borderId="0" xfId="0" applyFont="1" applyFill="1" applyAlignment="1">
      <alignment horizontal="center"/>
    </xf>
    <xf numFmtId="2" fontId="37" fillId="17" borderId="10" xfId="0" applyNumberFormat="1" applyFont="1" applyFill="1" applyBorder="1"/>
    <xf numFmtId="0" fontId="37" fillId="17" borderId="0" xfId="0" applyFont="1" applyFill="1"/>
    <xf numFmtId="164" fontId="37" fillId="17" borderId="0" xfId="0" applyNumberFormat="1" applyFont="1" applyFill="1"/>
    <xf numFmtId="0" fontId="23" fillId="17" borderId="10" xfId="0" applyNumberFormat="1" applyFont="1" applyFill="1" applyBorder="1" applyAlignment="1"/>
    <xf numFmtId="0" fontId="6" fillId="5" borderId="0" xfId="0" applyFont="1" applyFill="1" applyAlignment="1">
      <alignment horizontal="center"/>
    </xf>
    <xf numFmtId="0" fontId="0" fillId="2" borderId="0" xfId="0" applyFill="1" applyBorder="1" applyAlignment="1">
      <alignment horizontal="center"/>
    </xf>
    <xf numFmtId="0" fontId="6" fillId="8" borderId="0" xfId="0" applyFont="1" applyFill="1" applyAlignment="1">
      <alignment horizontal="center"/>
    </xf>
    <xf numFmtId="165" fontId="0" fillId="17" borderId="0" xfId="0" applyNumberFormat="1" applyFill="1" applyAlignment="1">
      <alignment horizontal="center"/>
    </xf>
    <xf numFmtId="165" fontId="0" fillId="17" borderId="10" xfId="0" applyNumberFormat="1" applyFill="1" applyBorder="1" applyAlignment="1">
      <alignment horizontal="center"/>
    </xf>
    <xf numFmtId="0" fontId="8" fillId="17" borderId="10" xfId="0" applyFont="1" applyFill="1" applyBorder="1" applyAlignment="1">
      <alignment horizontal="center"/>
    </xf>
    <xf numFmtId="0" fontId="26" fillId="14" borderId="0" xfId="0" applyFont="1" applyFill="1" applyBorder="1" applyAlignment="1">
      <alignment horizontal="right"/>
    </xf>
    <xf numFmtId="165" fontId="9" fillId="9" borderId="0" xfId="0" applyNumberFormat="1" applyFont="1" applyFill="1" applyAlignment="1">
      <alignment horizontal="right"/>
    </xf>
    <xf numFmtId="2" fontId="33" fillId="4" borderId="0" xfId="0" applyNumberFormat="1" applyFont="1" applyFill="1" applyAlignment="1">
      <alignment horizontal="center"/>
    </xf>
    <xf numFmtId="2" fontId="33" fillId="4" borderId="0" xfId="0" applyNumberFormat="1" applyFont="1" applyFill="1"/>
    <xf numFmtId="0" fontId="21" fillId="4" borderId="0" xfId="0" applyFont="1" applyFill="1" applyAlignment="1">
      <alignment horizontal="center"/>
    </xf>
    <xf numFmtId="0" fontId="21" fillId="4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1" fontId="9" fillId="4" borderId="0" xfId="0" applyNumberFormat="1" applyFont="1" applyFill="1" applyBorder="1" applyAlignment="1">
      <alignment horizontal="center"/>
    </xf>
    <xf numFmtId="1" fontId="9" fillId="4" borderId="1" xfId="0" applyNumberFormat="1" applyFont="1" applyFill="1" applyBorder="1" applyAlignment="1">
      <alignment horizontal="center"/>
    </xf>
    <xf numFmtId="165" fontId="0" fillId="4" borderId="16" xfId="0" applyNumberFormat="1" applyFill="1" applyBorder="1"/>
    <xf numFmtId="165" fontId="0" fillId="4" borderId="0" xfId="0" applyNumberFormat="1" applyFill="1"/>
    <xf numFmtId="0" fontId="32" fillId="4" borderId="0" xfId="0" applyFont="1" applyFill="1"/>
    <xf numFmtId="0" fontId="31" fillId="4" borderId="0" xfId="0" applyFont="1" applyFill="1"/>
    <xf numFmtId="0" fontId="32" fillId="21" borderId="0" xfId="0" applyFont="1" applyFill="1"/>
    <xf numFmtId="0" fontId="0" fillId="21" borderId="0" xfId="0" applyFill="1"/>
    <xf numFmtId="0" fontId="6" fillId="8" borderId="10" xfId="0" applyFont="1" applyFill="1" applyBorder="1"/>
    <xf numFmtId="0" fontId="6" fillId="8" borderId="10" xfId="0" applyFont="1" applyFill="1" applyBorder="1" applyAlignment="1">
      <alignment horizontal="center"/>
    </xf>
    <xf numFmtId="0" fontId="38" fillId="0" borderId="0" xfId="0" applyFont="1" applyAlignment="1">
      <alignment horizontal="left"/>
    </xf>
    <xf numFmtId="2" fontId="0" fillId="4" borderId="3" xfId="0" applyNumberFormat="1" applyFill="1" applyBorder="1"/>
    <xf numFmtId="0" fontId="0" fillId="4" borderId="0" xfId="0" applyFill="1" applyAlignment="1">
      <alignment horizontal="center"/>
    </xf>
    <xf numFmtId="0" fontId="0" fillId="4" borderId="6" xfId="0" applyFill="1" applyBorder="1" applyAlignment="1">
      <alignment horizontal="center"/>
    </xf>
    <xf numFmtId="164" fontId="0" fillId="4" borderId="0" xfId="0" applyNumberFormat="1" applyFill="1" applyBorder="1"/>
    <xf numFmtId="169" fontId="0" fillId="4" borderId="16" xfId="0" applyNumberFormat="1" applyFill="1" applyBorder="1"/>
    <xf numFmtId="0" fontId="0" fillId="4" borderId="16" xfId="0" applyFill="1" applyBorder="1"/>
    <xf numFmtId="165" fontId="6" fillId="3" borderId="0" xfId="0" applyNumberFormat="1" applyFont="1" applyFill="1" applyAlignment="1">
      <alignment wrapText="1"/>
    </xf>
    <xf numFmtId="1" fontId="6" fillId="3" borderId="0" xfId="0" applyNumberFormat="1" applyFont="1" applyFill="1" applyAlignment="1">
      <alignment horizontal="center" wrapText="1"/>
    </xf>
    <xf numFmtId="0" fontId="6" fillId="4" borderId="4" xfId="0" applyFont="1" applyFill="1" applyBorder="1" applyAlignment="1">
      <alignment horizontal="center"/>
    </xf>
    <xf numFmtId="1" fontId="23" fillId="4" borderId="2" xfId="0" applyNumberFormat="1" applyFont="1" applyFill="1" applyBorder="1" applyAlignment="1">
      <alignment horizontal="center"/>
    </xf>
    <xf numFmtId="1" fontId="23" fillId="4" borderId="8" xfId="0" applyNumberFormat="1" applyFont="1" applyFill="1" applyBorder="1" applyAlignment="1">
      <alignment horizontal="center"/>
    </xf>
    <xf numFmtId="0" fontId="23" fillId="4" borderId="2" xfId="0" applyNumberFormat="1" applyFont="1" applyFill="1" applyBorder="1" applyAlignment="1"/>
    <xf numFmtId="0" fontId="9" fillId="4" borderId="8" xfId="0" applyFont="1" applyFill="1" applyBorder="1" applyAlignment="1">
      <alignment horizontal="center" vertical="center"/>
    </xf>
    <xf numFmtId="0" fontId="0" fillId="17" borderId="0" xfId="0" applyFill="1" applyAlignment="1">
      <alignment horizontal="center"/>
    </xf>
    <xf numFmtId="0" fontId="0" fillId="17" borderId="4" xfId="0" applyFill="1" applyBorder="1" applyAlignment="1">
      <alignment horizontal="center"/>
    </xf>
    <xf numFmtId="165" fontId="0" fillId="0" borderId="0" xfId="0" applyNumberFormat="1" applyAlignment="1">
      <alignment horizontal="center"/>
    </xf>
    <xf numFmtId="2" fontId="0" fillId="4" borderId="0" xfId="0" applyNumberFormat="1" applyFill="1" applyAlignment="1">
      <alignment horizontal="center"/>
    </xf>
    <xf numFmtId="165" fontId="0" fillId="4" borderId="0" xfId="0" applyNumberFormat="1" applyFill="1" applyAlignment="1">
      <alignment horizontal="center"/>
    </xf>
    <xf numFmtId="0" fontId="23" fillId="17" borderId="1" xfId="0" applyNumberFormat="1" applyFont="1" applyFill="1" applyBorder="1" applyAlignment="1"/>
    <xf numFmtId="0" fontId="0" fillId="17" borderId="1" xfId="0" applyFill="1" applyBorder="1"/>
    <xf numFmtId="2" fontId="0" fillId="17" borderId="1" xfId="0" applyNumberFormat="1" applyFill="1" applyBorder="1"/>
    <xf numFmtId="0" fontId="0" fillId="17" borderId="14" xfId="0" applyFill="1" applyBorder="1" applyAlignment="1">
      <alignment horizontal="center"/>
    </xf>
    <xf numFmtId="2" fontId="6" fillId="3" borderId="0" xfId="0" applyNumberFormat="1" applyFont="1" applyFill="1" applyAlignment="1">
      <alignment horizontal="center" wrapText="1"/>
    </xf>
    <xf numFmtId="164" fontId="6" fillId="3" borderId="0" xfId="0" applyNumberFormat="1" applyFont="1" applyFill="1" applyAlignment="1">
      <alignment horizontal="center" wrapText="1"/>
    </xf>
    <xf numFmtId="1" fontId="6" fillId="2" borderId="0" xfId="0" applyNumberFormat="1" applyFont="1" applyFill="1" applyAlignment="1">
      <alignment horizontal="center" wrapText="1"/>
    </xf>
    <xf numFmtId="0" fontId="9" fillId="4" borderId="0" xfId="0" applyFont="1" applyFill="1"/>
    <xf numFmtId="1" fontId="9" fillId="4" borderId="0" xfId="0" applyNumberFormat="1" applyFont="1" applyFill="1"/>
    <xf numFmtId="2" fontId="9" fillId="4" borderId="0" xfId="0" applyNumberFormat="1" applyFont="1" applyFill="1" applyAlignment="1">
      <alignment horizontal="center"/>
    </xf>
    <xf numFmtId="0" fontId="9" fillId="4" borderId="0" xfId="0" applyFont="1" applyFill="1" applyProtection="1">
      <protection locked="0"/>
    </xf>
    <xf numFmtId="0" fontId="9" fillId="2" borderId="0" xfId="0" applyFont="1" applyFill="1" applyAlignment="1">
      <alignment horizontal="center"/>
    </xf>
    <xf numFmtId="2" fontId="9" fillId="4" borderId="0" xfId="0" applyNumberFormat="1" applyFont="1" applyFill="1"/>
    <xf numFmtId="0" fontId="9" fillId="4" borderId="1" xfId="0" applyFont="1" applyFill="1" applyBorder="1"/>
    <xf numFmtId="2" fontId="9" fillId="4" borderId="1" xfId="0" applyNumberFormat="1" applyFont="1" applyFill="1" applyBorder="1"/>
    <xf numFmtId="0" fontId="9" fillId="4" borderId="1" xfId="0" applyFont="1" applyFill="1" applyBorder="1" applyProtection="1">
      <protection locked="0"/>
    </xf>
    <xf numFmtId="1" fontId="9" fillId="4" borderId="0" xfId="0" applyNumberFormat="1" applyFont="1" applyFill="1" applyAlignment="1">
      <alignment horizontal="center"/>
    </xf>
    <xf numFmtId="0" fontId="2" fillId="4" borderId="0" xfId="0" applyFont="1" applyFill="1"/>
    <xf numFmtId="165" fontId="0" fillId="4" borderId="16" xfId="0" applyNumberFormat="1" applyFill="1" applyBorder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0" xfId="0" applyNumberFormat="1" applyFill="1" applyBorder="1" applyAlignment="1">
      <alignment horizontal="center"/>
    </xf>
    <xf numFmtId="0" fontId="0" fillId="4" borderId="0" xfId="0" applyFill="1" applyBorder="1" applyAlignment="1" applyProtection="1">
      <alignment horizontal="center"/>
      <protection locked="0"/>
    </xf>
    <xf numFmtId="0" fontId="0" fillId="22" borderId="0" xfId="0" applyFill="1"/>
    <xf numFmtId="165" fontId="0" fillId="2" borderId="0" xfId="0" applyNumberFormat="1" applyFill="1"/>
    <xf numFmtId="0" fontId="0" fillId="4" borderId="1" xfId="0" applyFill="1" applyBorder="1" applyAlignment="1"/>
    <xf numFmtId="0" fontId="0" fillId="4" borderId="0" xfId="0" applyFill="1" applyBorder="1" applyAlignment="1"/>
    <xf numFmtId="0" fontId="9" fillId="4" borderId="0" xfId="0" applyFont="1" applyFill="1" applyAlignment="1"/>
    <xf numFmtId="0" fontId="9" fillId="4" borderId="1" xfId="0" applyFont="1" applyFill="1" applyBorder="1" applyAlignment="1"/>
    <xf numFmtId="0" fontId="0" fillId="4" borderId="0" xfId="0" quotePrefix="1" applyFill="1" applyAlignment="1">
      <alignment horizontal="left"/>
    </xf>
    <xf numFmtId="0" fontId="0" fillId="14" borderId="0" xfId="0" applyFill="1" applyAlignment="1"/>
    <xf numFmtId="0" fontId="9" fillId="4" borderId="4" xfId="0" applyFont="1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/>
    </xf>
    <xf numFmtId="0" fontId="0" fillId="0" borderId="0" xfId="0" applyProtection="1">
      <protection hidden="1"/>
    </xf>
    <xf numFmtId="0" fontId="0" fillId="4" borderId="12" xfId="0" applyFill="1" applyBorder="1" applyProtection="1">
      <protection hidden="1"/>
    </xf>
    <xf numFmtId="0" fontId="0" fillId="4" borderId="14" xfId="0" applyFill="1" applyBorder="1" applyAlignment="1" applyProtection="1">
      <alignment horizontal="center"/>
      <protection hidden="1"/>
    </xf>
    <xf numFmtId="0" fontId="0" fillId="4" borderId="13" xfId="0" applyFill="1" applyBorder="1" applyProtection="1">
      <protection hidden="1"/>
    </xf>
    <xf numFmtId="0" fontId="0" fillId="4" borderId="12" xfId="0" applyFill="1" applyBorder="1" applyAlignment="1" applyProtection="1">
      <alignment horizontal="right"/>
      <protection hidden="1"/>
    </xf>
    <xf numFmtId="0" fontId="0" fillId="2" borderId="10" xfId="0" applyFill="1" applyBorder="1" applyAlignment="1" applyProtection="1">
      <alignment horizontal="center"/>
      <protection hidden="1"/>
    </xf>
    <xf numFmtId="0" fontId="34" fillId="14" borderId="0" xfId="0" quotePrefix="1" applyFont="1" applyFill="1" applyAlignment="1" applyProtection="1">
      <alignment horizontal="left"/>
      <protection hidden="1"/>
    </xf>
    <xf numFmtId="0" fontId="6" fillId="4" borderId="4" xfId="0" applyFont="1" applyFill="1" applyBorder="1" applyProtection="1">
      <protection hidden="1"/>
    </xf>
    <xf numFmtId="0" fontId="6" fillId="4" borderId="10" xfId="0" applyFont="1" applyFill="1" applyBorder="1" applyProtection="1">
      <protection hidden="1"/>
    </xf>
    <xf numFmtId="0" fontId="6" fillId="4" borderId="13" xfId="0" applyFont="1" applyFill="1" applyBorder="1" applyProtection="1">
      <protection hidden="1"/>
    </xf>
    <xf numFmtId="0" fontId="6" fillId="4" borderId="14" xfId="0" applyFont="1" applyFill="1" applyBorder="1" applyAlignment="1" applyProtection="1">
      <alignment horizontal="center"/>
      <protection hidden="1"/>
    </xf>
    <xf numFmtId="0" fontId="0" fillId="6" borderId="0" xfId="0" applyFill="1" applyProtection="1">
      <protection hidden="1"/>
    </xf>
    <xf numFmtId="0" fontId="0" fillId="0" borderId="0" xfId="0" applyAlignment="1" applyProtection="1">
      <alignment horizontal="center"/>
      <protection hidden="1"/>
    </xf>
    <xf numFmtId="170" fontId="0" fillId="0" borderId="0" xfId="0" applyNumberFormat="1" applyProtection="1">
      <protection hidden="1"/>
    </xf>
    <xf numFmtId="170" fontId="0" fillId="6" borderId="0" xfId="0" applyNumberFormat="1" applyFill="1" applyProtection="1">
      <protection hidden="1"/>
    </xf>
    <xf numFmtId="0" fontId="0" fillId="0" borderId="6" xfId="0" applyBorder="1" applyProtection="1">
      <protection hidden="1"/>
    </xf>
    <xf numFmtId="170" fontId="0" fillId="21" borderId="0" xfId="0" applyNumberFormat="1" applyFill="1" applyProtection="1">
      <protection hidden="1"/>
    </xf>
    <xf numFmtId="0" fontId="0" fillId="21" borderId="0" xfId="0" applyFill="1" applyProtection="1">
      <protection hidden="1"/>
    </xf>
    <xf numFmtId="0" fontId="0" fillId="4" borderId="6" xfId="0" applyFill="1" applyBorder="1" applyProtection="1">
      <protection hidden="1"/>
    </xf>
    <xf numFmtId="164" fontId="0" fillId="4" borderId="6" xfId="0" applyNumberFormat="1" applyFill="1" applyBorder="1" applyProtection="1">
      <protection hidden="1"/>
    </xf>
    <xf numFmtId="164" fontId="0" fillId="0" borderId="0" xfId="0" applyNumberFormat="1" applyProtection="1">
      <protection hidden="1"/>
    </xf>
    <xf numFmtId="164" fontId="0" fillId="5" borderId="0" xfId="0" applyNumberFormat="1" applyFill="1" applyProtection="1">
      <protection hidden="1"/>
    </xf>
    <xf numFmtId="0" fontId="0" fillId="5" borderId="0" xfId="0" applyFill="1" applyProtection="1">
      <protection hidden="1"/>
    </xf>
    <xf numFmtId="0" fontId="6" fillId="4" borderId="12" xfId="0" applyFont="1" applyFill="1" applyBorder="1" applyProtection="1">
      <protection hidden="1"/>
    </xf>
    <xf numFmtId="2" fontId="0" fillId="0" borderId="0" xfId="0" applyNumberFormat="1" applyAlignment="1" applyProtection="1">
      <alignment horizontal="center"/>
      <protection hidden="1"/>
    </xf>
    <xf numFmtId="164" fontId="0" fillId="0" borderId="0" xfId="0" applyNumberFormat="1" applyAlignment="1" applyProtection="1">
      <alignment horizontal="center"/>
      <protection hidden="1"/>
    </xf>
    <xf numFmtId="165" fontId="0" fillId="4" borderId="1" xfId="0" applyNumberFormat="1" applyFill="1" applyBorder="1"/>
    <xf numFmtId="0" fontId="1" fillId="0" borderId="2" xfId="0" applyNumberFormat="1" applyFont="1" applyFill="1" applyBorder="1" applyAlignment="1"/>
    <xf numFmtId="0" fontId="1" fillId="0" borderId="0" xfId="0" applyNumberFormat="1" applyFont="1" applyFill="1" applyBorder="1" applyAlignment="1"/>
    <xf numFmtId="0" fontId="1" fillId="17" borderId="10" xfId="0" applyNumberFormat="1" applyFont="1" applyFill="1" applyBorder="1" applyAlignment="1"/>
    <xf numFmtId="0" fontId="1" fillId="17" borderId="1" xfId="0" applyNumberFormat="1" applyFont="1" applyFill="1" applyBorder="1" applyAlignment="1"/>
    <xf numFmtId="1" fontId="1" fillId="4" borderId="8" xfId="0" applyNumberFormat="1" applyFont="1" applyFill="1" applyBorder="1" applyAlignment="1">
      <alignment horizontal="center"/>
    </xf>
    <xf numFmtId="0" fontId="1" fillId="4" borderId="2" xfId="0" applyNumberFormat="1" applyFont="1" applyFill="1" applyBorder="1" applyAlignme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07"/>
  <sheetViews>
    <sheetView topLeftCell="A71" zoomScale="75" workbookViewId="0">
      <selection activeCell="A17" sqref="A17"/>
    </sheetView>
  </sheetViews>
  <sheetFormatPr defaultRowHeight="12.75"/>
  <cols>
    <col min="1" max="1" width="17.85546875" style="22" customWidth="1"/>
    <col min="2" max="2" width="28.42578125" style="22" customWidth="1"/>
    <col min="3" max="3" width="16.140625" style="22" customWidth="1"/>
    <col min="4" max="4" width="10.85546875" style="22" customWidth="1"/>
    <col min="5" max="5" width="14.140625" style="22" customWidth="1"/>
    <col min="6" max="6" width="12.7109375" style="22" customWidth="1"/>
    <col min="7" max="7" width="17.42578125" style="22" customWidth="1"/>
    <col min="8" max="8" width="15" style="22" customWidth="1"/>
    <col min="9" max="9" width="11.7109375" style="22" customWidth="1"/>
    <col min="10" max="10" width="11.140625" style="22" bestFit="1" customWidth="1"/>
    <col min="11" max="11" width="11.7109375" style="22" customWidth="1"/>
    <col min="12" max="12" width="10.5703125" style="22" bestFit="1" customWidth="1"/>
    <col min="13" max="13" width="12.140625" style="22" customWidth="1"/>
    <col min="14" max="14" width="14" style="22" customWidth="1"/>
    <col min="15" max="15" width="15.7109375" style="22" customWidth="1"/>
    <col min="16" max="16" width="12.7109375" style="22" bestFit="1" customWidth="1"/>
    <col min="17" max="17" width="10.28515625" style="22" bestFit="1" customWidth="1"/>
    <col min="18" max="18" width="15" style="22" customWidth="1"/>
    <col min="19" max="19" width="21.28515625" style="22" customWidth="1"/>
    <col min="20" max="20" width="12.5703125" style="22" bestFit="1" customWidth="1"/>
    <col min="21" max="21" width="16.7109375" style="22" customWidth="1"/>
    <col min="22" max="22" width="13.85546875" style="22" customWidth="1"/>
    <col min="23" max="23" width="20.140625" style="22" customWidth="1"/>
    <col min="24" max="24" width="23.28515625" style="22" customWidth="1"/>
    <col min="29" max="29" width="10.7109375" customWidth="1"/>
    <col min="31" max="31" width="11.5703125" customWidth="1"/>
    <col min="32" max="32" width="11" customWidth="1"/>
  </cols>
  <sheetData>
    <row r="1" spans="1:24" ht="15.75" customHeight="1">
      <c r="A1" s="155" t="s">
        <v>58</v>
      </c>
      <c r="B1" s="161"/>
      <c r="C1" s="214" t="s">
        <v>336</v>
      </c>
      <c r="D1" s="38" t="s">
        <v>247</v>
      </c>
      <c r="E1" s="161" t="s">
        <v>65</v>
      </c>
      <c r="F1" s="214" t="s">
        <v>339</v>
      </c>
      <c r="G1" s="58" t="s">
        <v>345</v>
      </c>
      <c r="H1" s="161"/>
      <c r="I1" s="24" t="s">
        <v>278</v>
      </c>
      <c r="J1" s="24"/>
      <c r="K1" s="161"/>
      <c r="L1" s="161"/>
      <c r="M1" s="161"/>
      <c r="N1" s="224" t="s">
        <v>365</v>
      </c>
      <c r="O1" s="224" t="str">
        <f ca="1">MID(CELL("filename",N1),FIND("VT_",CELL("filename",N1))+3,3)</f>
        <v>FI_</v>
      </c>
      <c r="P1" s="224" t="s">
        <v>366</v>
      </c>
      <c r="Q1" s="225">
        <v>1.0000000000000001E-9</v>
      </c>
      <c r="R1" s="160"/>
      <c r="S1" s="160"/>
      <c r="T1" s="160"/>
      <c r="U1" s="160"/>
      <c r="V1" s="160"/>
      <c r="W1" s="160"/>
      <c r="X1" s="160"/>
    </row>
    <row r="2" spans="1:24" ht="12.75" customHeight="1">
      <c r="A2" s="161"/>
      <c r="B2" s="161"/>
      <c r="C2" s="214" t="s">
        <v>337</v>
      </c>
      <c r="D2" s="37">
        <v>2010</v>
      </c>
      <c r="E2" s="161"/>
      <c r="F2" s="160"/>
      <c r="G2" s="160"/>
      <c r="H2" s="161"/>
      <c r="I2" s="25" t="s">
        <v>279</v>
      </c>
      <c r="J2" s="25"/>
      <c r="K2" s="161"/>
      <c r="L2" s="161"/>
      <c r="M2" s="161"/>
      <c r="N2" s="161"/>
      <c r="O2" s="160"/>
      <c r="P2" s="160"/>
      <c r="Q2" s="160"/>
      <c r="R2" s="160"/>
      <c r="S2" s="160"/>
      <c r="T2" s="160"/>
      <c r="U2" s="160"/>
      <c r="V2" s="160"/>
      <c r="W2" s="160"/>
      <c r="X2" s="160"/>
    </row>
    <row r="3" spans="1:24" ht="12.75" customHeight="1">
      <c r="A3" s="161"/>
      <c r="B3" s="161"/>
      <c r="C3" s="214" t="s">
        <v>338</v>
      </c>
      <c r="D3" s="37">
        <v>4.1868000000000002E-2</v>
      </c>
      <c r="E3" s="161"/>
      <c r="F3" s="161"/>
      <c r="G3" s="161"/>
      <c r="H3" s="161"/>
      <c r="I3" s="27" t="s">
        <v>280</v>
      </c>
      <c r="J3" s="27"/>
      <c r="K3" s="161"/>
      <c r="L3" s="161"/>
      <c r="M3" s="161"/>
      <c r="N3" s="161"/>
      <c r="O3" s="160"/>
      <c r="P3" s="160"/>
      <c r="Q3" s="160"/>
      <c r="R3" s="160"/>
      <c r="S3" s="160"/>
      <c r="T3" s="160"/>
      <c r="U3" s="160"/>
      <c r="V3" s="160"/>
      <c r="W3" s="160"/>
      <c r="X3" s="160"/>
    </row>
    <row r="4" spans="1:24" ht="12.75" customHeight="1">
      <c r="A4" s="161"/>
      <c r="B4" s="161"/>
      <c r="C4" s="154" t="s">
        <v>69</v>
      </c>
      <c r="D4" s="161">
        <v>1</v>
      </c>
      <c r="E4" s="161"/>
      <c r="F4" s="161"/>
      <c r="G4" s="161"/>
      <c r="H4" s="161"/>
      <c r="I4" s="62" t="s">
        <v>281</v>
      </c>
      <c r="J4" s="62"/>
      <c r="K4" s="161"/>
      <c r="L4" s="161"/>
      <c r="M4" s="161"/>
      <c r="N4" s="161"/>
      <c r="O4" s="160"/>
      <c r="P4" s="160"/>
      <c r="Q4" s="160"/>
      <c r="R4" s="160"/>
      <c r="S4" s="160"/>
      <c r="T4" s="160"/>
      <c r="U4" s="160"/>
      <c r="V4" s="160"/>
      <c r="W4" s="160"/>
      <c r="X4" s="160"/>
    </row>
    <row r="5" spans="1:24" ht="12.75" customHeight="1">
      <c r="A5" s="161"/>
      <c r="B5" s="161"/>
      <c r="C5" s="154" t="s">
        <v>70</v>
      </c>
      <c r="D5" s="161">
        <v>1</v>
      </c>
      <c r="E5" s="161"/>
      <c r="F5" s="161"/>
      <c r="G5" s="161"/>
      <c r="H5" s="161"/>
      <c r="I5" s="17" t="s">
        <v>282</v>
      </c>
      <c r="J5" s="17"/>
      <c r="K5" s="161"/>
      <c r="L5" s="161"/>
      <c r="M5" s="161"/>
      <c r="N5" s="161"/>
      <c r="O5" s="160"/>
      <c r="P5" s="160"/>
      <c r="Q5" s="160"/>
      <c r="R5" s="160"/>
      <c r="S5" s="160"/>
      <c r="T5" s="160"/>
      <c r="U5" s="160"/>
      <c r="V5" s="160"/>
      <c r="W5" s="160"/>
      <c r="X5" s="160"/>
    </row>
    <row r="6" spans="1:24" ht="12.75" customHeight="1">
      <c r="A6" s="161"/>
      <c r="B6" s="161"/>
      <c r="C6" s="154" t="s">
        <v>117</v>
      </c>
      <c r="D6" s="161">
        <v>1</v>
      </c>
      <c r="E6" s="161"/>
      <c r="F6" s="161"/>
      <c r="G6" s="161"/>
      <c r="H6" s="161"/>
      <c r="I6" s="23" t="s">
        <v>283</v>
      </c>
      <c r="J6" s="23"/>
      <c r="K6" s="161"/>
      <c r="L6" s="161"/>
      <c r="M6" s="161"/>
      <c r="N6" s="161"/>
      <c r="O6" s="160"/>
      <c r="P6" s="160"/>
      <c r="Q6" s="160"/>
      <c r="R6" s="160"/>
      <c r="S6" s="160"/>
      <c r="T6" s="160"/>
      <c r="U6" s="160"/>
      <c r="V6" s="160"/>
      <c r="W6" s="160"/>
      <c r="X6" s="160"/>
    </row>
    <row r="7" spans="1:24" ht="12.75" customHeight="1">
      <c r="A7" s="155"/>
      <c r="B7" s="160"/>
      <c r="C7" s="161"/>
      <c r="D7" s="161"/>
      <c r="E7" s="161"/>
      <c r="F7" s="161"/>
      <c r="G7" s="161"/>
      <c r="H7" s="161"/>
      <c r="I7" s="194" t="s">
        <v>284</v>
      </c>
      <c r="J7" s="194"/>
      <c r="K7" s="161"/>
      <c r="L7" s="161"/>
      <c r="M7" s="161"/>
      <c r="N7" s="161"/>
      <c r="O7" s="160"/>
      <c r="P7" s="160"/>
      <c r="Q7" s="160"/>
      <c r="R7" s="160"/>
      <c r="S7" s="160"/>
      <c r="T7" s="160"/>
      <c r="U7" s="160"/>
      <c r="V7" s="160"/>
      <c r="W7" s="160"/>
      <c r="X7" s="160"/>
    </row>
    <row r="8" spans="1:24" ht="18">
      <c r="A8" s="154"/>
      <c r="B8" s="100" t="s">
        <v>236</v>
      </c>
      <c r="C8" s="101"/>
      <c r="D8" s="161"/>
      <c r="E8" s="161"/>
      <c r="F8" s="161"/>
      <c r="G8" s="161"/>
      <c r="H8" s="161"/>
      <c r="I8" s="161"/>
      <c r="J8" s="161"/>
      <c r="K8" s="161"/>
      <c r="L8" s="161"/>
      <c r="M8" s="161"/>
      <c r="N8" s="161"/>
      <c r="O8" s="160"/>
      <c r="P8" s="160"/>
      <c r="Q8" s="160"/>
      <c r="R8" s="160"/>
      <c r="S8" s="160"/>
      <c r="T8" s="160"/>
      <c r="U8" s="160"/>
      <c r="V8" s="160"/>
      <c r="W8" s="160"/>
      <c r="X8" s="160"/>
    </row>
    <row r="9" spans="1:24" s="16" customFormat="1" ht="12.75" customHeight="1">
      <c r="A9" s="152" t="s">
        <v>340</v>
      </c>
      <c r="B9" s="162" t="s">
        <v>341</v>
      </c>
      <c r="C9" s="163" t="s">
        <v>342</v>
      </c>
      <c r="D9" s="164" t="s">
        <v>124</v>
      </c>
      <c r="E9" s="164" t="s">
        <v>267</v>
      </c>
      <c r="F9" s="164" t="s">
        <v>461</v>
      </c>
      <c r="G9" s="266" t="s">
        <v>462</v>
      </c>
      <c r="H9" s="164" t="s">
        <v>268</v>
      </c>
      <c r="I9" s="164" t="s">
        <v>71</v>
      </c>
      <c r="J9" s="164" t="s">
        <v>85</v>
      </c>
      <c r="K9" s="164" t="s">
        <v>75</v>
      </c>
      <c r="L9" s="164" t="s">
        <v>86</v>
      </c>
      <c r="M9" s="164" t="s">
        <v>87</v>
      </c>
      <c r="N9" s="164" t="s">
        <v>88</v>
      </c>
      <c r="O9" s="164" t="s">
        <v>74</v>
      </c>
      <c r="P9" s="164" t="s">
        <v>72</v>
      </c>
      <c r="Q9" s="164" t="s">
        <v>73</v>
      </c>
      <c r="R9" s="164" t="s">
        <v>89</v>
      </c>
      <c r="S9" s="164" t="s">
        <v>77</v>
      </c>
      <c r="T9" s="164" t="s">
        <v>78</v>
      </c>
      <c r="U9" s="155"/>
      <c r="V9" s="164"/>
      <c r="W9" s="187"/>
      <c r="X9" s="187"/>
    </row>
    <row r="10" spans="1:24" ht="12.75" customHeight="1">
      <c r="A10" s="156" t="s">
        <v>347</v>
      </c>
      <c r="B10" s="50">
        <v>0</v>
      </c>
      <c r="C10" s="51">
        <v>0</v>
      </c>
      <c r="D10" s="51">
        <v>0</v>
      </c>
      <c r="E10" s="52">
        <v>0</v>
      </c>
      <c r="F10" s="52">
        <v>0</v>
      </c>
      <c r="G10" s="52">
        <v>0</v>
      </c>
      <c r="H10" s="52">
        <v>0</v>
      </c>
      <c r="I10" s="51">
        <v>0</v>
      </c>
      <c r="J10" s="51">
        <v>0</v>
      </c>
      <c r="K10" s="51">
        <v>0</v>
      </c>
      <c r="L10" s="51">
        <v>0</v>
      </c>
      <c r="M10" s="51">
        <v>0</v>
      </c>
      <c r="N10" s="51">
        <v>2.2445979083999994</v>
      </c>
      <c r="O10" s="51">
        <v>0</v>
      </c>
      <c r="P10" s="51">
        <v>0</v>
      </c>
      <c r="Q10" s="51">
        <v>0</v>
      </c>
      <c r="R10" s="51">
        <v>0</v>
      </c>
      <c r="S10" s="51">
        <v>0</v>
      </c>
      <c r="T10" s="52">
        <v>2.2445979083999994</v>
      </c>
      <c r="U10" s="165">
        <f t="shared" ref="U10:U17" si="0">T10/$T$17</f>
        <v>1.3880180278311513E-2</v>
      </c>
      <c r="V10" s="156" t="str">
        <f t="shared" ref="V10:V17" si="1">A10</f>
        <v>INTLAIR</v>
      </c>
      <c r="W10" s="160"/>
      <c r="X10" s="160"/>
    </row>
    <row r="11" spans="1:24" ht="12.75" customHeight="1">
      <c r="A11" s="156" t="s">
        <v>80</v>
      </c>
      <c r="B11" s="50">
        <v>0</v>
      </c>
      <c r="C11" s="51">
        <v>0</v>
      </c>
      <c r="D11" s="51">
        <v>0</v>
      </c>
      <c r="E11" s="52">
        <v>0</v>
      </c>
      <c r="F11" s="52">
        <v>0</v>
      </c>
      <c r="G11" s="52">
        <v>0</v>
      </c>
      <c r="H11" s="52">
        <v>0</v>
      </c>
      <c r="I11" s="51">
        <v>0</v>
      </c>
      <c r="J11" s="51">
        <v>0</v>
      </c>
      <c r="K11" s="51">
        <v>0</v>
      </c>
      <c r="L11" s="51">
        <v>5.2803921599999998E-2</v>
      </c>
      <c r="M11" s="51">
        <v>0</v>
      </c>
      <c r="N11" s="51">
        <v>3.4829989200000004</v>
      </c>
      <c r="O11" s="51">
        <v>0</v>
      </c>
      <c r="P11" s="51">
        <v>0</v>
      </c>
      <c r="Q11" s="51">
        <v>0</v>
      </c>
      <c r="R11" s="51">
        <v>0</v>
      </c>
      <c r="S11" s="51">
        <v>0</v>
      </c>
      <c r="T11" s="52">
        <v>3.5358028416000002</v>
      </c>
      <c r="U11" s="165">
        <f t="shared" si="0"/>
        <v>2.1864753899266415E-2</v>
      </c>
      <c r="V11" s="156" t="str">
        <f t="shared" si="1"/>
        <v>DOMESAIR</v>
      </c>
      <c r="W11" s="160"/>
      <c r="X11" s="160"/>
    </row>
    <row r="12" spans="1:24" ht="12.75" customHeight="1">
      <c r="A12" s="156" t="s">
        <v>76</v>
      </c>
      <c r="B12" s="50">
        <v>0</v>
      </c>
      <c r="C12" s="51">
        <v>0</v>
      </c>
      <c r="D12" s="51">
        <v>0</v>
      </c>
      <c r="E12" s="52">
        <v>0</v>
      </c>
      <c r="F12" s="52">
        <v>4.4776332427980226</v>
      </c>
      <c r="G12" s="52">
        <v>2.009664E-3</v>
      </c>
      <c r="H12" s="52">
        <v>0</v>
      </c>
      <c r="I12" s="51">
        <v>0.19184973275265446</v>
      </c>
      <c r="J12" s="51">
        <v>0</v>
      </c>
      <c r="K12" s="51">
        <v>56.463204781710445</v>
      </c>
      <c r="L12" s="51">
        <v>0</v>
      </c>
      <c r="M12" s="51">
        <v>0</v>
      </c>
      <c r="N12" s="51">
        <v>0</v>
      </c>
      <c r="O12" s="51">
        <v>0</v>
      </c>
      <c r="P12" s="51">
        <v>85.79638632745538</v>
      </c>
      <c r="Q12" s="51">
        <v>0</v>
      </c>
      <c r="R12" s="51">
        <v>0</v>
      </c>
      <c r="S12" s="51">
        <v>0</v>
      </c>
      <c r="T12" s="52">
        <v>146.9310837487165</v>
      </c>
      <c r="U12" s="165">
        <f t="shared" si="0"/>
        <v>0.90859477472008532</v>
      </c>
      <c r="V12" s="156" t="str">
        <f t="shared" si="1"/>
        <v>ROAD</v>
      </c>
      <c r="W12" s="160"/>
      <c r="X12" s="160"/>
    </row>
    <row r="13" spans="1:24" ht="12.75" customHeight="1">
      <c r="A13" s="156" t="s">
        <v>81</v>
      </c>
      <c r="B13" s="50">
        <v>0</v>
      </c>
      <c r="C13" s="51">
        <v>0</v>
      </c>
      <c r="D13" s="51">
        <v>0</v>
      </c>
      <c r="E13" s="52">
        <v>0</v>
      </c>
      <c r="F13" s="52">
        <v>0</v>
      </c>
      <c r="G13" s="52">
        <v>0</v>
      </c>
      <c r="H13" s="52">
        <v>0</v>
      </c>
      <c r="I13" s="51">
        <v>0</v>
      </c>
      <c r="J13" s="51">
        <v>0</v>
      </c>
      <c r="K13" s="51">
        <v>0</v>
      </c>
      <c r="L13" s="51">
        <v>0</v>
      </c>
      <c r="M13" s="51">
        <v>0</v>
      </c>
      <c r="N13" s="51">
        <v>0</v>
      </c>
      <c r="O13" s="51">
        <v>0</v>
      </c>
      <c r="P13" s="51">
        <v>1.2950212014</v>
      </c>
      <c r="Q13" s="51">
        <v>0</v>
      </c>
      <c r="R13" s="51">
        <v>0</v>
      </c>
      <c r="S13" s="51">
        <v>1.8867521153310289</v>
      </c>
      <c r="T13" s="52">
        <v>3.1817733167310291</v>
      </c>
      <c r="U13" s="165">
        <f t="shared" si="0"/>
        <v>1.9675500487492059E-2</v>
      </c>
      <c r="V13" s="156" t="str">
        <f t="shared" si="1"/>
        <v>RAIL</v>
      </c>
      <c r="W13" s="160"/>
      <c r="X13" s="160"/>
    </row>
    <row r="14" spans="1:24" ht="12.75" customHeight="1">
      <c r="A14" s="156" t="s">
        <v>348</v>
      </c>
      <c r="B14" s="50">
        <v>0</v>
      </c>
      <c r="C14" s="51">
        <v>0</v>
      </c>
      <c r="D14" s="51">
        <v>0</v>
      </c>
      <c r="E14" s="52">
        <v>0</v>
      </c>
      <c r="F14" s="52">
        <v>8.0005561200000005E-2</v>
      </c>
      <c r="G14" s="52">
        <v>0</v>
      </c>
      <c r="H14" s="52">
        <v>0</v>
      </c>
      <c r="I14" s="51">
        <v>0</v>
      </c>
      <c r="J14" s="51">
        <v>0</v>
      </c>
      <c r="K14" s="51">
        <v>1.96326337032</v>
      </c>
      <c r="L14" s="51">
        <v>0</v>
      </c>
      <c r="M14" s="51">
        <v>0</v>
      </c>
      <c r="N14" s="51">
        <v>0</v>
      </c>
      <c r="O14" s="51">
        <v>0</v>
      </c>
      <c r="P14" s="51">
        <v>3.18178461816</v>
      </c>
      <c r="Q14" s="51">
        <v>2.1727804719599999</v>
      </c>
      <c r="R14" s="51">
        <v>0</v>
      </c>
      <c r="S14" s="51">
        <v>0</v>
      </c>
      <c r="T14" s="52">
        <v>7.3978340216400005</v>
      </c>
      <c r="U14" s="165">
        <f t="shared" si="0"/>
        <v>4.5746843791093283E-2</v>
      </c>
      <c r="V14" s="156" t="str">
        <f t="shared" si="1"/>
        <v>DOMESNAV</v>
      </c>
      <c r="W14" s="160"/>
      <c r="X14" s="160"/>
    </row>
    <row r="15" spans="1:24" ht="12.75" customHeight="1">
      <c r="A15" s="156" t="s">
        <v>83</v>
      </c>
      <c r="B15" s="50">
        <v>0</v>
      </c>
      <c r="C15" s="51">
        <v>0</v>
      </c>
      <c r="D15" s="51">
        <v>0</v>
      </c>
      <c r="E15" s="52">
        <v>0</v>
      </c>
      <c r="F15" s="52">
        <v>0</v>
      </c>
      <c r="G15" s="52">
        <v>0</v>
      </c>
      <c r="H15" s="52">
        <v>0</v>
      </c>
      <c r="I15" s="51">
        <v>0</v>
      </c>
      <c r="J15" s="51">
        <v>0</v>
      </c>
      <c r="K15" s="51">
        <v>0</v>
      </c>
      <c r="L15" s="51">
        <v>0</v>
      </c>
      <c r="M15" s="51">
        <v>0</v>
      </c>
      <c r="N15" s="51">
        <v>0</v>
      </c>
      <c r="O15" s="51">
        <v>0</v>
      </c>
      <c r="P15" s="51">
        <v>0</v>
      </c>
      <c r="Q15" s="51">
        <v>0</v>
      </c>
      <c r="R15" s="51">
        <v>0</v>
      </c>
      <c r="S15" s="51">
        <v>0.27004860000000003</v>
      </c>
      <c r="T15" s="52">
        <v>0.27004860000000003</v>
      </c>
      <c r="U15" s="165">
        <f t="shared" si="0"/>
        <v>1.6699308316550669E-3</v>
      </c>
      <c r="V15" s="156" t="str">
        <f t="shared" si="1"/>
        <v>TRNONSPE</v>
      </c>
      <c r="W15" s="160"/>
      <c r="X15" s="160"/>
    </row>
    <row r="16" spans="1:24" ht="12.75" customHeight="1">
      <c r="A16" s="156" t="s">
        <v>126</v>
      </c>
      <c r="B16" s="50">
        <v>0</v>
      </c>
      <c r="C16" s="51">
        <v>0</v>
      </c>
      <c r="D16" s="51">
        <v>0</v>
      </c>
      <c r="E16" s="52">
        <v>0</v>
      </c>
      <c r="F16" s="52">
        <v>0</v>
      </c>
      <c r="G16" s="52">
        <v>0</v>
      </c>
      <c r="H16" s="52">
        <v>0</v>
      </c>
      <c r="I16" s="51">
        <v>0</v>
      </c>
      <c r="J16" s="51">
        <v>0</v>
      </c>
      <c r="K16" s="51">
        <v>0</v>
      </c>
      <c r="L16" s="51">
        <v>0</v>
      </c>
      <c r="M16" s="51">
        <v>0</v>
      </c>
      <c r="N16" s="51">
        <v>0</v>
      </c>
      <c r="O16" s="51">
        <v>0</v>
      </c>
      <c r="P16" s="51">
        <v>-2.211519209400715</v>
      </c>
      <c r="Q16" s="51">
        <v>-5.0100996326227829</v>
      </c>
      <c r="R16" s="51">
        <v>0</v>
      </c>
      <c r="S16" s="51">
        <v>0</v>
      </c>
      <c r="T16" s="52">
        <v>-7.2216188420234975</v>
      </c>
      <c r="U16" s="165">
        <f t="shared" si="0"/>
        <v>-4.4657161558164717E-2</v>
      </c>
      <c r="V16" s="156" t="str">
        <f t="shared" si="1"/>
        <v>BUNKERS</v>
      </c>
      <c r="W16" s="160"/>
      <c r="X16" s="160"/>
    </row>
    <row r="17" spans="1:28" ht="12.75" customHeight="1">
      <c r="A17" s="156" t="s">
        <v>84</v>
      </c>
      <c r="B17" s="50">
        <v>0</v>
      </c>
      <c r="C17" s="51">
        <v>0</v>
      </c>
      <c r="D17" s="51">
        <v>0</v>
      </c>
      <c r="E17" s="52">
        <v>0</v>
      </c>
      <c r="F17" s="52">
        <v>4.5576806719980221</v>
      </c>
      <c r="G17" s="52">
        <v>2.009664E-3</v>
      </c>
      <c r="H17" s="52">
        <v>0</v>
      </c>
      <c r="I17" s="51">
        <v>0.58771167275265446</v>
      </c>
      <c r="J17" s="51">
        <v>0</v>
      </c>
      <c r="K17" s="51">
        <v>58.426468152030452</v>
      </c>
      <c r="L17" s="51">
        <v>5.2803921599999998E-2</v>
      </c>
      <c r="M17" s="51">
        <v>0</v>
      </c>
      <c r="N17" s="51">
        <v>3.4829989200000004</v>
      </c>
      <c r="O17" s="51">
        <v>0</v>
      </c>
      <c r="P17" s="51">
        <v>90.273192147015379</v>
      </c>
      <c r="Q17" s="51">
        <v>2.1727804719599999</v>
      </c>
      <c r="R17" s="51">
        <v>0</v>
      </c>
      <c r="S17" s="51">
        <v>2.1568007153310287</v>
      </c>
      <c r="T17" s="52">
        <v>161.71244633668755</v>
      </c>
      <c r="U17" s="165">
        <f t="shared" si="0"/>
        <v>1</v>
      </c>
      <c r="V17" s="156" t="str">
        <f t="shared" si="1"/>
        <v>TOTTRANS</v>
      </c>
      <c r="W17" s="160"/>
      <c r="X17" s="160"/>
    </row>
    <row r="18" spans="1:28" s="16" customFormat="1" ht="12.75" customHeight="1">
      <c r="A18" s="152"/>
      <c r="B18" s="43" t="s">
        <v>92</v>
      </c>
      <c r="C18" s="43" t="s">
        <v>187</v>
      </c>
      <c r="D18" s="39" t="s">
        <v>196</v>
      </c>
      <c r="E18" s="39" t="s">
        <v>125</v>
      </c>
      <c r="F18" s="39" t="s">
        <v>49</v>
      </c>
      <c r="G18" s="39" t="s">
        <v>198</v>
      </c>
      <c r="H18" s="39" t="s">
        <v>199</v>
      </c>
      <c r="I18" s="43" t="s">
        <v>91</v>
      </c>
      <c r="J18" s="43" t="s">
        <v>334</v>
      </c>
      <c r="K18" s="43" t="s">
        <v>96</v>
      </c>
      <c r="L18" s="43" t="s">
        <v>131</v>
      </c>
      <c r="M18" s="43" t="s">
        <v>132</v>
      </c>
      <c r="N18" s="43" t="s">
        <v>133</v>
      </c>
      <c r="O18" s="43" t="s">
        <v>95</v>
      </c>
      <c r="P18" s="39" t="s">
        <v>94</v>
      </c>
      <c r="Q18" s="39" t="s">
        <v>93</v>
      </c>
      <c r="R18" s="43" t="s">
        <v>220</v>
      </c>
      <c r="S18" s="43" t="s">
        <v>60</v>
      </c>
      <c r="T18" s="155"/>
      <c r="U18" s="155"/>
      <c r="V18" s="155"/>
      <c r="W18" s="187"/>
      <c r="X18" s="187"/>
    </row>
    <row r="19" spans="1:28" s="16" customFormat="1" ht="12.75" customHeight="1">
      <c r="A19" s="152"/>
      <c r="B19" s="152"/>
      <c r="C19" s="152"/>
      <c r="D19" s="152"/>
      <c r="E19" s="152"/>
      <c r="F19" s="152"/>
      <c r="G19" s="152"/>
      <c r="H19" s="152"/>
      <c r="I19" s="152"/>
      <c r="J19" s="152"/>
      <c r="K19" s="152"/>
      <c r="L19" s="152"/>
      <c r="M19" s="152"/>
      <c r="N19" s="152"/>
      <c r="O19" s="152"/>
      <c r="P19" s="152"/>
      <c r="Q19" s="152"/>
      <c r="R19" s="152"/>
      <c r="S19" s="152"/>
      <c r="T19" s="155"/>
      <c r="U19" s="155"/>
      <c r="V19" s="155"/>
      <c r="W19" s="187"/>
      <c r="X19" s="187"/>
    </row>
    <row r="20" spans="1:28" s="16" customFormat="1" ht="18">
      <c r="A20" s="155"/>
      <c r="B20" s="100" t="s">
        <v>237</v>
      </c>
      <c r="C20" s="101"/>
      <c r="D20" s="101"/>
      <c r="E20" s="101"/>
      <c r="F20" s="101"/>
      <c r="G20" s="155"/>
      <c r="H20" s="155"/>
      <c r="I20" s="155"/>
      <c r="J20" s="155"/>
      <c r="K20" s="155"/>
      <c r="L20" s="155"/>
      <c r="M20" s="155"/>
      <c r="N20" s="155"/>
      <c r="O20" s="160"/>
      <c r="P20" s="160"/>
      <c r="Q20" s="160"/>
      <c r="R20" s="160"/>
      <c r="S20" s="160"/>
      <c r="T20" s="160"/>
      <c r="U20" s="160"/>
      <c r="V20" s="160"/>
      <c r="W20" s="160"/>
      <c r="X20" s="160"/>
    </row>
    <row r="21" spans="1:28" s="16" customFormat="1" ht="12.75" customHeight="1">
      <c r="A21" s="155" t="s">
        <v>65</v>
      </c>
      <c r="B21" s="26"/>
      <c r="C21" s="44" t="s">
        <v>97</v>
      </c>
      <c r="D21" s="44" t="s">
        <v>98</v>
      </c>
      <c r="E21" s="76" t="s">
        <v>160</v>
      </c>
      <c r="F21" s="44" t="s">
        <v>118</v>
      </c>
      <c r="G21" s="44" t="s">
        <v>85</v>
      </c>
      <c r="H21" s="44" t="s">
        <v>112</v>
      </c>
      <c r="I21" s="44" t="s">
        <v>113</v>
      </c>
      <c r="J21" s="45" t="s">
        <v>106</v>
      </c>
      <c r="K21" s="45" t="s">
        <v>57</v>
      </c>
      <c r="L21" s="44" t="s">
        <v>68</v>
      </c>
      <c r="M21" s="44" t="s">
        <v>62</v>
      </c>
      <c r="N21" s="44" t="s">
        <v>481</v>
      </c>
      <c r="O21" s="160"/>
      <c r="P21" s="160"/>
      <c r="Q21" s="160"/>
      <c r="R21" s="160"/>
      <c r="S21" s="160"/>
      <c r="T21" s="160"/>
      <c r="U21" s="160"/>
      <c r="V21" s="160"/>
      <c r="W21" s="160"/>
      <c r="X21" s="160"/>
      <c r="Y21"/>
      <c r="Z21"/>
      <c r="AA21"/>
      <c r="AB21"/>
    </row>
    <row r="22" spans="1:28" s="16" customFormat="1" ht="12.75" customHeight="1">
      <c r="A22" s="155"/>
      <c r="B22" s="40" t="s">
        <v>79</v>
      </c>
      <c r="C22" s="46">
        <f t="shared" ref="C22:C27" si="2">$B10+$C10</f>
        <v>0</v>
      </c>
      <c r="D22" s="46">
        <f>SUM($D10:$F10,$H10)</f>
        <v>0</v>
      </c>
      <c r="E22" s="46"/>
      <c r="F22" s="46">
        <f t="shared" ref="F22:F27" si="3">$G10+$I10</f>
        <v>0</v>
      </c>
      <c r="G22" s="46">
        <f t="shared" ref="G22:G27" si="4">$J10</f>
        <v>0</v>
      </c>
      <c r="H22" s="46">
        <f t="shared" ref="H22:H27" si="5">$K10</f>
        <v>0</v>
      </c>
      <c r="I22" s="46">
        <f t="shared" ref="I22:I27" si="6">$L10+$M10</f>
        <v>0</v>
      </c>
      <c r="J22" s="49">
        <f t="shared" ref="J22:J27" si="7">$N10+$O10</f>
        <v>2.2445979083999994</v>
      </c>
      <c r="K22" s="49">
        <f t="shared" ref="K22:K27" si="8">$P10</f>
        <v>0</v>
      </c>
      <c r="L22" s="46">
        <f t="shared" ref="L22:L27" si="9">$Q10+$R10</f>
        <v>0</v>
      </c>
      <c r="M22" s="46">
        <f t="shared" ref="M22:M27" si="10">$S10</f>
        <v>0</v>
      </c>
      <c r="N22" s="49">
        <v>0</v>
      </c>
      <c r="O22" s="160"/>
      <c r="P22" s="160"/>
      <c r="Q22" s="160"/>
      <c r="R22" s="160"/>
      <c r="S22" s="160"/>
      <c r="T22" s="160"/>
      <c r="U22" s="160"/>
      <c r="V22" s="160"/>
      <c r="W22" s="160"/>
      <c r="X22" s="160"/>
      <c r="Y22"/>
      <c r="Z22"/>
      <c r="AA22"/>
      <c r="AB22"/>
    </row>
    <row r="23" spans="1:28" s="16" customFormat="1" ht="12.75" customHeight="1">
      <c r="A23" s="155"/>
      <c r="B23" s="40" t="s">
        <v>80</v>
      </c>
      <c r="C23" s="46">
        <f t="shared" si="2"/>
        <v>0</v>
      </c>
      <c r="D23" s="46">
        <f>SUM($D11:$F11,$H11)</f>
        <v>0</v>
      </c>
      <c r="E23" s="46"/>
      <c r="F23" s="46">
        <f t="shared" si="3"/>
        <v>0</v>
      </c>
      <c r="G23" s="46">
        <f t="shared" si="4"/>
        <v>0</v>
      </c>
      <c r="H23" s="46">
        <f t="shared" si="5"/>
        <v>0</v>
      </c>
      <c r="I23" s="46">
        <f t="shared" si="6"/>
        <v>5.2803921599999998E-2</v>
      </c>
      <c r="J23" s="49">
        <f t="shared" si="7"/>
        <v>3.4829989200000004</v>
      </c>
      <c r="K23" s="49">
        <f t="shared" si="8"/>
        <v>0</v>
      </c>
      <c r="L23" s="46">
        <f t="shared" si="9"/>
        <v>0</v>
      </c>
      <c r="M23" s="46">
        <f t="shared" si="10"/>
        <v>0</v>
      </c>
      <c r="N23" s="49">
        <v>0</v>
      </c>
      <c r="O23" s="160"/>
      <c r="P23" s="160"/>
      <c r="Q23" s="160"/>
      <c r="R23" s="160"/>
      <c r="S23" s="160"/>
      <c r="T23" s="160"/>
      <c r="U23" s="160"/>
      <c r="V23" s="160"/>
      <c r="W23" s="160"/>
      <c r="X23" s="160"/>
      <c r="Y23" s="75"/>
      <c r="Z23" s="75"/>
      <c r="AA23" s="75"/>
      <c r="AB23" s="75"/>
    </row>
    <row r="24" spans="1:28" s="16" customFormat="1" ht="12.75" customHeight="1">
      <c r="A24" s="155"/>
      <c r="B24" s="40" t="s">
        <v>76</v>
      </c>
      <c r="C24" s="46">
        <f t="shared" si="2"/>
        <v>0</v>
      </c>
      <c r="D24" s="46">
        <f>SUM($D12:$F12,$H12)-N24</f>
        <v>1.7771843764930488</v>
      </c>
      <c r="E24" s="46"/>
      <c r="F24" s="46">
        <f t="shared" si="3"/>
        <v>0.19385939675265446</v>
      </c>
      <c r="G24" s="46">
        <f t="shared" si="4"/>
        <v>0</v>
      </c>
      <c r="H24" s="46">
        <f t="shared" si="5"/>
        <v>56.463204781710445</v>
      </c>
      <c r="I24" s="46">
        <f t="shared" si="6"/>
        <v>0</v>
      </c>
      <c r="J24" s="49">
        <f t="shared" si="7"/>
        <v>0</v>
      </c>
      <c r="K24" s="49">
        <f t="shared" si="8"/>
        <v>85.79638632745538</v>
      </c>
      <c r="L24" s="46">
        <f t="shared" si="9"/>
        <v>0</v>
      </c>
      <c r="M24" s="46">
        <f t="shared" si="10"/>
        <v>0</v>
      </c>
      <c r="N24" s="286">
        <f>F12/(1+K12/P12)</f>
        <v>2.7004488663049737</v>
      </c>
      <c r="O24" s="160"/>
      <c r="P24" s="160"/>
      <c r="Q24" s="160"/>
      <c r="R24" s="160"/>
      <c r="S24" s="160"/>
      <c r="T24" s="160"/>
      <c r="U24" s="160"/>
      <c r="V24" s="160"/>
      <c r="W24" s="160"/>
      <c r="X24" s="160"/>
      <c r="Y24" s="75"/>
      <c r="Z24" s="75"/>
      <c r="AA24" s="75"/>
      <c r="AB24" s="75"/>
    </row>
    <row r="25" spans="1:28" s="16" customFormat="1" ht="12.75" customHeight="1">
      <c r="A25" s="155"/>
      <c r="B25" s="40" t="s">
        <v>81</v>
      </c>
      <c r="C25" s="46">
        <f t="shared" si="2"/>
        <v>0</v>
      </c>
      <c r="D25" s="46">
        <f>SUM($D13:$E13,$H13)</f>
        <v>0</v>
      </c>
      <c r="E25" s="46"/>
      <c r="F25" s="46">
        <f t="shared" si="3"/>
        <v>0</v>
      </c>
      <c r="G25" s="46">
        <f t="shared" si="4"/>
        <v>0</v>
      </c>
      <c r="H25" s="46">
        <f t="shared" si="5"/>
        <v>0</v>
      </c>
      <c r="I25" s="46">
        <f t="shared" si="6"/>
        <v>0</v>
      </c>
      <c r="J25" s="49">
        <f t="shared" si="7"/>
        <v>0</v>
      </c>
      <c r="K25" s="49">
        <f t="shared" si="8"/>
        <v>1.2950212014</v>
      </c>
      <c r="L25" s="46">
        <f t="shared" si="9"/>
        <v>0</v>
      </c>
      <c r="M25" s="46">
        <f t="shared" si="10"/>
        <v>1.8867521153310289</v>
      </c>
      <c r="N25" s="286">
        <f>F13</f>
        <v>0</v>
      </c>
      <c r="O25" s="160"/>
      <c r="P25" s="160"/>
      <c r="Q25" s="160"/>
      <c r="R25" s="160"/>
      <c r="S25" s="160"/>
      <c r="T25" s="160"/>
      <c r="U25" s="160"/>
      <c r="V25" s="160"/>
      <c r="W25" s="160"/>
      <c r="X25" s="160"/>
      <c r="Y25" s="75"/>
      <c r="Z25" s="75"/>
      <c r="AA25" s="75"/>
      <c r="AB25" s="75"/>
    </row>
    <row r="26" spans="1:28" s="16" customFormat="1" ht="12.75" customHeight="1">
      <c r="A26" s="155"/>
      <c r="B26" s="40" t="s">
        <v>82</v>
      </c>
      <c r="C26" s="46">
        <f t="shared" si="2"/>
        <v>0</v>
      </c>
      <c r="D26" s="46">
        <f>SUM($D14:$E14,$H14)</f>
        <v>0</v>
      </c>
      <c r="E26" s="46"/>
      <c r="F26" s="46">
        <f t="shared" si="3"/>
        <v>0</v>
      </c>
      <c r="G26" s="46">
        <f t="shared" si="4"/>
        <v>0</v>
      </c>
      <c r="H26" s="46">
        <f t="shared" si="5"/>
        <v>1.96326337032</v>
      </c>
      <c r="I26" s="46">
        <f t="shared" si="6"/>
        <v>0</v>
      </c>
      <c r="J26" s="49">
        <f t="shared" si="7"/>
        <v>0</v>
      </c>
      <c r="K26" s="49">
        <f t="shared" si="8"/>
        <v>3.18178461816</v>
      </c>
      <c r="L26" s="46">
        <f t="shared" si="9"/>
        <v>2.1727804719599999</v>
      </c>
      <c r="M26" s="46">
        <f t="shared" si="10"/>
        <v>0</v>
      </c>
      <c r="N26" s="286">
        <f>F14</f>
        <v>8.0005561200000005E-2</v>
      </c>
      <c r="O26" s="160"/>
      <c r="P26" s="160"/>
      <c r="Q26" s="160"/>
      <c r="R26" s="160"/>
      <c r="S26" s="160"/>
      <c r="T26" s="160"/>
      <c r="U26" s="160"/>
      <c r="V26" s="160"/>
      <c r="W26" s="160"/>
      <c r="X26" s="160"/>
      <c r="Y26" s="75"/>
      <c r="Z26" s="75"/>
      <c r="AA26" s="75"/>
      <c r="AB26" s="75"/>
    </row>
    <row r="27" spans="1:28" s="16" customFormat="1" ht="12.75" customHeight="1">
      <c r="A27" s="155"/>
      <c r="B27" s="40" t="s">
        <v>83</v>
      </c>
      <c r="C27" s="46">
        <f t="shared" si="2"/>
        <v>0</v>
      </c>
      <c r="D27" s="46">
        <f>SUM($D15:$F15,$H15)</f>
        <v>0</v>
      </c>
      <c r="E27" s="46"/>
      <c r="F27" s="46">
        <f t="shared" si="3"/>
        <v>0</v>
      </c>
      <c r="G27" s="46">
        <f t="shared" si="4"/>
        <v>0</v>
      </c>
      <c r="H27" s="46">
        <f t="shared" si="5"/>
        <v>0</v>
      </c>
      <c r="I27" s="46">
        <f t="shared" si="6"/>
        <v>0</v>
      </c>
      <c r="J27" s="49">
        <f t="shared" si="7"/>
        <v>0</v>
      </c>
      <c r="K27" s="49">
        <f t="shared" si="8"/>
        <v>0</v>
      </c>
      <c r="L27" s="46">
        <f t="shared" si="9"/>
        <v>0</v>
      </c>
      <c r="M27" s="46">
        <f t="shared" si="10"/>
        <v>0.27004860000000003</v>
      </c>
      <c r="N27" s="49">
        <v>0</v>
      </c>
      <c r="O27" s="160"/>
      <c r="P27" s="160"/>
      <c r="Q27" s="160"/>
      <c r="R27" s="160"/>
      <c r="S27" s="160"/>
      <c r="T27" s="160"/>
      <c r="U27" s="160"/>
      <c r="V27" s="160"/>
      <c r="W27" s="160"/>
      <c r="X27" s="160"/>
      <c r="Y27" s="75"/>
      <c r="Z27" s="75"/>
      <c r="AA27" s="75"/>
      <c r="AB27" s="75"/>
    </row>
    <row r="28" spans="1:28" s="16" customFormat="1" ht="12.75" customHeight="1">
      <c r="A28" s="155"/>
      <c r="B28" s="40" t="s">
        <v>126</v>
      </c>
      <c r="C28" s="46">
        <f>-($B16+$C16)</f>
        <v>0</v>
      </c>
      <c r="D28" s="46">
        <f>-SUM($D16:$F16,$H16)</f>
        <v>0</v>
      </c>
      <c r="E28" s="46"/>
      <c r="F28" s="46">
        <f>-($G16+$I16)</f>
        <v>0</v>
      </c>
      <c r="G28" s="46">
        <f>-$J16</f>
        <v>0</v>
      </c>
      <c r="H28" s="46">
        <f>-$K16</f>
        <v>0</v>
      </c>
      <c r="I28" s="46">
        <f>-($L16+$M16)</f>
        <v>0</v>
      </c>
      <c r="J28" s="49">
        <f>-($N16+$O16)</f>
        <v>0</v>
      </c>
      <c r="K28" s="49">
        <f>-1*$P16</f>
        <v>2.211519209400715</v>
      </c>
      <c r="L28" s="46">
        <f>-1*($Q16+$R16)</f>
        <v>5.0100996326227829</v>
      </c>
      <c r="M28" s="46">
        <f>-$S16</f>
        <v>0</v>
      </c>
      <c r="N28" s="49">
        <v>0</v>
      </c>
      <c r="O28" s="160"/>
      <c r="P28" s="160"/>
      <c r="Q28" s="160"/>
      <c r="R28" s="160"/>
      <c r="S28" s="160"/>
      <c r="T28" s="160"/>
      <c r="U28" s="160"/>
      <c r="V28" s="160"/>
      <c r="W28" s="160"/>
      <c r="X28" s="160"/>
      <c r="Y28" s="75"/>
      <c r="Z28" s="75"/>
      <c r="AA28" s="75"/>
      <c r="AB28" s="75"/>
    </row>
    <row r="29" spans="1:28" s="16" customFormat="1" ht="12.75" customHeight="1">
      <c r="A29" s="155"/>
      <c r="B29" s="41" t="s">
        <v>84</v>
      </c>
      <c r="C29" s="46">
        <f t="shared" ref="C29:N29" si="11">SUM(C22:C28)</f>
        <v>0</v>
      </c>
      <c r="D29" s="46">
        <f t="shared" si="11"/>
        <v>1.7771843764930488</v>
      </c>
      <c r="E29" s="46">
        <f t="shared" si="11"/>
        <v>0</v>
      </c>
      <c r="F29" s="46">
        <f t="shared" si="11"/>
        <v>0.19385939675265446</v>
      </c>
      <c r="G29" s="46">
        <f t="shared" si="11"/>
        <v>0</v>
      </c>
      <c r="H29" s="46">
        <f t="shared" si="11"/>
        <v>58.426468152030445</v>
      </c>
      <c r="I29" s="46">
        <f t="shared" si="11"/>
        <v>5.2803921599999998E-2</v>
      </c>
      <c r="J29" s="46">
        <f t="shared" si="11"/>
        <v>5.7275968283999994</v>
      </c>
      <c r="K29" s="46">
        <f t="shared" si="11"/>
        <v>92.484711356416099</v>
      </c>
      <c r="L29" s="46">
        <f t="shared" si="11"/>
        <v>7.1828801045827824</v>
      </c>
      <c r="M29" s="46">
        <f t="shared" si="11"/>
        <v>2.1568007153310291</v>
      </c>
      <c r="N29" s="46">
        <f t="shared" si="11"/>
        <v>2.7804544275049738</v>
      </c>
      <c r="O29" s="233">
        <f>SUM(C29:N29)</f>
        <v>170.78275927911102</v>
      </c>
      <c r="P29" s="160"/>
      <c r="Q29" s="160"/>
      <c r="R29" s="160"/>
      <c r="S29" s="160"/>
      <c r="T29" s="160"/>
      <c r="U29" s="160"/>
      <c r="V29" s="160"/>
      <c r="W29" s="160"/>
      <c r="X29" s="160"/>
      <c r="Y29" s="75"/>
      <c r="Z29" s="75"/>
      <c r="AA29" s="75"/>
      <c r="AB29" s="75"/>
    </row>
    <row r="30" spans="1:28" s="16" customFormat="1" ht="12.75" customHeight="1">
      <c r="A30" s="155"/>
      <c r="B30" s="155"/>
      <c r="C30" s="155"/>
      <c r="D30" s="155"/>
      <c r="E30" s="155"/>
      <c r="F30" s="155"/>
      <c r="G30" s="155"/>
      <c r="H30" s="155"/>
      <c r="I30" s="155"/>
      <c r="J30" s="155"/>
      <c r="K30" s="155"/>
      <c r="L30" s="155"/>
      <c r="M30" s="155"/>
      <c r="N30" s="155"/>
      <c r="O30" s="160"/>
      <c r="P30" s="160"/>
      <c r="Q30" s="160"/>
      <c r="R30" s="160"/>
      <c r="S30" s="160"/>
      <c r="T30" s="160"/>
      <c r="U30" s="160"/>
      <c r="V30" s="160"/>
      <c r="W30" s="160"/>
      <c r="X30" s="160"/>
      <c r="Y30" s="75"/>
      <c r="Z30" s="75"/>
    </row>
    <row r="31" spans="1:28" s="16" customFormat="1" ht="18">
      <c r="A31" s="155"/>
      <c r="B31" s="106" t="s">
        <v>273</v>
      </c>
      <c r="C31" s="107"/>
      <c r="D31" s="107"/>
      <c r="E31" s="107"/>
      <c r="F31" s="107"/>
      <c r="G31" s="107"/>
      <c r="H31" s="107"/>
      <c r="I31" s="107"/>
      <c r="J31" s="107"/>
      <c r="K31" s="185"/>
      <c r="L31" s="155"/>
      <c r="M31" s="155"/>
      <c r="N31" s="166"/>
      <c r="O31" s="160"/>
      <c r="P31" s="160"/>
      <c r="Q31" s="160"/>
      <c r="R31" s="160"/>
      <c r="S31" s="160"/>
      <c r="T31" s="160"/>
      <c r="U31" s="160"/>
      <c r="V31" s="160"/>
      <c r="W31" s="160"/>
      <c r="X31" s="160"/>
    </row>
    <row r="32" spans="1:28" ht="12.75" customHeight="1">
      <c r="A32" s="155"/>
      <c r="B32" s="195"/>
      <c r="C32" s="195" t="s">
        <v>97</v>
      </c>
      <c r="D32" s="195" t="s">
        <v>98</v>
      </c>
      <c r="E32" s="196"/>
      <c r="F32" s="195" t="s">
        <v>118</v>
      </c>
      <c r="G32" s="195" t="s">
        <v>85</v>
      </c>
      <c r="H32" s="195" t="s">
        <v>112</v>
      </c>
      <c r="I32" s="195" t="s">
        <v>113</v>
      </c>
      <c r="J32" s="195" t="s">
        <v>106</v>
      </c>
      <c r="K32" s="195" t="s">
        <v>57</v>
      </c>
      <c r="L32" s="195" t="s">
        <v>68</v>
      </c>
      <c r="M32" s="195" t="s">
        <v>62</v>
      </c>
      <c r="N32" s="166"/>
      <c r="O32" s="160"/>
      <c r="P32" s="160"/>
      <c r="Q32" s="160"/>
      <c r="R32" s="160"/>
      <c r="S32" s="160"/>
      <c r="T32" s="160"/>
      <c r="U32" s="160"/>
      <c r="V32" s="160"/>
      <c r="W32" s="160"/>
      <c r="X32" s="160"/>
    </row>
    <row r="33" spans="1:25" ht="12.75" customHeight="1">
      <c r="A33" s="155"/>
      <c r="B33" s="197" t="s">
        <v>79</v>
      </c>
      <c r="C33" s="198" t="s">
        <v>65</v>
      </c>
      <c r="D33" s="198" t="s">
        <v>65</v>
      </c>
      <c r="E33" s="196"/>
      <c r="F33" s="198" t="s">
        <v>65</v>
      </c>
      <c r="G33" s="198" t="s">
        <v>65</v>
      </c>
      <c r="H33" s="198" t="s">
        <v>65</v>
      </c>
      <c r="I33" s="198" t="s">
        <v>65</v>
      </c>
      <c r="J33" s="198">
        <v>0.53</v>
      </c>
      <c r="K33" s="198" t="s">
        <v>65</v>
      </c>
      <c r="L33" s="198" t="s">
        <v>65</v>
      </c>
      <c r="M33" s="198">
        <v>0</v>
      </c>
      <c r="N33" s="166"/>
      <c r="O33" s="160"/>
      <c r="P33" s="160"/>
      <c r="Q33" s="160"/>
      <c r="R33" s="160"/>
      <c r="S33" s="160"/>
      <c r="T33" s="160"/>
      <c r="U33" s="160"/>
      <c r="V33" s="160"/>
      <c r="W33" s="160"/>
      <c r="X33" s="160"/>
    </row>
    <row r="34" spans="1:25" ht="12.75" customHeight="1">
      <c r="A34" s="155"/>
      <c r="B34" s="197" t="s">
        <v>80</v>
      </c>
      <c r="C34" s="198" t="s">
        <v>65</v>
      </c>
      <c r="D34" s="198" t="s">
        <v>65</v>
      </c>
      <c r="E34" s="196"/>
      <c r="F34" s="198" t="s">
        <v>65</v>
      </c>
      <c r="G34" s="198" t="s">
        <v>65</v>
      </c>
      <c r="H34" s="198" t="s">
        <v>65</v>
      </c>
      <c r="I34" s="198" t="s">
        <v>65</v>
      </c>
      <c r="J34" s="198">
        <v>0.47</v>
      </c>
      <c r="K34" s="198" t="s">
        <v>65</v>
      </c>
      <c r="L34" s="198" t="s">
        <v>65</v>
      </c>
      <c r="M34" s="198">
        <v>0</v>
      </c>
      <c r="N34" s="166"/>
      <c r="O34" s="160"/>
      <c r="P34" s="160"/>
      <c r="Q34" s="160"/>
      <c r="R34" s="160"/>
      <c r="S34" s="160"/>
      <c r="T34" s="160"/>
      <c r="U34" s="160"/>
      <c r="V34" s="160"/>
      <c r="W34" s="160"/>
      <c r="X34" s="160"/>
    </row>
    <row r="35" spans="1:25" ht="12.75" customHeight="1">
      <c r="A35" s="155"/>
      <c r="B35" s="197" t="s">
        <v>76</v>
      </c>
      <c r="C35" s="198" t="s">
        <v>65</v>
      </c>
      <c r="D35" s="198">
        <v>1</v>
      </c>
      <c r="E35" s="196"/>
      <c r="F35" s="198">
        <v>1</v>
      </c>
      <c r="G35" s="198">
        <v>1</v>
      </c>
      <c r="H35" s="198">
        <v>0.99</v>
      </c>
      <c r="I35" s="198" t="s">
        <v>65</v>
      </c>
      <c r="J35" s="199" t="s">
        <v>65</v>
      </c>
      <c r="K35" s="198" t="s">
        <v>65</v>
      </c>
      <c r="L35" s="198" t="s">
        <v>65</v>
      </c>
      <c r="M35" s="198">
        <v>0</v>
      </c>
      <c r="N35" s="166"/>
      <c r="O35" s="160"/>
      <c r="P35" s="160"/>
      <c r="Q35" s="160"/>
      <c r="R35" s="160"/>
      <c r="S35" s="160"/>
      <c r="T35" s="160"/>
      <c r="U35" s="160"/>
      <c r="V35" s="160"/>
      <c r="W35" s="160"/>
      <c r="X35" s="160"/>
    </row>
    <row r="36" spans="1:25" ht="12.75" customHeight="1">
      <c r="A36" s="155"/>
      <c r="B36" s="197" t="s">
        <v>81</v>
      </c>
      <c r="C36" s="198">
        <v>1</v>
      </c>
      <c r="D36" s="198" t="s">
        <v>171</v>
      </c>
      <c r="E36" s="196"/>
      <c r="F36" s="198" t="s">
        <v>65</v>
      </c>
      <c r="G36" s="198" t="s">
        <v>65</v>
      </c>
      <c r="H36" s="198" t="s">
        <v>65</v>
      </c>
      <c r="I36" s="198" t="s">
        <v>65</v>
      </c>
      <c r="J36" s="199" t="s">
        <v>65</v>
      </c>
      <c r="K36" s="198">
        <v>0.35610818176432246</v>
      </c>
      <c r="L36" s="198" t="s">
        <v>65</v>
      </c>
      <c r="M36" s="198">
        <v>1</v>
      </c>
      <c r="N36" s="166"/>
      <c r="O36" s="160"/>
      <c r="P36" s="160"/>
      <c r="Q36" s="160"/>
      <c r="R36" s="160"/>
      <c r="S36" s="160"/>
      <c r="T36" s="160"/>
      <c r="U36" s="160"/>
      <c r="V36" s="160"/>
      <c r="W36" s="160"/>
      <c r="X36" s="160"/>
    </row>
    <row r="37" spans="1:25" ht="12.75" customHeight="1">
      <c r="A37" s="155"/>
      <c r="B37" s="197" t="s">
        <v>82</v>
      </c>
      <c r="C37" s="198" t="s">
        <v>65</v>
      </c>
      <c r="D37" s="198" t="s">
        <v>65</v>
      </c>
      <c r="E37" s="196"/>
      <c r="F37" s="198" t="s">
        <v>65</v>
      </c>
      <c r="G37" s="198" t="s">
        <v>65</v>
      </c>
      <c r="H37" s="198">
        <v>0.01</v>
      </c>
      <c r="I37" s="198" t="s">
        <v>65</v>
      </c>
      <c r="J37" s="199" t="s">
        <v>65</v>
      </c>
      <c r="K37" s="198">
        <v>0.21313466437585163</v>
      </c>
      <c r="L37" s="198">
        <v>0.11</v>
      </c>
      <c r="M37" s="198">
        <v>0</v>
      </c>
      <c r="N37" s="166"/>
      <c r="O37" s="160"/>
      <c r="P37" s="160"/>
      <c r="Q37" s="160"/>
      <c r="R37" s="160"/>
      <c r="S37" s="160"/>
      <c r="T37" s="160"/>
      <c r="U37" s="160"/>
      <c r="V37" s="160"/>
      <c r="W37" s="160"/>
      <c r="X37" s="160"/>
    </row>
    <row r="38" spans="1:25" ht="12.75" customHeight="1">
      <c r="A38" s="155"/>
      <c r="B38" s="197" t="s">
        <v>83</v>
      </c>
      <c r="C38" s="198" t="s">
        <v>65</v>
      </c>
      <c r="D38" s="198" t="s">
        <v>65</v>
      </c>
      <c r="E38" s="196"/>
      <c r="F38" s="198" t="s">
        <v>65</v>
      </c>
      <c r="G38" s="198" t="s">
        <v>65</v>
      </c>
      <c r="H38" s="198" t="s">
        <v>65</v>
      </c>
      <c r="I38" s="198" t="s">
        <v>65</v>
      </c>
      <c r="J38" s="199" t="s">
        <v>65</v>
      </c>
      <c r="K38" s="198" t="s">
        <v>65</v>
      </c>
      <c r="L38" s="198" t="s">
        <v>65</v>
      </c>
      <c r="M38" s="198">
        <v>0</v>
      </c>
      <c r="N38" s="166"/>
      <c r="O38" s="160"/>
      <c r="P38" s="160"/>
      <c r="Q38" s="160"/>
      <c r="R38" s="160"/>
      <c r="S38" s="160"/>
      <c r="T38" s="160"/>
      <c r="U38" s="160"/>
      <c r="V38" s="160"/>
      <c r="W38" s="160"/>
      <c r="X38" s="160"/>
    </row>
    <row r="39" spans="1:25" ht="12.75" customHeight="1">
      <c r="A39" s="155"/>
      <c r="B39" s="197" t="s">
        <v>126</v>
      </c>
      <c r="C39" s="198" t="s">
        <v>65</v>
      </c>
      <c r="D39" s="198" t="s">
        <v>65</v>
      </c>
      <c r="E39" s="196"/>
      <c r="F39" s="198" t="s">
        <v>65</v>
      </c>
      <c r="G39" s="198" t="s">
        <v>65</v>
      </c>
      <c r="H39" s="198" t="s">
        <v>65</v>
      </c>
      <c r="I39" s="198" t="s">
        <v>65</v>
      </c>
      <c r="J39" s="199" t="s">
        <v>65</v>
      </c>
      <c r="K39" s="198">
        <v>0.43075715385982577</v>
      </c>
      <c r="L39" s="198">
        <v>0.89</v>
      </c>
      <c r="M39" s="198">
        <v>0</v>
      </c>
      <c r="N39" s="166"/>
      <c r="O39" s="160"/>
      <c r="P39" s="160"/>
      <c r="Q39" s="160"/>
      <c r="R39" s="160"/>
      <c r="S39" s="160"/>
      <c r="T39" s="160"/>
      <c r="U39" s="160"/>
      <c r="V39" s="160"/>
      <c r="W39" s="160"/>
      <c r="X39" s="160"/>
    </row>
    <row r="40" spans="1:25" ht="12.75" customHeight="1">
      <c r="A40" s="157"/>
      <c r="B40" s="166"/>
      <c r="C40" s="166"/>
      <c r="D40" s="166"/>
      <c r="E40" s="155"/>
      <c r="F40" s="166"/>
      <c r="G40" s="166"/>
      <c r="H40" s="166"/>
      <c r="I40" s="166"/>
      <c r="J40" s="186"/>
      <c r="K40" s="166"/>
      <c r="L40" s="166"/>
      <c r="M40" s="166"/>
      <c r="N40" s="166"/>
      <c r="O40" s="160"/>
      <c r="P40" s="160"/>
      <c r="Q40" s="160"/>
      <c r="R40" s="160"/>
      <c r="S40" s="160"/>
      <c r="T40" s="160"/>
      <c r="U40" s="160"/>
      <c r="V40" s="160"/>
      <c r="W40" s="160"/>
      <c r="X40" s="160"/>
    </row>
    <row r="41" spans="1:25" ht="18">
      <c r="A41" s="157"/>
      <c r="B41" s="106" t="s">
        <v>274</v>
      </c>
      <c r="C41" s="108"/>
      <c r="D41" s="108"/>
      <c r="E41" s="108"/>
      <c r="F41" s="108"/>
      <c r="G41" s="108"/>
      <c r="H41" s="108"/>
      <c r="I41" s="108"/>
      <c r="J41" s="155"/>
      <c r="K41" s="155"/>
      <c r="L41" s="155"/>
      <c r="M41" s="166"/>
      <c r="N41" s="166"/>
      <c r="O41" s="160"/>
      <c r="P41" s="160"/>
      <c r="Q41" s="160"/>
      <c r="R41" s="160"/>
      <c r="S41" s="160"/>
      <c r="T41" s="160"/>
      <c r="U41" s="160"/>
      <c r="V41" s="160"/>
      <c r="W41" s="160"/>
      <c r="X41" s="160"/>
    </row>
    <row r="42" spans="1:25" ht="12.75" customHeight="1">
      <c r="A42" s="155"/>
      <c r="B42" s="26"/>
      <c r="C42" s="44" t="s">
        <v>97</v>
      </c>
      <c r="D42" s="44" t="s">
        <v>98</v>
      </c>
      <c r="E42" s="76" t="s">
        <v>160</v>
      </c>
      <c r="F42" s="44" t="s">
        <v>118</v>
      </c>
      <c r="G42" s="44" t="s">
        <v>85</v>
      </c>
      <c r="H42" s="44" t="s">
        <v>112</v>
      </c>
      <c r="I42" s="44" t="s">
        <v>113</v>
      </c>
      <c r="J42" s="45" t="s">
        <v>106</v>
      </c>
      <c r="K42" s="45" t="s">
        <v>57</v>
      </c>
      <c r="L42" s="44" t="s">
        <v>68</v>
      </c>
      <c r="M42" s="44" t="s">
        <v>62</v>
      </c>
      <c r="N42" s="166"/>
      <c r="O42" s="160"/>
      <c r="P42" s="160"/>
      <c r="Q42" s="160"/>
      <c r="R42" s="160"/>
      <c r="S42" s="160"/>
      <c r="T42" s="160"/>
      <c r="U42" s="160"/>
      <c r="V42" s="160"/>
      <c r="W42" s="160"/>
      <c r="X42" s="160"/>
      <c r="Y42" s="75"/>
    </row>
    <row r="43" spans="1:25" ht="12.75" customHeight="1">
      <c r="A43" s="155"/>
      <c r="B43" s="40" t="str">
        <f>A10</f>
        <v>INTLAIR</v>
      </c>
      <c r="C43" s="46">
        <f t="shared" ref="C43:G44" si="12">C22</f>
        <v>0</v>
      </c>
      <c r="D43" s="46">
        <f t="shared" si="12"/>
        <v>0</v>
      </c>
      <c r="E43" s="46">
        <f t="shared" si="12"/>
        <v>0</v>
      </c>
      <c r="F43" s="46">
        <f t="shared" si="12"/>
        <v>0</v>
      </c>
      <c r="G43" s="46">
        <f t="shared" si="12"/>
        <v>0</v>
      </c>
      <c r="H43" s="46"/>
      <c r="I43" s="46">
        <f>SUM(H22:I22)</f>
        <v>0</v>
      </c>
      <c r="J43" s="46">
        <f>J22+SUM(J25:J28)*J33</f>
        <v>2.2445979083999994</v>
      </c>
      <c r="K43" s="46">
        <f t="shared" ref="K43:M44" si="13">K22</f>
        <v>0</v>
      </c>
      <c r="L43" s="46">
        <f t="shared" si="13"/>
        <v>0</v>
      </c>
      <c r="M43" s="46">
        <f t="shared" si="13"/>
        <v>0</v>
      </c>
      <c r="N43" s="166"/>
      <c r="O43" s="160"/>
      <c r="P43" s="160"/>
      <c r="Q43" s="160"/>
      <c r="R43" s="160"/>
      <c r="S43" s="160"/>
      <c r="T43" s="160"/>
      <c r="U43" s="160"/>
      <c r="V43" s="160"/>
      <c r="W43" s="160"/>
      <c r="X43" s="160"/>
      <c r="Y43" s="75"/>
    </row>
    <row r="44" spans="1:25" ht="12.75" customHeight="1">
      <c r="A44" s="155"/>
      <c r="B44" s="40" t="str">
        <f>A11</f>
        <v>DOMESAIR</v>
      </c>
      <c r="C44" s="46">
        <f t="shared" si="12"/>
        <v>0</v>
      </c>
      <c r="D44" s="46">
        <f t="shared" si="12"/>
        <v>0</v>
      </c>
      <c r="E44" s="46">
        <f t="shared" si="12"/>
        <v>0</v>
      </c>
      <c r="F44" s="46">
        <f t="shared" si="12"/>
        <v>0</v>
      </c>
      <c r="G44" s="46">
        <f t="shared" si="12"/>
        <v>0</v>
      </c>
      <c r="H44" s="46"/>
      <c r="I44" s="46">
        <f>SUM(H23:I23)</f>
        <v>5.2803921599999998E-2</v>
      </c>
      <c r="J44" s="46">
        <f>J23+J24+SUM(J25:J28)*J34</f>
        <v>3.4829989200000004</v>
      </c>
      <c r="K44" s="46">
        <f t="shared" si="13"/>
        <v>0</v>
      </c>
      <c r="L44" s="46">
        <f t="shared" si="13"/>
        <v>0</v>
      </c>
      <c r="M44" s="46">
        <f t="shared" si="13"/>
        <v>0</v>
      </c>
      <c r="N44" s="166"/>
      <c r="O44" s="160"/>
      <c r="P44" s="160"/>
      <c r="Q44" s="160"/>
      <c r="R44" s="160"/>
      <c r="S44" s="160"/>
      <c r="T44" s="160"/>
      <c r="U44" s="160"/>
      <c r="V44" s="160"/>
      <c r="W44" s="160"/>
      <c r="X44" s="160"/>
      <c r="Y44" s="75"/>
    </row>
    <row r="45" spans="1:25" ht="12.75" customHeight="1">
      <c r="A45" s="155"/>
      <c r="B45" s="40" t="str">
        <f>A12</f>
        <v>ROAD</v>
      </c>
      <c r="C45" s="46">
        <f>C24</f>
        <v>0</v>
      </c>
      <c r="D45" s="46">
        <f>D24+D48*D35</f>
        <v>1.7771843764930488</v>
      </c>
      <c r="E45" s="46">
        <f>E24</f>
        <v>0</v>
      </c>
      <c r="F45" s="46">
        <f>F24+F48*F35</f>
        <v>0.19385939675265446</v>
      </c>
      <c r="G45" s="46">
        <f>G24+G48*G35</f>
        <v>0</v>
      </c>
      <c r="H45" s="46">
        <f>H24+H27*H35+H25</f>
        <v>56.463204781710445</v>
      </c>
      <c r="I45" s="46">
        <f>I24</f>
        <v>0</v>
      </c>
      <c r="J45" s="46"/>
      <c r="K45" s="46">
        <f>K24+N24</f>
        <v>88.496835193760347</v>
      </c>
      <c r="L45" s="46"/>
      <c r="M45" s="46">
        <f>M24</f>
        <v>0</v>
      </c>
      <c r="N45" s="166"/>
      <c r="O45" s="160"/>
      <c r="P45" s="160"/>
      <c r="Q45" s="160"/>
      <c r="R45" s="160"/>
      <c r="S45" s="160"/>
      <c r="T45" s="160"/>
      <c r="U45" s="160"/>
      <c r="V45" s="160"/>
      <c r="W45" s="160"/>
      <c r="X45" s="160"/>
      <c r="Y45" s="75"/>
    </row>
    <row r="46" spans="1:25" ht="12.75" customHeight="1">
      <c r="A46" s="155"/>
      <c r="B46" s="40" t="str">
        <f>A13</f>
        <v>RAIL</v>
      </c>
      <c r="C46" s="46">
        <f>C25+C48*C36</f>
        <v>0</v>
      </c>
      <c r="D46" s="46">
        <f>D25</f>
        <v>0</v>
      </c>
      <c r="E46" s="46">
        <f>E25</f>
        <v>0</v>
      </c>
      <c r="F46" s="46">
        <f t="shared" ref="F46:G49" si="14">F25</f>
        <v>0</v>
      </c>
      <c r="G46" s="46">
        <f t="shared" si="14"/>
        <v>0</v>
      </c>
      <c r="H46" s="46"/>
      <c r="I46" s="46">
        <f>I25</f>
        <v>0</v>
      </c>
      <c r="J46" s="46"/>
      <c r="K46" s="46">
        <f>K25+K48*K36+N25</f>
        <v>1.2950212014</v>
      </c>
      <c r="L46" s="46">
        <f>L25</f>
        <v>0</v>
      </c>
      <c r="M46" s="46">
        <f>M25+M48*M36</f>
        <v>2.1568007153310291</v>
      </c>
      <c r="N46" s="166"/>
      <c r="O46" s="160"/>
      <c r="P46" s="160"/>
      <c r="Q46" s="160"/>
      <c r="R46" s="160"/>
      <c r="S46" s="160"/>
      <c r="T46" s="160"/>
      <c r="U46" s="160"/>
      <c r="V46" s="160"/>
      <c r="W46" s="160"/>
      <c r="X46" s="160"/>
      <c r="Y46" s="75"/>
    </row>
    <row r="47" spans="1:25" ht="12.75" customHeight="1">
      <c r="A47" s="155"/>
      <c r="B47" s="40" t="str">
        <f>A14</f>
        <v>DOMESNAV</v>
      </c>
      <c r="C47" s="46">
        <f>C26</f>
        <v>0</v>
      </c>
      <c r="D47" s="46">
        <f>D26</f>
        <v>0</v>
      </c>
      <c r="E47" s="46">
        <f>E26</f>
        <v>0</v>
      </c>
      <c r="F47" s="46">
        <f t="shared" si="14"/>
        <v>0</v>
      </c>
      <c r="G47" s="46">
        <f t="shared" si="14"/>
        <v>0</v>
      </c>
      <c r="H47" s="46">
        <f>H26+H48*H37</f>
        <v>1.96326337032</v>
      </c>
      <c r="I47" s="46">
        <f>I26</f>
        <v>0</v>
      </c>
      <c r="J47" s="46"/>
      <c r="K47" s="46">
        <f>K26+K48*K37+N26</f>
        <v>3.2617901793600002</v>
      </c>
      <c r="L47" s="46">
        <f>L26+L24+(L48*L37)</f>
        <v>2.1727804719599999</v>
      </c>
      <c r="M47" s="46">
        <f>M26</f>
        <v>0</v>
      </c>
      <c r="N47" s="166"/>
      <c r="O47" s="160"/>
      <c r="P47" s="160"/>
      <c r="Q47" s="160"/>
      <c r="R47" s="160"/>
      <c r="S47" s="160"/>
      <c r="T47" s="160"/>
      <c r="U47" s="160"/>
      <c r="V47" s="160"/>
      <c r="W47" s="160"/>
      <c r="X47" s="160"/>
      <c r="Y47" s="75"/>
    </row>
    <row r="48" spans="1:25" ht="12.75" customHeight="1">
      <c r="A48" s="155"/>
      <c r="B48" s="152" t="s">
        <v>83</v>
      </c>
      <c r="C48" s="153">
        <f>C27</f>
        <v>0</v>
      </c>
      <c r="D48" s="153">
        <f>D27</f>
        <v>0</v>
      </c>
      <c r="E48" s="153">
        <f>E27</f>
        <v>0</v>
      </c>
      <c r="F48" s="153">
        <f t="shared" si="14"/>
        <v>0</v>
      </c>
      <c r="G48" s="153">
        <f t="shared" si="14"/>
        <v>0</v>
      </c>
      <c r="H48" s="153">
        <f>H27</f>
        <v>0</v>
      </c>
      <c r="I48" s="153">
        <f>I27</f>
        <v>0</v>
      </c>
      <c r="J48" s="153"/>
      <c r="K48" s="153">
        <f>K27</f>
        <v>0</v>
      </c>
      <c r="L48" s="153">
        <f>L27</f>
        <v>0</v>
      </c>
      <c r="M48" s="153">
        <f>M27</f>
        <v>0.27004860000000003</v>
      </c>
      <c r="N48" s="166"/>
      <c r="O48" s="160"/>
      <c r="P48" s="160"/>
      <c r="Q48" s="160"/>
      <c r="R48" s="160"/>
      <c r="S48" s="160"/>
      <c r="T48" s="160"/>
      <c r="U48" s="160"/>
      <c r="V48" s="160"/>
      <c r="W48" s="160"/>
      <c r="X48" s="160"/>
      <c r="Y48" s="75"/>
    </row>
    <row r="49" spans="1:25" ht="12.75" customHeight="1">
      <c r="A49" s="155"/>
      <c r="B49" s="41" t="s">
        <v>126</v>
      </c>
      <c r="C49" s="46">
        <f>C28</f>
        <v>0</v>
      </c>
      <c r="D49" s="46">
        <f>D28</f>
        <v>0</v>
      </c>
      <c r="E49" s="46">
        <f>E28</f>
        <v>0</v>
      </c>
      <c r="F49" s="46">
        <f t="shared" si="14"/>
        <v>0</v>
      </c>
      <c r="G49" s="46">
        <f t="shared" si="14"/>
        <v>0</v>
      </c>
      <c r="H49" s="46">
        <f>H28</f>
        <v>0</v>
      </c>
      <c r="I49" s="46">
        <f>I28</f>
        <v>0</v>
      </c>
      <c r="J49" s="46"/>
      <c r="K49" s="46">
        <f>K28+K48*K39</f>
        <v>2.211519209400715</v>
      </c>
      <c r="L49" s="46">
        <f>L28+L48*L39</f>
        <v>5.0100996326227829</v>
      </c>
      <c r="M49" s="46">
        <f>M28</f>
        <v>0</v>
      </c>
      <c r="N49" s="166"/>
      <c r="O49" s="160"/>
      <c r="P49" s="160"/>
      <c r="Q49" s="160"/>
      <c r="R49" s="160"/>
      <c r="S49" s="160"/>
      <c r="T49" s="160"/>
      <c r="U49" s="160"/>
      <c r="V49" s="160"/>
      <c r="W49" s="160"/>
      <c r="X49" s="160"/>
      <c r="Y49" s="75"/>
    </row>
    <row r="50" spans="1:25" ht="12.75" customHeight="1">
      <c r="A50" s="155"/>
      <c r="B50" s="41" t="s">
        <v>84</v>
      </c>
      <c r="C50" s="46">
        <f t="shared" ref="C50:M50" si="15">SUM(C43:C49)-C48</f>
        <v>0</v>
      </c>
      <c r="D50" s="46">
        <f t="shared" si="15"/>
        <v>1.7771843764930488</v>
      </c>
      <c r="E50" s="46">
        <f t="shared" si="15"/>
        <v>0</v>
      </c>
      <c r="F50" s="46">
        <f t="shared" si="15"/>
        <v>0.19385939675265446</v>
      </c>
      <c r="G50" s="46">
        <f t="shared" si="15"/>
        <v>0</v>
      </c>
      <c r="H50" s="46">
        <f t="shared" si="15"/>
        <v>58.426468152030445</v>
      </c>
      <c r="I50" s="46">
        <f t="shared" si="15"/>
        <v>5.2803921599999998E-2</v>
      </c>
      <c r="J50" s="46">
        <f t="shared" si="15"/>
        <v>5.7275968283999994</v>
      </c>
      <c r="K50" s="46">
        <f t="shared" si="15"/>
        <v>95.265165783921077</v>
      </c>
      <c r="L50" s="46">
        <f t="shared" si="15"/>
        <v>7.1828801045827824</v>
      </c>
      <c r="M50" s="46">
        <f t="shared" si="15"/>
        <v>2.1568007153310291</v>
      </c>
      <c r="N50" s="233">
        <f>SUM(C50:M50)</f>
        <v>170.78275927911105</v>
      </c>
      <c r="O50" s="160"/>
      <c r="P50" s="160"/>
      <c r="Q50" s="160"/>
      <c r="R50" s="160"/>
      <c r="S50" s="160"/>
      <c r="T50" s="160"/>
      <c r="U50" s="160"/>
      <c r="V50" s="160"/>
      <c r="W50" s="160"/>
      <c r="X50" s="160"/>
      <c r="Y50" s="75"/>
    </row>
    <row r="51" spans="1:25" ht="12.75" customHeight="1">
      <c r="A51" s="155"/>
      <c r="B51" s="41"/>
      <c r="C51" s="39" t="s">
        <v>102</v>
      </c>
      <c r="D51" s="39" t="s">
        <v>105</v>
      </c>
      <c r="E51" s="39" t="s">
        <v>162</v>
      </c>
      <c r="F51" s="39" t="s">
        <v>100</v>
      </c>
      <c r="G51" s="39" t="s">
        <v>101</v>
      </c>
      <c r="H51" s="39" t="s">
        <v>172</v>
      </c>
      <c r="I51" s="39" t="s">
        <v>130</v>
      </c>
      <c r="J51" s="39" t="s">
        <v>135</v>
      </c>
      <c r="K51" s="39" t="s">
        <v>104</v>
      </c>
      <c r="L51" s="39" t="s">
        <v>103</v>
      </c>
      <c r="M51" s="39" t="s">
        <v>99</v>
      </c>
      <c r="N51" s="166"/>
      <c r="O51" s="160"/>
      <c r="P51" s="160"/>
      <c r="Q51" s="160"/>
      <c r="R51" s="160"/>
      <c r="S51" s="160"/>
      <c r="T51" s="160"/>
      <c r="U51" s="160"/>
      <c r="V51" s="160"/>
      <c r="W51" s="160"/>
      <c r="X51" s="160"/>
      <c r="Y51" s="75"/>
    </row>
    <row r="52" spans="1:25" ht="12.75" customHeight="1">
      <c r="A52" s="155"/>
      <c r="B52" s="155"/>
      <c r="C52" s="155"/>
      <c r="D52" s="155"/>
      <c r="E52" s="155"/>
      <c r="F52" s="155"/>
      <c r="G52" s="155"/>
      <c r="H52" s="155"/>
      <c r="I52" s="184" t="s">
        <v>65</v>
      </c>
      <c r="J52" s="155"/>
      <c r="K52" s="155"/>
      <c r="L52" s="166"/>
      <c r="M52" s="166"/>
      <c r="N52" s="166"/>
      <c r="O52" s="160"/>
      <c r="P52" s="160"/>
      <c r="Q52" s="160"/>
      <c r="R52" s="160"/>
      <c r="S52" s="160"/>
      <c r="T52" s="160"/>
      <c r="U52" s="160"/>
      <c r="V52" s="160"/>
      <c r="W52" s="160"/>
      <c r="X52" s="160"/>
    </row>
    <row r="53" spans="1:25" s="16" customFormat="1" ht="18">
      <c r="A53" s="155"/>
      <c r="B53" s="100" t="s">
        <v>275</v>
      </c>
      <c r="C53" s="101"/>
      <c r="D53" s="101"/>
      <c r="E53" s="101"/>
      <c r="F53" s="101"/>
      <c r="G53" s="105"/>
      <c r="H53" s="155"/>
      <c r="I53" s="155"/>
      <c r="J53" s="155"/>
      <c r="K53" s="155"/>
      <c r="L53" s="155"/>
      <c r="M53" s="155"/>
      <c r="N53" s="155"/>
      <c r="O53" s="160"/>
      <c r="P53" s="160"/>
      <c r="Q53" s="160"/>
      <c r="R53" s="160"/>
      <c r="S53" s="160"/>
      <c r="T53" s="160"/>
      <c r="U53" s="160"/>
      <c r="V53" s="160"/>
      <c r="W53" s="160"/>
      <c r="X53" s="160"/>
    </row>
    <row r="54" spans="1:25" ht="12.75" customHeight="1">
      <c r="A54" s="155" t="s">
        <v>111</v>
      </c>
      <c r="B54" s="155"/>
      <c r="C54" s="155"/>
      <c r="D54" s="72" t="s">
        <v>162</v>
      </c>
      <c r="E54" s="72" t="s">
        <v>163</v>
      </c>
      <c r="F54" s="155"/>
      <c r="G54" s="155"/>
      <c r="H54" s="155"/>
      <c r="I54" s="155"/>
      <c r="J54" s="155"/>
      <c r="K54" s="155"/>
      <c r="L54" s="155"/>
      <c r="M54" s="155"/>
      <c r="N54" s="155"/>
      <c r="O54" s="160"/>
      <c r="P54" s="160"/>
      <c r="Q54" s="160"/>
      <c r="R54" s="160"/>
      <c r="S54" s="160"/>
      <c r="T54" s="160"/>
      <c r="U54" s="160"/>
      <c r="V54" s="160"/>
      <c r="W54" s="160"/>
      <c r="X54" s="160"/>
    </row>
    <row r="55" spans="1:25" s="16" customFormat="1" ht="12.75" customHeight="1">
      <c r="A55" s="152"/>
      <c r="B55" s="152"/>
      <c r="C55" s="168" t="s">
        <v>97</v>
      </c>
      <c r="D55" s="168" t="s">
        <v>160</v>
      </c>
      <c r="E55" s="168" t="s">
        <v>161</v>
      </c>
      <c r="F55" s="168" t="s">
        <v>118</v>
      </c>
      <c r="G55" s="168" t="s">
        <v>85</v>
      </c>
      <c r="H55" s="168" t="s">
        <v>114</v>
      </c>
      <c r="I55" s="168" t="s">
        <v>115</v>
      </c>
      <c r="J55" s="168" t="s">
        <v>106</v>
      </c>
      <c r="K55" s="168" t="s">
        <v>57</v>
      </c>
      <c r="L55" s="168" t="s">
        <v>68</v>
      </c>
      <c r="M55" s="168" t="s">
        <v>62</v>
      </c>
      <c r="N55" s="155"/>
      <c r="O55" s="160"/>
      <c r="P55" s="160"/>
      <c r="Q55" s="160"/>
      <c r="R55" s="160"/>
      <c r="S55" s="160"/>
      <c r="T55" s="160"/>
      <c r="U55" s="160"/>
      <c r="V55" s="160"/>
      <c r="W55" s="160"/>
      <c r="X55" s="160"/>
    </row>
    <row r="56" spans="1:25" s="16" customFormat="1" ht="12.75" customHeight="1">
      <c r="A56" s="152"/>
      <c r="B56" s="152"/>
      <c r="C56" s="226">
        <f ca="1">MATCH(C55,OFFSET(CalibData!$B$3,1,0,100),0)</f>
        <v>64</v>
      </c>
      <c r="D56" s="226">
        <f ca="1">MATCH(D55,OFFSET(CalibData!$B$3,1,0,100),0)</f>
        <v>1</v>
      </c>
      <c r="E56" s="226">
        <f ca="1">MATCH(E55,OFFSET(CalibData!$B$3,1,0,100),0)</f>
        <v>10</v>
      </c>
      <c r="F56" s="226">
        <f ca="1">MATCH(F55,OFFSET(CalibData!$B$3,1,0,100),0)</f>
        <v>19</v>
      </c>
      <c r="G56" s="226">
        <f ca="1">MATCH(G55,OFFSET(CalibData!$B$3,1,0,100),0)</f>
        <v>28</v>
      </c>
      <c r="H56" s="226">
        <f ca="1">MATCH(H55,OFFSET(CalibData!$B$3,1,0,100),0)</f>
        <v>37</v>
      </c>
      <c r="I56" s="226"/>
      <c r="J56" s="226"/>
      <c r="K56" s="226">
        <f ca="1">MATCH(K55,OFFSET(CalibData!$B$3,1,0,100),0)</f>
        <v>46</v>
      </c>
      <c r="L56" s="226"/>
      <c r="M56" s="226">
        <f ca="1">MATCH(M55,OFFSET(CalibData!$B$3,1,0,100),0)</f>
        <v>55</v>
      </c>
      <c r="N56" s="155"/>
      <c r="O56" s="160"/>
      <c r="P56" s="160"/>
      <c r="Q56" s="160"/>
      <c r="R56" s="160"/>
      <c r="S56" s="160"/>
      <c r="T56" s="160"/>
      <c r="U56" s="160"/>
      <c r="V56" s="160"/>
      <c r="W56" s="160"/>
      <c r="X56" s="160"/>
    </row>
    <row r="57" spans="1:25" s="16" customFormat="1" ht="12.75" customHeight="1">
      <c r="A57" s="152"/>
      <c r="B57" s="152"/>
      <c r="C57" s="152"/>
      <c r="D57" s="89"/>
      <c r="E57" s="89" t="s">
        <v>65</v>
      </c>
      <c r="F57" s="181">
        <f t="shared" ref="F57:M57" ca="1" si="16">SUM(F59:F62)</f>
        <v>1</v>
      </c>
      <c r="G57" s="181">
        <f t="shared" ca="1" si="16"/>
        <v>1</v>
      </c>
      <c r="H57" s="181">
        <f t="shared" ca="1" si="16"/>
        <v>1</v>
      </c>
      <c r="I57" s="181">
        <f t="shared" si="16"/>
        <v>0</v>
      </c>
      <c r="J57" s="181">
        <f t="shared" si="16"/>
        <v>0</v>
      </c>
      <c r="K57" s="181">
        <f t="shared" ca="1" si="16"/>
        <v>1</v>
      </c>
      <c r="L57" s="181">
        <f t="shared" si="16"/>
        <v>0</v>
      </c>
      <c r="M57" s="181">
        <f t="shared" ca="1" si="16"/>
        <v>1</v>
      </c>
      <c r="N57" s="155"/>
      <c r="O57" s="160"/>
      <c r="P57" s="160"/>
      <c r="Q57" s="160"/>
      <c r="R57" s="160"/>
      <c r="S57" s="160"/>
      <c r="T57" s="160"/>
      <c r="U57" s="160"/>
      <c r="V57" s="160"/>
      <c r="W57" s="160"/>
      <c r="X57" s="160"/>
    </row>
    <row r="58" spans="1:25" s="16" customFormat="1" ht="13.7" customHeight="1">
      <c r="A58" s="152" t="s">
        <v>76</v>
      </c>
      <c r="B58" s="177" t="s">
        <v>181</v>
      </c>
      <c r="C58" s="109"/>
      <c r="D58" s="93">
        <f t="array" aca="1" ref="D58:D62" ca="1">OFFSET(CalibData!$N$3,D$56,0,5)</f>
        <v>1</v>
      </c>
      <c r="E58" s="93">
        <f t="array" aca="1" ref="E58:E62" ca="1">OFFSET(CalibData!$N$3,E$56,0,5)</f>
        <v>1</v>
      </c>
      <c r="F58" s="93">
        <f t="array" aca="1" ref="F58:F62" ca="1">OFFSET(CalibData!$N$3,F$56,0,5)</f>
        <v>0.4</v>
      </c>
      <c r="G58" s="93">
        <f t="array" aca="1" ref="G58:G62" ca="1">OFFSET(CalibData!$N$3,G$56,0,5)</f>
        <v>0.75</v>
      </c>
      <c r="H58" s="93">
        <f t="array" aca="1" ref="H58:H62" ca="1">OFFSET(CalibData!$N$3,H$56,0,5)</f>
        <v>0.995</v>
      </c>
      <c r="I58" s="94"/>
      <c r="J58" s="94"/>
      <c r="K58" s="93">
        <f t="array" aca="1" ref="K58:K62" ca="1">OFFSET(CalibData!$N$3,K$56,0,5)</f>
        <v>0.41719797002125969</v>
      </c>
      <c r="L58" s="94"/>
      <c r="M58" s="93">
        <f t="array" aca="1" ref="M58:M62" ca="1">OFFSET(CalibData!$N$3,M$56,0,5)</f>
        <v>1</v>
      </c>
      <c r="N58" s="155"/>
      <c r="O58" s="160"/>
      <c r="P58" s="160"/>
      <c r="Q58" s="160"/>
      <c r="R58" s="160"/>
      <c r="S58" s="160"/>
      <c r="T58" s="160"/>
      <c r="U58" s="160"/>
      <c r="V58" s="160"/>
      <c r="W58" s="160"/>
      <c r="X58" s="160"/>
    </row>
    <row r="59" spans="1:25" s="13" customFormat="1" ht="12.75" customHeight="1">
      <c r="A59" s="152" t="s">
        <v>76</v>
      </c>
      <c r="B59" s="178" t="s">
        <v>141</v>
      </c>
      <c r="C59" s="88"/>
      <c r="D59" s="88">
        <f ca="1"/>
        <v>0.47</v>
      </c>
      <c r="E59" s="88">
        <f ca="1"/>
        <v>0.83</v>
      </c>
      <c r="F59" s="88">
        <f ca="1"/>
        <v>0.92</v>
      </c>
      <c r="G59" s="88">
        <f ca="1"/>
        <v>0.626</v>
      </c>
      <c r="H59" s="88">
        <f ca="1"/>
        <v>0.97154114712699091</v>
      </c>
      <c r="I59" s="88"/>
      <c r="J59" s="88"/>
      <c r="K59" s="88">
        <f ca="1"/>
        <v>0.62268969086656956</v>
      </c>
      <c r="L59" s="88"/>
      <c r="M59" s="88">
        <f ca="1"/>
        <v>0.79</v>
      </c>
      <c r="N59" s="155"/>
      <c r="O59" s="160"/>
      <c r="P59" s="160"/>
      <c r="Q59" s="160"/>
      <c r="R59" s="160"/>
      <c r="S59" s="160"/>
      <c r="T59" s="160"/>
      <c r="U59" s="160"/>
      <c r="V59" s="160"/>
      <c r="W59" s="160"/>
      <c r="X59" s="160"/>
    </row>
    <row r="60" spans="1:25" s="13" customFormat="1" ht="12.75" customHeight="1">
      <c r="A60" s="152" t="s">
        <v>76</v>
      </c>
      <c r="B60" s="179" t="s">
        <v>142</v>
      </c>
      <c r="C60" s="103"/>
      <c r="D60" s="103">
        <f ca="1"/>
        <v>0.53</v>
      </c>
      <c r="E60" s="103">
        <f ca="1"/>
        <v>0.17</v>
      </c>
      <c r="F60" s="103">
        <f ca="1"/>
        <v>0.08</v>
      </c>
      <c r="G60" s="103">
        <f ca="1"/>
        <v>0.374</v>
      </c>
      <c r="H60" s="103">
        <f ca="1"/>
        <v>7.1764438941302969E-3</v>
      </c>
      <c r="I60" s="103"/>
      <c r="J60" s="103"/>
      <c r="K60" s="103">
        <f ca="1"/>
        <v>0.3773103091334305</v>
      </c>
      <c r="L60" s="103"/>
      <c r="M60" s="103">
        <f ca="1"/>
        <v>0.21</v>
      </c>
      <c r="N60" s="155"/>
      <c r="O60" s="160"/>
      <c r="P60" s="160"/>
      <c r="Q60" s="160"/>
      <c r="R60" s="160"/>
      <c r="S60" s="160"/>
      <c r="T60" s="160"/>
      <c r="U60" s="160"/>
      <c r="V60" s="160"/>
      <c r="W60" s="160"/>
      <c r="X60" s="160"/>
    </row>
    <row r="61" spans="1:25" s="13" customFormat="1" ht="12.75" customHeight="1">
      <c r="A61" s="152" t="s">
        <v>76</v>
      </c>
      <c r="B61" s="179" t="s">
        <v>200</v>
      </c>
      <c r="C61" s="103"/>
      <c r="D61" s="103">
        <f ca="1"/>
        <v>0</v>
      </c>
      <c r="E61" s="103">
        <f ca="1"/>
        <v>0</v>
      </c>
      <c r="F61" s="103">
        <f ca="1"/>
        <v>0</v>
      </c>
      <c r="G61" s="103">
        <f ca="1"/>
        <v>0</v>
      </c>
      <c r="H61" s="103">
        <f ca="1"/>
        <v>0</v>
      </c>
      <c r="I61" s="103">
        <v>0</v>
      </c>
      <c r="J61" s="103">
        <v>0</v>
      </c>
      <c r="K61" s="103">
        <f ca="1"/>
        <v>0</v>
      </c>
      <c r="L61" s="103">
        <v>0</v>
      </c>
      <c r="M61" s="103">
        <f ca="1"/>
        <v>0</v>
      </c>
      <c r="N61" s="155"/>
      <c r="O61" s="160"/>
      <c r="P61" s="160"/>
      <c r="Q61" s="160"/>
      <c r="R61" s="160"/>
      <c r="S61" s="160"/>
      <c r="T61" s="160"/>
      <c r="U61" s="160"/>
      <c r="V61" s="160"/>
      <c r="W61" s="160"/>
      <c r="X61" s="160"/>
    </row>
    <row r="62" spans="1:25" s="13" customFormat="1" ht="13.7" customHeight="1">
      <c r="A62" s="152" t="s">
        <v>76</v>
      </c>
      <c r="B62" s="179" t="s">
        <v>201</v>
      </c>
      <c r="C62" s="110"/>
      <c r="D62" s="110">
        <f ca="1"/>
        <v>0</v>
      </c>
      <c r="E62" s="110">
        <f ca="1"/>
        <v>0</v>
      </c>
      <c r="F62" s="110">
        <f ca="1"/>
        <v>0</v>
      </c>
      <c r="G62" s="110">
        <f ca="1"/>
        <v>0</v>
      </c>
      <c r="H62" s="110">
        <f ca="1"/>
        <v>2.1282408978878772E-2</v>
      </c>
      <c r="I62" s="110"/>
      <c r="J62" s="110"/>
      <c r="K62" s="110">
        <f ca="1"/>
        <v>0</v>
      </c>
      <c r="L62" s="110"/>
      <c r="M62" s="110">
        <f ca="1"/>
        <v>0</v>
      </c>
      <c r="N62" s="155"/>
      <c r="O62" s="160"/>
      <c r="P62" s="160"/>
      <c r="Q62" s="160"/>
      <c r="R62" s="160"/>
      <c r="S62" s="160"/>
      <c r="T62" s="160"/>
      <c r="U62" s="160"/>
      <c r="V62" s="160"/>
      <c r="W62" s="160"/>
      <c r="X62" s="160"/>
    </row>
    <row r="63" spans="1:25" s="13" customFormat="1" ht="12.75" customHeight="1">
      <c r="A63" s="152" t="s">
        <v>65</v>
      </c>
      <c r="B63" s="176" t="s">
        <v>231</v>
      </c>
      <c r="C63" s="182"/>
      <c r="D63" s="182">
        <f t="shared" ref="D63:M63" ca="1" si="17">1-D58</f>
        <v>0</v>
      </c>
      <c r="E63" s="182">
        <f t="shared" ca="1" si="17"/>
        <v>0</v>
      </c>
      <c r="F63" s="182">
        <f t="shared" ca="1" si="17"/>
        <v>0.6</v>
      </c>
      <c r="G63" s="182">
        <f t="shared" ca="1" si="17"/>
        <v>0.25</v>
      </c>
      <c r="H63" s="182">
        <f t="shared" ca="1" si="17"/>
        <v>5.0000000000000044E-3</v>
      </c>
      <c r="I63" s="182">
        <f t="shared" si="17"/>
        <v>1</v>
      </c>
      <c r="J63" s="182">
        <f t="shared" si="17"/>
        <v>1</v>
      </c>
      <c r="K63" s="182">
        <f t="shared" ca="1" si="17"/>
        <v>0.58280202997874031</v>
      </c>
      <c r="L63" s="182">
        <f t="shared" si="17"/>
        <v>1</v>
      </c>
      <c r="M63" s="182">
        <f t="shared" ca="1" si="17"/>
        <v>0</v>
      </c>
      <c r="N63" s="155"/>
      <c r="O63" s="160"/>
      <c r="P63" s="160"/>
      <c r="Q63" s="160"/>
      <c r="R63" s="160"/>
      <c r="S63" s="160"/>
      <c r="T63" s="160"/>
      <c r="U63" s="160"/>
      <c r="V63" s="160"/>
      <c r="W63" s="160"/>
      <c r="X63" s="160"/>
    </row>
    <row r="64" spans="1:25" s="13" customFormat="1" ht="12.75" customHeight="1">
      <c r="A64" s="152" t="s">
        <v>76</v>
      </c>
      <c r="B64" s="178" t="s">
        <v>107</v>
      </c>
      <c r="C64" s="42"/>
      <c r="D64" s="89">
        <f t="array" aca="1" ref="D64:D67" ca="1">OFFSET(CalibData!$N$3,D$56+5,0,4)</f>
        <v>0</v>
      </c>
      <c r="E64" s="89">
        <f t="array" aca="1" ref="E64:E67" ca="1">OFFSET(CalibData!$N$3,E$56+5,0,4)</f>
        <v>0</v>
      </c>
      <c r="F64" s="89">
        <f t="array" aca="1" ref="F64:F67" ca="1">OFFSET(CalibData!$N$3,F$56+5,0,4)</f>
        <v>1</v>
      </c>
      <c r="G64" s="89">
        <f t="array" aca="1" ref="G64:G67" ca="1">OFFSET(CalibData!$N$3,G$56+5,0,4)</f>
        <v>0.4</v>
      </c>
      <c r="H64" s="89">
        <f t="array" aca="1" ref="H64:H67" ca="1">OFFSET(CalibData!$N$3,H$56+5,0,4)</f>
        <v>0</v>
      </c>
      <c r="I64" s="89"/>
      <c r="J64" s="89"/>
      <c r="K64" s="89">
        <f t="array" aca="1" ref="K64:K67" ca="1">OFFSET(CalibData!$N$3,K$56+5,0,4)</f>
        <v>0.11118235265783566</v>
      </c>
      <c r="L64" s="89"/>
      <c r="M64" s="89">
        <f t="array" aca="1" ref="M64:M67" ca="1">OFFSET(CalibData!$N$3,M$56+5,0,4)</f>
        <v>0</v>
      </c>
      <c r="N64" s="155"/>
      <c r="O64" s="160"/>
      <c r="P64" s="160"/>
      <c r="Q64" s="160"/>
      <c r="R64" s="160"/>
      <c r="S64" s="160"/>
      <c r="T64" s="160"/>
      <c r="U64" s="160"/>
      <c r="V64" s="160"/>
      <c r="W64" s="160"/>
      <c r="X64" s="160"/>
    </row>
    <row r="65" spans="1:24" s="13" customFormat="1" ht="12.75" customHeight="1">
      <c r="A65" s="152" t="s">
        <v>76</v>
      </c>
      <c r="B65" s="178" t="s">
        <v>108</v>
      </c>
      <c r="C65" s="42"/>
      <c r="D65" s="89">
        <f ca="1"/>
        <v>0</v>
      </c>
      <c r="E65" s="89">
        <f ca="1"/>
        <v>0</v>
      </c>
      <c r="F65" s="89">
        <f ca="1"/>
        <v>0</v>
      </c>
      <c r="G65" s="89">
        <f ca="1"/>
        <v>0</v>
      </c>
      <c r="H65" s="89">
        <f ca="1"/>
        <v>0</v>
      </c>
      <c r="I65" s="89"/>
      <c r="J65" s="89"/>
      <c r="K65" s="89">
        <f ca="1"/>
        <v>0.58209965122844032</v>
      </c>
      <c r="L65" s="89"/>
      <c r="M65" s="89">
        <f ca="1"/>
        <v>0</v>
      </c>
      <c r="N65" s="155"/>
      <c r="O65" s="160"/>
      <c r="P65" s="160"/>
      <c r="Q65" s="160"/>
      <c r="R65" s="160"/>
      <c r="S65" s="160"/>
      <c r="T65" s="160"/>
      <c r="U65" s="160"/>
      <c r="V65" s="160"/>
      <c r="W65" s="160"/>
      <c r="X65" s="160"/>
    </row>
    <row r="66" spans="1:24" s="13" customFormat="1" ht="12.75" customHeight="1">
      <c r="A66" s="152" t="s">
        <v>76</v>
      </c>
      <c r="B66" s="178" t="s">
        <v>256</v>
      </c>
      <c r="C66" s="42"/>
      <c r="D66" s="90">
        <f ca="1"/>
        <v>0</v>
      </c>
      <c r="E66" s="90">
        <f ca="1"/>
        <v>0</v>
      </c>
      <c r="F66" s="90">
        <f ca="1"/>
        <v>0</v>
      </c>
      <c r="G66" s="90">
        <f ca="1"/>
        <v>0.6</v>
      </c>
      <c r="H66" s="90">
        <f ca="1"/>
        <v>1</v>
      </c>
      <c r="I66" s="90"/>
      <c r="J66" s="90"/>
      <c r="K66" s="90">
        <f ca="1"/>
        <v>0.30671799611372408</v>
      </c>
      <c r="L66" s="90"/>
      <c r="M66" s="90">
        <f ca="1"/>
        <v>0</v>
      </c>
      <c r="N66" s="155"/>
      <c r="O66" s="160"/>
      <c r="P66" s="160"/>
      <c r="Q66" s="160"/>
      <c r="R66" s="160"/>
      <c r="S66" s="160"/>
      <c r="T66" s="160"/>
      <c r="U66" s="160"/>
      <c r="V66" s="160"/>
      <c r="W66" s="160"/>
      <c r="X66" s="160"/>
    </row>
    <row r="67" spans="1:24" s="13" customFormat="1" ht="12.75" customHeight="1">
      <c r="A67" s="152" t="s">
        <v>76</v>
      </c>
      <c r="B67" s="178" t="s">
        <v>116</v>
      </c>
      <c r="C67" s="42"/>
      <c r="D67" s="90">
        <f ca="1"/>
        <v>0</v>
      </c>
      <c r="E67" s="90">
        <f ca="1"/>
        <v>0</v>
      </c>
      <c r="F67" s="90">
        <f ca="1"/>
        <v>0</v>
      </c>
      <c r="G67" s="90">
        <f ca="1"/>
        <v>0</v>
      </c>
      <c r="H67" s="90">
        <f ca="1"/>
        <v>0</v>
      </c>
      <c r="I67" s="90"/>
      <c r="J67" s="90"/>
      <c r="K67" s="90">
        <f ca="1"/>
        <v>0</v>
      </c>
      <c r="L67" s="90"/>
      <c r="M67" s="90">
        <f ca="1"/>
        <v>0</v>
      </c>
      <c r="N67" s="155"/>
      <c r="O67" s="160"/>
      <c r="P67" s="160"/>
      <c r="Q67" s="160"/>
      <c r="R67" s="160"/>
      <c r="S67" s="160"/>
      <c r="T67" s="160"/>
      <c r="U67" s="160"/>
      <c r="V67" s="160"/>
      <c r="W67" s="160"/>
      <c r="X67" s="160"/>
    </row>
    <row r="68" spans="1:24" s="13" customFormat="1" ht="12.75" customHeight="1">
      <c r="A68" s="152"/>
      <c r="B68" s="178"/>
      <c r="C68" s="183">
        <f>SUM(C63:C67)</f>
        <v>0</v>
      </c>
      <c r="D68" s="183">
        <f t="shared" ref="D68:M68" ca="1" si="18">SUM(D64:D67)</f>
        <v>0</v>
      </c>
      <c r="E68" s="183">
        <f t="shared" ca="1" si="18"/>
        <v>0</v>
      </c>
      <c r="F68" s="183">
        <f t="shared" ca="1" si="18"/>
        <v>1</v>
      </c>
      <c r="G68" s="183">
        <f t="shared" ca="1" si="18"/>
        <v>1</v>
      </c>
      <c r="H68" s="183">
        <f t="shared" ca="1" si="18"/>
        <v>1</v>
      </c>
      <c r="I68" s="183">
        <f t="shared" si="18"/>
        <v>0</v>
      </c>
      <c r="J68" s="183">
        <f t="shared" si="18"/>
        <v>0</v>
      </c>
      <c r="K68" s="183">
        <f t="shared" ca="1" si="18"/>
        <v>1</v>
      </c>
      <c r="L68" s="183">
        <f t="shared" si="18"/>
        <v>0</v>
      </c>
      <c r="M68" s="183">
        <f t="shared" ca="1" si="18"/>
        <v>0</v>
      </c>
      <c r="N68" s="155"/>
      <c r="O68" s="160"/>
      <c r="P68" s="160"/>
      <c r="Q68" s="160"/>
      <c r="R68" s="160"/>
      <c r="S68" s="160"/>
      <c r="T68" s="160"/>
      <c r="U68" s="160"/>
      <c r="V68" s="160"/>
      <c r="W68" s="160"/>
      <c r="X68" s="160"/>
    </row>
    <row r="69" spans="1:24" s="13" customFormat="1" ht="12.75" customHeight="1">
      <c r="A69" s="152" t="s">
        <v>81</v>
      </c>
      <c r="B69" s="178" t="s">
        <v>109</v>
      </c>
      <c r="C69" s="42">
        <f ca="1">OFFSET(CalibData!$N$3,$C$56,0)</f>
        <v>0</v>
      </c>
      <c r="D69" s="42">
        <v>0.5</v>
      </c>
      <c r="E69" s="42">
        <v>0.5</v>
      </c>
      <c r="F69" s="42">
        <f ca="1">OFFSET(CalibData!$N$3,$C$56+1,0)</f>
        <v>0</v>
      </c>
      <c r="G69" s="42">
        <f ca="1">OFFSET(CalibData!$N$3,$C$56+2,0)</f>
        <v>0</v>
      </c>
      <c r="H69" s="42">
        <f ca="1">OFFSET(CalibData!$N$3,$C$56+3,0)</f>
        <v>0</v>
      </c>
      <c r="I69" s="42"/>
      <c r="J69" s="42"/>
      <c r="K69" s="42">
        <f ca="1">OFFSET(CalibData!$N$3,$C$56+4,0)</f>
        <v>0.85</v>
      </c>
      <c r="L69" s="42"/>
      <c r="M69" s="239">
        <f ca="1">OFFSET(CalibData!$N$3,$C$56+6,0)</f>
        <v>0.4</v>
      </c>
      <c r="N69" s="155"/>
      <c r="O69" s="160"/>
      <c r="P69" s="160"/>
      <c r="Q69" s="160"/>
      <c r="R69" s="160"/>
      <c r="S69" s="160"/>
      <c r="T69" s="160"/>
      <c r="U69" s="160"/>
      <c r="V69" s="160"/>
      <c r="W69" s="160"/>
      <c r="X69" s="160"/>
    </row>
    <row r="70" spans="1:24" s="13" customFormat="1" ht="12.75" customHeight="1">
      <c r="A70" s="152" t="s">
        <v>81</v>
      </c>
      <c r="B70" s="178" t="s">
        <v>67</v>
      </c>
      <c r="C70" s="42">
        <f t="shared" ref="C70:H70" ca="1" si="19">1-C69</f>
        <v>1</v>
      </c>
      <c r="D70" s="42">
        <f t="shared" si="19"/>
        <v>0.5</v>
      </c>
      <c r="E70" s="42">
        <f t="shared" si="19"/>
        <v>0.5</v>
      </c>
      <c r="F70" s="42">
        <f t="shared" ca="1" si="19"/>
        <v>1</v>
      </c>
      <c r="G70" s="42">
        <f t="shared" ca="1" si="19"/>
        <v>1</v>
      </c>
      <c r="H70" s="42">
        <f t="shared" ca="1" si="19"/>
        <v>1</v>
      </c>
      <c r="I70" s="42"/>
      <c r="J70" s="42"/>
      <c r="K70" s="42">
        <f ca="1">1-K69</f>
        <v>0.15000000000000002</v>
      </c>
      <c r="L70" s="42"/>
      <c r="M70" s="239">
        <f ca="1">1-M69</f>
        <v>0.6</v>
      </c>
      <c r="N70" s="155"/>
      <c r="O70" s="160"/>
      <c r="P70" s="160"/>
      <c r="Q70" s="160"/>
      <c r="R70" s="160"/>
      <c r="S70" s="160"/>
      <c r="T70" s="160"/>
      <c r="U70" s="160"/>
      <c r="V70" s="160"/>
      <c r="W70" s="160"/>
      <c r="X70" s="160"/>
    </row>
    <row r="71" spans="1:24" s="13" customFormat="1" ht="12.75" customHeight="1">
      <c r="A71" s="152"/>
      <c r="B71" s="152"/>
      <c r="C71" s="152"/>
      <c r="D71" s="152"/>
      <c r="E71" s="155"/>
      <c r="F71" s="152"/>
      <c r="G71" s="152"/>
      <c r="H71" s="152" t="s">
        <v>65</v>
      </c>
      <c r="I71" s="152"/>
      <c r="J71" s="152"/>
      <c r="K71" s="152"/>
      <c r="L71" s="152"/>
      <c r="M71" s="152"/>
      <c r="N71" s="155"/>
      <c r="O71" s="160"/>
      <c r="P71" s="160"/>
      <c r="Q71" s="160"/>
      <c r="R71" s="160"/>
      <c r="S71" s="160"/>
      <c r="T71" s="160"/>
      <c r="U71" s="160"/>
      <c r="V71" s="160"/>
      <c r="W71" s="160"/>
      <c r="X71" s="160"/>
    </row>
    <row r="72" spans="1:24" s="13" customFormat="1" ht="12.75" customHeight="1">
      <c r="A72" s="152"/>
      <c r="B72" s="152"/>
      <c r="C72" s="152"/>
      <c r="D72" s="152"/>
      <c r="E72" s="155"/>
      <c r="F72" s="152"/>
      <c r="G72" s="152"/>
      <c r="H72" s="152"/>
      <c r="I72" s="152"/>
      <c r="J72" s="152"/>
      <c r="K72" s="152"/>
      <c r="L72" s="152"/>
      <c r="M72" s="152"/>
      <c r="N72" s="155"/>
      <c r="O72" s="160"/>
      <c r="P72" s="160"/>
      <c r="Q72" s="160"/>
      <c r="R72" s="160"/>
      <c r="S72" s="160"/>
      <c r="T72" s="160"/>
      <c r="U72" s="160"/>
      <c r="V72" s="160"/>
      <c r="W72" s="160"/>
      <c r="X72" s="160"/>
    </row>
    <row r="73" spans="1:24" s="13" customFormat="1" ht="18">
      <c r="A73" s="155"/>
      <c r="B73" s="106" t="s">
        <v>276</v>
      </c>
      <c r="C73" s="101"/>
      <c r="D73" s="101"/>
      <c r="E73" s="101"/>
      <c r="F73" s="101"/>
      <c r="G73" s="155"/>
      <c r="H73" s="155"/>
      <c r="I73" s="155"/>
      <c r="J73" s="155"/>
      <c r="K73" s="155"/>
      <c r="L73" s="155"/>
      <c r="M73" s="155"/>
      <c r="N73" s="155"/>
      <c r="O73" s="155"/>
      <c r="P73" s="167"/>
      <c r="Q73" s="167"/>
      <c r="R73" s="167"/>
      <c r="S73" s="167"/>
      <c r="T73" s="167"/>
      <c r="U73" s="167"/>
      <c r="V73" s="167"/>
      <c r="W73" s="167"/>
      <c r="X73" s="167"/>
    </row>
    <row r="74" spans="1:24" s="13" customFormat="1" ht="12.75" customHeight="1">
      <c r="A74" s="155"/>
      <c r="B74" s="175"/>
      <c r="C74" s="168" t="s">
        <v>97</v>
      </c>
      <c r="D74" s="168" t="s">
        <v>160</v>
      </c>
      <c r="E74" s="168" t="s">
        <v>161</v>
      </c>
      <c r="F74" s="168" t="s">
        <v>118</v>
      </c>
      <c r="G74" s="168" t="s">
        <v>85</v>
      </c>
      <c r="H74" s="168" t="s">
        <v>114</v>
      </c>
      <c r="I74" s="168" t="s">
        <v>115</v>
      </c>
      <c r="J74" s="168" t="s">
        <v>106</v>
      </c>
      <c r="K74" s="168" t="s">
        <v>57</v>
      </c>
      <c r="L74" s="168" t="s">
        <v>68</v>
      </c>
      <c r="M74" s="168" t="s">
        <v>62</v>
      </c>
      <c r="N74" s="168" t="s">
        <v>63</v>
      </c>
      <c r="O74" s="152"/>
      <c r="P74" s="257" t="s">
        <v>448</v>
      </c>
      <c r="Q74" s="257" t="s">
        <v>449</v>
      </c>
      <c r="R74" s="167"/>
      <c r="S74" s="167"/>
      <c r="T74" s="167"/>
      <c r="U74" s="167"/>
      <c r="V74" s="167"/>
      <c r="W74" s="167"/>
      <c r="X74" s="167"/>
    </row>
    <row r="75" spans="1:24" s="13" customFormat="1" ht="12.75" customHeight="1">
      <c r="A75" s="156" t="s">
        <v>79</v>
      </c>
      <c r="B75" s="163" t="s">
        <v>110</v>
      </c>
      <c r="C75" s="47">
        <f>C43</f>
        <v>0</v>
      </c>
      <c r="D75" s="47">
        <f>E43</f>
        <v>0</v>
      </c>
      <c r="E75" s="36">
        <f>D43</f>
        <v>0</v>
      </c>
      <c r="F75" s="47">
        <f t="shared" ref="F75:M76" si="20">F43</f>
        <v>0</v>
      </c>
      <c r="G75" s="47">
        <f t="shared" si="20"/>
        <v>0</v>
      </c>
      <c r="H75" s="47">
        <f t="shared" si="20"/>
        <v>0</v>
      </c>
      <c r="I75" s="47">
        <f t="shared" si="20"/>
        <v>0</v>
      </c>
      <c r="J75" s="47">
        <f t="shared" si="20"/>
        <v>2.2445979083999994</v>
      </c>
      <c r="K75" s="47">
        <f t="shared" si="20"/>
        <v>0</v>
      </c>
      <c r="L75" s="47">
        <f t="shared" si="20"/>
        <v>0</v>
      </c>
      <c r="M75" s="47">
        <f t="shared" si="20"/>
        <v>0</v>
      </c>
      <c r="N75" s="169">
        <f>SUM(C75:M75)</f>
        <v>2.2445979083999994</v>
      </c>
      <c r="O75" s="165">
        <f ca="1">N75/$N$95</f>
        <v>1.312225117044752E-2</v>
      </c>
      <c r="P75" s="167"/>
      <c r="Q75" s="257"/>
      <c r="R75" s="167"/>
      <c r="S75" s="167"/>
      <c r="T75" s="167"/>
      <c r="U75" s="167"/>
      <c r="V75" s="167"/>
      <c r="W75" s="167"/>
      <c r="X75" s="167"/>
    </row>
    <row r="76" spans="1:24" ht="12.75" customHeight="1">
      <c r="A76" s="156" t="s">
        <v>80</v>
      </c>
      <c r="B76" s="180" t="s">
        <v>110</v>
      </c>
      <c r="C76" s="47">
        <f>C44</f>
        <v>0</v>
      </c>
      <c r="D76" s="47">
        <f>E44</f>
        <v>0</v>
      </c>
      <c r="E76" s="36">
        <f>D44</f>
        <v>0</v>
      </c>
      <c r="F76" s="47">
        <f t="shared" si="20"/>
        <v>0</v>
      </c>
      <c r="G76" s="47">
        <f t="shared" si="20"/>
        <v>0</v>
      </c>
      <c r="H76" s="47">
        <f t="shared" si="20"/>
        <v>0</v>
      </c>
      <c r="I76" s="47">
        <f t="shared" si="20"/>
        <v>5.2803921599999998E-2</v>
      </c>
      <c r="J76" s="47">
        <f t="shared" si="20"/>
        <v>3.4829989200000004</v>
      </c>
      <c r="K76" s="47">
        <f t="shared" si="20"/>
        <v>0</v>
      </c>
      <c r="L76" s="47">
        <f t="shared" si="20"/>
        <v>0</v>
      </c>
      <c r="M76" s="47">
        <f t="shared" si="20"/>
        <v>0</v>
      </c>
      <c r="N76" s="169">
        <f>SUM(C76:M76)</f>
        <v>3.5358028416000002</v>
      </c>
      <c r="O76" s="165">
        <f ca="1">N76/$N$95</f>
        <v>2.0670826076698345E-2</v>
      </c>
      <c r="P76" s="160"/>
      <c r="Q76" s="258"/>
      <c r="R76" s="160"/>
      <c r="S76" s="160"/>
      <c r="T76" s="160"/>
      <c r="U76" s="160"/>
      <c r="V76" s="160"/>
      <c r="W76" s="160"/>
      <c r="X76" s="160"/>
    </row>
    <row r="77" spans="1:24" ht="12.75" customHeight="1">
      <c r="A77" s="156"/>
      <c r="B77" s="180"/>
      <c r="C77" s="169"/>
      <c r="D77" s="169"/>
      <c r="E77" s="169"/>
      <c r="F77" s="169"/>
      <c r="G77" s="169"/>
      <c r="H77" s="169"/>
      <c r="I77" s="169"/>
      <c r="J77" s="169"/>
      <c r="K77" s="169"/>
      <c r="L77" s="169"/>
      <c r="M77" s="169"/>
      <c r="N77" s="169"/>
      <c r="O77" s="165"/>
      <c r="P77" s="160"/>
      <c r="Q77" s="258"/>
      <c r="R77" s="160"/>
      <c r="S77" s="160"/>
      <c r="T77" s="160"/>
      <c r="U77" s="160"/>
      <c r="V77" s="160"/>
      <c r="W77" s="160"/>
      <c r="X77" s="160"/>
    </row>
    <row r="78" spans="1:24" ht="12.75" customHeight="1">
      <c r="A78" s="156" t="str">
        <f t="shared" ref="A78:B80" si="21">A59</f>
        <v>ROAD</v>
      </c>
      <c r="B78" s="180" t="str">
        <f t="shared" si="21"/>
        <v>Auto</v>
      </c>
      <c r="C78" s="47">
        <f>C$45*C59</f>
        <v>0</v>
      </c>
      <c r="D78" s="47">
        <f ca="1">E$45*D58*D59</f>
        <v>0</v>
      </c>
      <c r="E78" s="47">
        <f ca="1">D$45*E$58*E59</f>
        <v>1.4750630324892304</v>
      </c>
      <c r="F78" s="47">
        <f t="shared" ref="F78:H79" ca="1" si="22">F$45*F$58*F59</f>
        <v>7.1340258004976842E-2</v>
      </c>
      <c r="G78" s="47">
        <f t="shared" ca="1" si="22"/>
        <v>0</v>
      </c>
      <c r="H78" s="47">
        <f t="shared" ca="1" si="22"/>
        <v>54.582045110368718</v>
      </c>
      <c r="I78" s="47">
        <f>I45*I58*I59</f>
        <v>0</v>
      </c>
      <c r="J78" s="47">
        <f>J45*J58*J59</f>
        <v>0</v>
      </c>
      <c r="K78" s="47">
        <f ca="1">K45*K58*K59</f>
        <v>22.990139267175508</v>
      </c>
      <c r="L78" s="47">
        <f>L45*L58*L59</f>
        <v>0</v>
      </c>
      <c r="M78" s="47">
        <f ca="1">M45*M58*M59</f>
        <v>0</v>
      </c>
      <c r="N78" s="169">
        <f t="shared" ref="N78:N85" ca="1" si="23">SUM(C78:M78)</f>
        <v>79.11858766803843</v>
      </c>
      <c r="O78" s="165">
        <f t="shared" ref="O78:O85" ca="1" si="24">N78/$N$95</f>
        <v>0.46253895886908969</v>
      </c>
      <c r="P78" s="259">
        <f ca="1">E78-MIN(0.07*H78,E78)-MAX(0,E78-0.07*H78)/3</f>
        <v>0</v>
      </c>
      <c r="Q78" s="259">
        <f ca="1">E78-P78</f>
        <v>1.4750630324892304</v>
      </c>
      <c r="R78" s="160"/>
      <c r="S78" s="160"/>
      <c r="T78" s="160"/>
      <c r="U78" s="160"/>
      <c r="V78" s="160"/>
      <c r="W78" s="160"/>
      <c r="X78" s="160"/>
    </row>
    <row r="79" spans="1:24" ht="12.75" customHeight="1">
      <c r="A79" s="156" t="str">
        <f t="shared" si="21"/>
        <v>ROAD</v>
      </c>
      <c r="B79" s="180" t="str">
        <f t="shared" si="21"/>
        <v>Light Trucks</v>
      </c>
      <c r="C79" s="47">
        <f>C$45*C60</f>
        <v>0</v>
      </c>
      <c r="D79" s="47">
        <f ca="1">E$45*D58*D60</f>
        <v>0</v>
      </c>
      <c r="E79" s="47">
        <f ca="1">D$45*E$58*E60</f>
        <v>0.30212134400381835</v>
      </c>
      <c r="F79" s="47">
        <f t="shared" ca="1" si="22"/>
        <v>6.203500696084943E-3</v>
      </c>
      <c r="G79" s="47">
        <f t="shared" ca="1" si="22"/>
        <v>0</v>
      </c>
      <c r="H79" s="47">
        <f t="shared" ca="1" si="22"/>
        <v>0.40317899609274088</v>
      </c>
      <c r="I79" s="47">
        <f>I45*I58*I60</f>
        <v>0</v>
      </c>
      <c r="J79" s="47">
        <f>J45*J58*J60</f>
        <v>0</v>
      </c>
      <c r="K79" s="47">
        <f ca="1">K45*K58*K60</f>
        <v>13.930560728967281</v>
      </c>
      <c r="L79" s="47">
        <f>L45*L58*L60</f>
        <v>0</v>
      </c>
      <c r="M79" s="47">
        <f ca="1">M45*M58*M60</f>
        <v>0</v>
      </c>
      <c r="N79" s="169">
        <f t="shared" ca="1" si="23"/>
        <v>14.642064569759926</v>
      </c>
      <c r="O79" s="165">
        <f t="shared" ca="1" si="24"/>
        <v>8.5599673874444573E-2</v>
      </c>
      <c r="P79" s="259">
        <f ca="1">E79-MIN(0.07*(H79+K79),E79)-MAX(0,E79-0.07*(H79+K79))/3</f>
        <v>0</v>
      </c>
      <c r="Q79" s="259">
        <f ca="1">E79-P79</f>
        <v>0.30212134400381835</v>
      </c>
      <c r="R79" s="160"/>
      <c r="S79" s="160"/>
      <c r="T79" s="160"/>
      <c r="U79" s="160"/>
      <c r="V79" s="160"/>
      <c r="W79" s="160"/>
      <c r="X79" s="160"/>
    </row>
    <row r="80" spans="1:24" ht="12.75" customHeight="1">
      <c r="A80" s="156" t="str">
        <f t="shared" si="21"/>
        <v>ROAD</v>
      </c>
      <c r="B80" s="163" t="str">
        <f t="shared" si="21"/>
        <v>Three Wheels</v>
      </c>
      <c r="C80" s="47">
        <f>C$45*C61</f>
        <v>0</v>
      </c>
      <c r="D80" s="47">
        <f ca="1">E$45*D58*D61</f>
        <v>0</v>
      </c>
      <c r="E80" s="47">
        <f ca="1">D$45*E58*E61</f>
        <v>0</v>
      </c>
      <c r="F80" s="47">
        <f t="shared" ref="F80:M80" ca="1" si="25">F$45*F58*F61</f>
        <v>0</v>
      </c>
      <c r="G80" s="47">
        <f t="shared" ca="1" si="25"/>
        <v>0</v>
      </c>
      <c r="H80" s="47">
        <f t="shared" ca="1" si="25"/>
        <v>0</v>
      </c>
      <c r="I80" s="47">
        <f t="shared" si="25"/>
        <v>0</v>
      </c>
      <c r="J80" s="47">
        <f t="shared" si="25"/>
        <v>0</v>
      </c>
      <c r="K80" s="47">
        <f t="shared" ca="1" si="25"/>
        <v>0</v>
      </c>
      <c r="L80" s="47">
        <f t="shared" si="25"/>
        <v>0</v>
      </c>
      <c r="M80" s="47">
        <f t="shared" ca="1" si="25"/>
        <v>0</v>
      </c>
      <c r="N80" s="169">
        <f t="shared" ca="1" si="23"/>
        <v>0</v>
      </c>
      <c r="O80" s="165">
        <f t="shared" ca="1" si="24"/>
        <v>0</v>
      </c>
      <c r="P80" s="260"/>
      <c r="Q80" s="260"/>
      <c r="R80" s="160"/>
      <c r="S80" s="160"/>
      <c r="T80" s="160"/>
      <c r="U80" s="160"/>
      <c r="V80" s="160"/>
      <c r="W80" s="160"/>
      <c r="X80" s="160"/>
    </row>
    <row r="81" spans="1:24" ht="12.75" customHeight="1">
      <c r="A81" s="156" t="str">
        <f t="shared" ref="A81:B84" si="26">A64</f>
        <v>ROAD</v>
      </c>
      <c r="B81" s="163" t="str">
        <f t="shared" si="26"/>
        <v>Bus</v>
      </c>
      <c r="C81" s="47">
        <f>C$45*C64</f>
        <v>0</v>
      </c>
      <c r="D81" s="47">
        <f ca="1">E$45*D$63*D64</f>
        <v>0</v>
      </c>
      <c r="E81" s="47">
        <f ca="1">D$45*E$63*E64</f>
        <v>0</v>
      </c>
      <c r="F81" s="47">
        <f t="shared" ref="F81:M84" ca="1" si="27">F$45*F$63*F64</f>
        <v>0.11631563805159267</v>
      </c>
      <c r="G81" s="47">
        <f t="shared" ca="1" si="27"/>
        <v>0</v>
      </c>
      <c r="H81" s="47">
        <f t="shared" ca="1" si="27"/>
        <v>0</v>
      </c>
      <c r="I81" s="47">
        <f t="shared" si="27"/>
        <v>0</v>
      </c>
      <c r="J81" s="47">
        <f t="shared" si="27"/>
        <v>0</v>
      </c>
      <c r="K81" s="47">
        <f t="shared" ca="1" si="27"/>
        <v>5.7343560522697263</v>
      </c>
      <c r="L81" s="47">
        <f t="shared" si="27"/>
        <v>0</v>
      </c>
      <c r="M81" s="47">
        <f t="shared" ca="1" si="27"/>
        <v>0</v>
      </c>
      <c r="N81" s="169">
        <f t="shared" ca="1" si="23"/>
        <v>5.8506716903213194</v>
      </c>
      <c r="O81" s="165">
        <f t="shared" ca="1" si="24"/>
        <v>3.4203891551760984E-2</v>
      </c>
      <c r="P81" s="160"/>
      <c r="Q81" s="160"/>
      <c r="R81" s="160"/>
      <c r="S81" s="160"/>
      <c r="T81" s="160"/>
      <c r="U81" s="160"/>
      <c r="V81" s="160"/>
      <c r="W81" s="160"/>
      <c r="X81" s="160"/>
    </row>
    <row r="82" spans="1:24" ht="12.75" customHeight="1">
      <c r="A82" s="156" t="str">
        <f t="shared" si="26"/>
        <v>ROAD</v>
      </c>
      <c r="B82" s="163" t="str">
        <f t="shared" si="26"/>
        <v>Heavy Trucks</v>
      </c>
      <c r="C82" s="47">
        <f>C$45*C65</f>
        <v>0</v>
      </c>
      <c r="D82" s="47">
        <f ca="1">E$45*D$63*D65</f>
        <v>0</v>
      </c>
      <c r="E82" s="47">
        <f ca="1">D$45*E$63*E65</f>
        <v>0</v>
      </c>
      <c r="F82" s="47">
        <f t="shared" ca="1" si="27"/>
        <v>0</v>
      </c>
      <c r="G82" s="47">
        <f t="shared" ca="1" si="27"/>
        <v>0</v>
      </c>
      <c r="H82" s="47">
        <f t="shared" ca="1" si="27"/>
        <v>0</v>
      </c>
      <c r="I82" s="47">
        <f t="shared" si="27"/>
        <v>0</v>
      </c>
      <c r="J82" s="47">
        <f t="shared" si="27"/>
        <v>0</v>
      </c>
      <c r="K82" s="47">
        <f t="shared" ca="1" si="27"/>
        <v>30.022450310244068</v>
      </c>
      <c r="L82" s="47">
        <f t="shared" si="27"/>
        <v>0</v>
      </c>
      <c r="M82" s="47">
        <f t="shared" ca="1" si="27"/>
        <v>0</v>
      </c>
      <c r="N82" s="169">
        <f t="shared" ca="1" si="23"/>
        <v>30.022450310244068</v>
      </c>
      <c r="O82" s="165">
        <f t="shared" ca="1" si="24"/>
        <v>0.17551568245206464</v>
      </c>
      <c r="P82" s="160"/>
      <c r="Q82" s="160"/>
      <c r="R82" s="160"/>
      <c r="S82" s="160"/>
      <c r="T82" s="160"/>
      <c r="U82" s="160"/>
      <c r="V82" s="160"/>
      <c r="W82" s="160"/>
      <c r="X82" s="160"/>
    </row>
    <row r="83" spans="1:24" ht="12.75" customHeight="1">
      <c r="A83" s="156" t="str">
        <f t="shared" si="26"/>
        <v>ROAD</v>
      </c>
      <c r="B83" s="163" t="str">
        <f t="shared" si="26"/>
        <v>Medium Trucks</v>
      </c>
      <c r="C83" s="47">
        <f>C$45*C66</f>
        <v>0</v>
      </c>
      <c r="D83" s="47">
        <f ca="1">E$45*D$63*D66</f>
        <v>0</v>
      </c>
      <c r="E83" s="47">
        <f ca="1">D$45*E$63*E66</f>
        <v>0</v>
      </c>
      <c r="F83" s="47">
        <f t="shared" ca="1" si="27"/>
        <v>0</v>
      </c>
      <c r="G83" s="47">
        <f t="shared" ca="1" si="27"/>
        <v>0</v>
      </c>
      <c r="H83" s="47">
        <f t="shared" ca="1" si="27"/>
        <v>0.28231602390855248</v>
      </c>
      <c r="I83" s="47">
        <f t="shared" si="27"/>
        <v>0</v>
      </c>
      <c r="J83" s="47">
        <f t="shared" si="27"/>
        <v>0</v>
      </c>
      <c r="K83" s="47">
        <f t="shared" ca="1" si="27"/>
        <v>15.81932883510377</v>
      </c>
      <c r="L83" s="47">
        <f t="shared" si="27"/>
        <v>0</v>
      </c>
      <c r="M83" s="47">
        <f t="shared" ca="1" si="27"/>
        <v>0</v>
      </c>
      <c r="N83" s="169">
        <f t="shared" ca="1" si="23"/>
        <v>16.101644859012321</v>
      </c>
      <c r="O83" s="165">
        <f t="shared" ca="1" si="24"/>
        <v>9.4132596001533717E-2</v>
      </c>
      <c r="P83" s="160"/>
      <c r="Q83" s="160"/>
      <c r="R83" s="160"/>
      <c r="S83" s="160"/>
      <c r="T83" s="160"/>
      <c r="U83" s="160"/>
      <c r="V83" s="160"/>
      <c r="W83" s="160"/>
      <c r="X83" s="160"/>
    </row>
    <row r="84" spans="1:24" ht="12.75" customHeight="1">
      <c r="A84" s="156" t="str">
        <f t="shared" si="26"/>
        <v>ROAD</v>
      </c>
      <c r="B84" s="163" t="str">
        <f t="shared" si="26"/>
        <v>Commercial Trucks</v>
      </c>
      <c r="C84" s="47">
        <f>C$45*C67</f>
        <v>0</v>
      </c>
      <c r="D84" s="47">
        <f ca="1">E$45*D$63*D67</f>
        <v>0</v>
      </c>
      <c r="E84" s="47">
        <f ca="1">D$45*E$63*E67</f>
        <v>0</v>
      </c>
      <c r="F84" s="47">
        <f t="shared" ca="1" si="27"/>
        <v>0</v>
      </c>
      <c r="G84" s="47">
        <f t="shared" ca="1" si="27"/>
        <v>0</v>
      </c>
      <c r="H84" s="47">
        <f t="shared" ca="1" si="27"/>
        <v>0</v>
      </c>
      <c r="I84" s="47">
        <f t="shared" si="27"/>
        <v>0</v>
      </c>
      <c r="J84" s="47">
        <f t="shared" si="27"/>
        <v>0</v>
      </c>
      <c r="K84" s="47">
        <f t="shared" ca="1" si="27"/>
        <v>0</v>
      </c>
      <c r="L84" s="47">
        <f t="shared" si="27"/>
        <v>0</v>
      </c>
      <c r="M84" s="47">
        <f t="shared" ca="1" si="27"/>
        <v>0</v>
      </c>
      <c r="N84" s="169">
        <f t="shared" ca="1" si="23"/>
        <v>0</v>
      </c>
      <c r="O84" s="165">
        <f t="shared" ca="1" si="24"/>
        <v>0</v>
      </c>
      <c r="P84" s="160"/>
      <c r="Q84" s="160"/>
      <c r="R84" s="160"/>
      <c r="S84" s="160"/>
      <c r="T84" s="160"/>
      <c r="U84" s="160"/>
      <c r="V84" s="160"/>
      <c r="W84" s="160"/>
      <c r="X84" s="160"/>
    </row>
    <row r="85" spans="1:24" ht="12.75" customHeight="1">
      <c r="A85" s="156" t="str">
        <f>A62</f>
        <v>ROAD</v>
      </c>
      <c r="B85" s="163" t="str">
        <f>B62</f>
        <v>Two Wheels</v>
      </c>
      <c r="C85" s="47">
        <f>C$45*C62</f>
        <v>0</v>
      </c>
      <c r="D85" s="47">
        <f ca="1">E$45*D$58*D62</f>
        <v>0</v>
      </c>
      <c r="E85" s="47">
        <f ca="1">F$45*E$58*E62</f>
        <v>0</v>
      </c>
      <c r="F85" s="47">
        <f t="shared" ref="F85:M85" ca="1" si="28">F$45*F$58*F62</f>
        <v>0</v>
      </c>
      <c r="G85" s="47">
        <f t="shared" ca="1" si="28"/>
        <v>0</v>
      </c>
      <c r="H85" s="47">
        <f t="shared" ca="1" si="28"/>
        <v>1.1956646513404325</v>
      </c>
      <c r="I85" s="47">
        <f t="shared" si="28"/>
        <v>0</v>
      </c>
      <c r="J85" s="47">
        <f t="shared" si="28"/>
        <v>0</v>
      </c>
      <c r="K85" s="47">
        <f t="shared" ca="1" si="28"/>
        <v>0</v>
      </c>
      <c r="L85" s="47">
        <f t="shared" si="28"/>
        <v>0</v>
      </c>
      <c r="M85" s="47">
        <f t="shared" ca="1" si="28"/>
        <v>0</v>
      </c>
      <c r="N85" s="169">
        <f t="shared" ca="1" si="23"/>
        <v>1.1956646513404325</v>
      </c>
      <c r="O85" s="165">
        <f t="shared" ca="1" si="24"/>
        <v>6.9900322956724008E-3</v>
      </c>
      <c r="P85" s="160"/>
      <c r="Q85" s="160"/>
      <c r="R85" s="160"/>
      <c r="S85" s="160"/>
      <c r="T85" s="160"/>
      <c r="U85" s="160"/>
      <c r="V85" s="160"/>
      <c r="W85" s="160"/>
      <c r="X85" s="160"/>
    </row>
    <row r="86" spans="1:24" ht="12.75" customHeight="1">
      <c r="A86" s="156"/>
      <c r="B86" s="156"/>
      <c r="C86" s="156"/>
      <c r="D86" s="156"/>
      <c r="E86" s="156"/>
      <c r="F86" s="156"/>
      <c r="G86" s="156"/>
      <c r="H86" s="156"/>
      <c r="I86" s="156"/>
      <c r="J86" s="156"/>
      <c r="K86" s="156"/>
      <c r="L86" s="156"/>
      <c r="M86" s="156"/>
      <c r="N86" s="169"/>
      <c r="O86" s="165"/>
      <c r="P86" s="160"/>
      <c r="Q86" s="160"/>
      <c r="R86" s="160"/>
      <c r="S86" s="160"/>
      <c r="T86" s="160"/>
      <c r="U86" s="160"/>
      <c r="V86" s="160"/>
      <c r="W86" s="160"/>
      <c r="X86" s="160"/>
    </row>
    <row r="87" spans="1:24" ht="12.75" customHeight="1">
      <c r="A87" s="156" t="str">
        <f>A69</f>
        <v>RAIL</v>
      </c>
      <c r="B87" s="156" t="str">
        <f>B69</f>
        <v>Freight</v>
      </c>
      <c r="C87" s="47">
        <f t="shared" ref="C87:L87" ca="1" si="29">C$46*C69</f>
        <v>0</v>
      </c>
      <c r="D87" s="47">
        <f t="shared" si="29"/>
        <v>0</v>
      </c>
      <c r="E87" s="47">
        <f t="shared" si="29"/>
        <v>0</v>
      </c>
      <c r="F87" s="47">
        <f t="shared" ca="1" si="29"/>
        <v>0</v>
      </c>
      <c r="G87" s="47">
        <f t="shared" ca="1" si="29"/>
        <v>0</v>
      </c>
      <c r="H87" s="47">
        <f t="shared" ca="1" si="29"/>
        <v>0</v>
      </c>
      <c r="I87" s="47">
        <f t="shared" si="29"/>
        <v>0</v>
      </c>
      <c r="J87" s="47">
        <f t="shared" si="29"/>
        <v>0</v>
      </c>
      <c r="K87" s="47">
        <f t="shared" ca="1" si="29"/>
        <v>1.1007680211899999</v>
      </c>
      <c r="L87" s="47">
        <f t="shared" si="29"/>
        <v>0</v>
      </c>
      <c r="M87" s="47">
        <f ca="1">M46*M69</f>
        <v>0.8627202861324117</v>
      </c>
      <c r="N87" s="169">
        <f ca="1">SUM(C87:M87)</f>
        <v>1.9634883073224116</v>
      </c>
      <c r="O87" s="165">
        <f ca="1">N87/$N$95</f>
        <v>1.1478842888741571E-2</v>
      </c>
      <c r="P87" s="160"/>
      <c r="Q87" s="160"/>
      <c r="R87" s="160"/>
      <c r="S87" s="160"/>
      <c r="T87" s="160"/>
      <c r="U87" s="160"/>
      <c r="V87" s="160"/>
      <c r="W87" s="160"/>
      <c r="X87" s="160"/>
    </row>
    <row r="88" spans="1:24" ht="12.75" customHeight="1">
      <c r="A88" s="156" t="str">
        <f>A70</f>
        <v>RAIL</v>
      </c>
      <c r="B88" s="156" t="str">
        <f>B70</f>
        <v>Passengers</v>
      </c>
      <c r="C88" s="47">
        <f t="shared" ref="C88:L88" ca="1" si="30">C$46*C70</f>
        <v>0</v>
      </c>
      <c r="D88" s="47">
        <f t="shared" si="30"/>
        <v>0</v>
      </c>
      <c r="E88" s="47">
        <f t="shared" si="30"/>
        <v>0</v>
      </c>
      <c r="F88" s="47">
        <f t="shared" ca="1" si="30"/>
        <v>0</v>
      </c>
      <c r="G88" s="47">
        <f t="shared" ca="1" si="30"/>
        <v>0</v>
      </c>
      <c r="H88" s="47">
        <f t="shared" ca="1" si="30"/>
        <v>0</v>
      </c>
      <c r="I88" s="47">
        <f t="shared" si="30"/>
        <v>0</v>
      </c>
      <c r="J88" s="47">
        <f t="shared" si="30"/>
        <v>0</v>
      </c>
      <c r="K88" s="47">
        <f t="shared" ca="1" si="30"/>
        <v>0.19425318021000001</v>
      </c>
      <c r="L88" s="47">
        <f t="shared" si="30"/>
        <v>0</v>
      </c>
      <c r="M88" s="47">
        <f ca="1">M46*M70</f>
        <v>1.2940804291986174</v>
      </c>
      <c r="N88" s="169">
        <f ca="1">SUM(C88:M88)</f>
        <v>1.4883336094086175</v>
      </c>
      <c r="O88" s="165">
        <f ca="1">N88/$N$95</f>
        <v>8.701018287057145E-3</v>
      </c>
      <c r="P88" s="160"/>
      <c r="Q88" s="160"/>
      <c r="R88" s="160"/>
      <c r="S88" s="160"/>
      <c r="T88" s="160"/>
      <c r="U88" s="160"/>
      <c r="V88" s="160"/>
      <c r="W88" s="160"/>
      <c r="X88" s="160"/>
    </row>
    <row r="89" spans="1:24" ht="12.75" customHeight="1">
      <c r="A89" s="156"/>
      <c r="B89" s="156"/>
      <c r="C89" s="169"/>
      <c r="D89" s="169"/>
      <c r="E89" s="169"/>
      <c r="F89" s="169"/>
      <c r="G89" s="169"/>
      <c r="H89" s="169" t="s">
        <v>65</v>
      </c>
      <c r="I89" s="169"/>
      <c r="J89" s="169"/>
      <c r="K89" s="169"/>
      <c r="L89" s="169"/>
      <c r="M89" s="169"/>
      <c r="N89" s="169"/>
      <c r="O89" s="165"/>
      <c r="P89" s="160"/>
      <c r="Q89" s="160"/>
      <c r="R89" s="160"/>
      <c r="S89" s="160"/>
      <c r="T89" s="160"/>
      <c r="U89" s="160"/>
      <c r="V89" s="160"/>
      <c r="W89" s="160"/>
      <c r="X89" s="160"/>
    </row>
    <row r="90" spans="1:24" ht="12.75" customHeight="1">
      <c r="A90" s="156" t="s">
        <v>82</v>
      </c>
      <c r="B90" s="156" t="s">
        <v>110</v>
      </c>
      <c r="C90" s="47">
        <f t="shared" ref="C90:M90" si="31">C47</f>
        <v>0</v>
      </c>
      <c r="D90" s="47">
        <f t="shared" si="31"/>
        <v>0</v>
      </c>
      <c r="E90" s="47">
        <f t="shared" si="31"/>
        <v>0</v>
      </c>
      <c r="F90" s="47">
        <f t="shared" si="31"/>
        <v>0</v>
      </c>
      <c r="G90" s="47">
        <f t="shared" si="31"/>
        <v>0</v>
      </c>
      <c r="H90" s="47">
        <f t="shared" si="31"/>
        <v>1.96326337032</v>
      </c>
      <c r="I90" s="47">
        <f t="shared" si="31"/>
        <v>0</v>
      </c>
      <c r="J90" s="47">
        <f t="shared" si="31"/>
        <v>0</v>
      </c>
      <c r="K90" s="47">
        <f t="shared" si="31"/>
        <v>3.2617901793600002</v>
      </c>
      <c r="L90" s="47">
        <f t="shared" si="31"/>
        <v>2.1727804719599999</v>
      </c>
      <c r="M90" s="47">
        <f t="shared" si="31"/>
        <v>0</v>
      </c>
      <c r="N90" s="169">
        <f>SUM(C90:M90)</f>
        <v>7.3978340216399996</v>
      </c>
      <c r="O90" s="165">
        <f ca="1">N90/$N$95</f>
        <v>4.324883124320477E-2</v>
      </c>
      <c r="P90" s="160"/>
      <c r="Q90" s="160"/>
      <c r="R90" s="160"/>
      <c r="S90" s="160"/>
      <c r="T90" s="160"/>
      <c r="U90" s="160"/>
      <c r="V90" s="160"/>
      <c r="W90" s="160"/>
      <c r="X90" s="160"/>
    </row>
    <row r="91" spans="1:24" ht="12.75" customHeight="1">
      <c r="A91" s="156"/>
      <c r="B91" s="156"/>
      <c r="C91" s="169"/>
      <c r="D91" s="169"/>
      <c r="E91" s="169"/>
      <c r="F91" s="169"/>
      <c r="G91" s="169"/>
      <c r="H91" s="169"/>
      <c r="I91" s="169"/>
      <c r="J91" s="169"/>
      <c r="K91" s="169"/>
      <c r="L91" s="169"/>
      <c r="M91" s="169"/>
      <c r="N91" s="169"/>
      <c r="O91" s="165"/>
      <c r="P91" s="160"/>
      <c r="Q91" s="160"/>
      <c r="R91" s="160"/>
      <c r="S91" s="160"/>
      <c r="T91" s="160"/>
      <c r="U91" s="160"/>
      <c r="V91" s="160"/>
      <c r="W91" s="160"/>
      <c r="X91" s="160"/>
    </row>
    <row r="92" spans="1:24" ht="12.75" customHeight="1">
      <c r="A92" s="156" t="s">
        <v>134</v>
      </c>
      <c r="B92" s="156" t="s">
        <v>110</v>
      </c>
      <c r="C92" s="47">
        <f t="shared" ref="C92:M92" si="32">C48</f>
        <v>0</v>
      </c>
      <c r="D92" s="47">
        <f t="shared" si="32"/>
        <v>0</v>
      </c>
      <c r="E92" s="47">
        <f t="shared" si="32"/>
        <v>0</v>
      </c>
      <c r="F92" s="47">
        <f t="shared" si="32"/>
        <v>0</v>
      </c>
      <c r="G92" s="47">
        <f t="shared" si="32"/>
        <v>0</v>
      </c>
      <c r="H92" s="47">
        <f t="shared" si="32"/>
        <v>0</v>
      </c>
      <c r="I92" s="47">
        <f t="shared" si="32"/>
        <v>0</v>
      </c>
      <c r="J92" s="47">
        <f t="shared" si="32"/>
        <v>0</v>
      </c>
      <c r="K92" s="47">
        <f t="shared" si="32"/>
        <v>0</v>
      </c>
      <c r="L92" s="47">
        <f t="shared" si="32"/>
        <v>0</v>
      </c>
      <c r="M92" s="47">
        <f t="shared" si="32"/>
        <v>0.27004860000000003</v>
      </c>
      <c r="N92" s="169">
        <f>SUM(C92:M92)</f>
        <v>0.27004860000000003</v>
      </c>
      <c r="O92" s="165">
        <f ca="1">N92/$N$95</f>
        <v>1.5787440343619076E-3</v>
      </c>
      <c r="P92" s="160"/>
      <c r="Q92" s="160"/>
      <c r="R92" s="160"/>
      <c r="S92" s="160"/>
      <c r="T92" s="160"/>
      <c r="U92" s="160"/>
      <c r="V92" s="160"/>
      <c r="W92" s="160"/>
      <c r="X92" s="160"/>
    </row>
    <row r="93" spans="1:24" ht="12.75" customHeight="1">
      <c r="A93" s="156"/>
      <c r="B93" s="156"/>
      <c r="C93" s="155"/>
      <c r="D93" s="155"/>
      <c r="E93" s="155"/>
      <c r="F93" s="155"/>
      <c r="G93" s="155"/>
      <c r="H93" s="155"/>
      <c r="I93" s="155"/>
      <c r="J93" s="155"/>
      <c r="K93" s="155"/>
      <c r="L93" s="155"/>
      <c r="M93" s="155"/>
      <c r="N93" s="155"/>
      <c r="O93" s="165"/>
      <c r="P93" s="160"/>
      <c r="Q93" s="160"/>
      <c r="R93" s="160"/>
      <c r="S93" s="160"/>
      <c r="T93" s="160"/>
      <c r="U93" s="160"/>
      <c r="V93" s="160"/>
      <c r="W93" s="160"/>
      <c r="X93" s="160"/>
    </row>
    <row r="94" spans="1:24" ht="12.75" customHeight="1">
      <c r="A94" s="156" t="s">
        <v>126</v>
      </c>
      <c r="B94" s="156" t="s">
        <v>110</v>
      </c>
      <c r="C94" s="47">
        <f t="shared" ref="C94:M94" si="33">C49</f>
        <v>0</v>
      </c>
      <c r="D94" s="47">
        <f t="shared" si="33"/>
        <v>0</v>
      </c>
      <c r="E94" s="47">
        <f t="shared" si="33"/>
        <v>0</v>
      </c>
      <c r="F94" s="47">
        <f t="shared" si="33"/>
        <v>0</v>
      </c>
      <c r="G94" s="47">
        <f t="shared" si="33"/>
        <v>0</v>
      </c>
      <c r="H94" s="47">
        <f t="shared" si="33"/>
        <v>0</v>
      </c>
      <c r="I94" s="47">
        <f t="shared" si="33"/>
        <v>0</v>
      </c>
      <c r="J94" s="47">
        <f t="shared" si="33"/>
        <v>0</v>
      </c>
      <c r="K94" s="47">
        <f t="shared" si="33"/>
        <v>2.211519209400715</v>
      </c>
      <c r="L94" s="47">
        <f t="shared" si="33"/>
        <v>5.0100996326227829</v>
      </c>
      <c r="M94" s="47">
        <f t="shared" si="33"/>
        <v>0</v>
      </c>
      <c r="N94" s="169">
        <f>SUM(C94:M94)</f>
        <v>7.2216188420234975</v>
      </c>
      <c r="O94" s="165">
        <f ca="1">N94/$N$95</f>
        <v>4.2218651254922794E-2</v>
      </c>
      <c r="P94" s="160"/>
      <c r="Q94" s="160"/>
      <c r="R94" s="160"/>
      <c r="S94" s="160"/>
      <c r="T94" s="160"/>
      <c r="U94" s="160"/>
      <c r="V94" s="160"/>
      <c r="W94" s="160"/>
      <c r="X94" s="160"/>
    </row>
    <row r="95" spans="1:24" ht="12.75" customHeight="1">
      <c r="A95" s="158" t="s">
        <v>78</v>
      </c>
      <c r="B95" s="174"/>
      <c r="C95" s="170">
        <f t="shared" ref="C95:N95" ca="1" si="34">SUM(C75:C94)</f>
        <v>0</v>
      </c>
      <c r="D95" s="170">
        <f t="shared" ca="1" si="34"/>
        <v>0</v>
      </c>
      <c r="E95" s="170">
        <f t="shared" ca="1" si="34"/>
        <v>1.7771843764930488</v>
      </c>
      <c r="F95" s="170">
        <f t="shared" ca="1" si="34"/>
        <v>0.19385939675265446</v>
      </c>
      <c r="G95" s="170">
        <f t="shared" ca="1" si="34"/>
        <v>0</v>
      </c>
      <c r="H95" s="170">
        <f t="shared" ca="1" si="34"/>
        <v>58.426468152030438</v>
      </c>
      <c r="I95" s="170">
        <f t="shared" si="34"/>
        <v>5.2803921599999998E-2</v>
      </c>
      <c r="J95" s="170">
        <f t="shared" si="34"/>
        <v>5.7275968283999994</v>
      </c>
      <c r="K95" s="170">
        <f t="shared" ca="1" si="34"/>
        <v>95.265165783921091</v>
      </c>
      <c r="L95" s="170">
        <f t="shared" si="34"/>
        <v>7.1828801045827824</v>
      </c>
      <c r="M95" s="170">
        <f t="shared" ca="1" si="34"/>
        <v>2.4268493153310291</v>
      </c>
      <c r="N95" s="170">
        <f t="shared" ca="1" si="34"/>
        <v>171.05280787911101</v>
      </c>
      <c r="O95" s="171">
        <f ca="1">N95/$N$95</f>
        <v>1</v>
      </c>
      <c r="P95" s="261">
        <f ca="1">SUM(P75:P94)</f>
        <v>0</v>
      </c>
      <c r="Q95" s="261">
        <f ca="1">SUM(Q75:Q94)</f>
        <v>1.7771843764930488</v>
      </c>
      <c r="R95" s="160"/>
      <c r="S95" s="160"/>
      <c r="T95" s="160"/>
      <c r="U95" s="160"/>
      <c r="V95" s="160"/>
      <c r="W95" s="160"/>
      <c r="X95" s="160"/>
    </row>
    <row r="96" spans="1:24" ht="12.75" customHeight="1">
      <c r="A96" s="159" t="s">
        <v>250</v>
      </c>
      <c r="B96" s="159"/>
      <c r="C96" s="171">
        <f t="shared" ref="C96:N96" ca="1" si="35">C95/$N$95</f>
        <v>0</v>
      </c>
      <c r="D96" s="171">
        <f t="shared" ca="1" si="35"/>
        <v>0</v>
      </c>
      <c r="E96" s="171">
        <f t="shared" ca="1" si="35"/>
        <v>1.0389682569543359E-2</v>
      </c>
      <c r="F96" s="171">
        <f t="shared" ca="1" si="35"/>
        <v>1.1333306898397228E-3</v>
      </c>
      <c r="G96" s="171">
        <f t="shared" ca="1" si="35"/>
        <v>0</v>
      </c>
      <c r="H96" s="171">
        <f t="shared" ca="1" si="35"/>
        <v>0.34156976945577217</v>
      </c>
      <c r="I96" s="171">
        <f t="shared" ca="1" si="35"/>
        <v>3.0869953118406788E-4</v>
      </c>
      <c r="J96" s="171">
        <f t="shared" ca="1" si="35"/>
        <v>3.3484377715961799E-2</v>
      </c>
      <c r="K96" s="171">
        <f t="shared" ca="1" si="35"/>
        <v>0.55693424133235103</v>
      </c>
      <c r="L96" s="171">
        <f t="shared" ca="1" si="35"/>
        <v>4.1992178869458691E-2</v>
      </c>
      <c r="M96" s="171">
        <f t="shared" ca="1" si="35"/>
        <v>1.4187719835889324E-2</v>
      </c>
      <c r="N96" s="171">
        <f t="shared" ca="1" si="35"/>
        <v>1</v>
      </c>
      <c r="O96" s="159"/>
      <c r="P96" s="160"/>
      <c r="Q96" s="160"/>
      <c r="R96" s="160"/>
      <c r="S96" s="160"/>
      <c r="T96" s="160"/>
      <c r="U96" s="160"/>
      <c r="V96" s="160"/>
      <c r="W96" s="160"/>
      <c r="X96" s="160"/>
    </row>
    <row r="97" spans="1:24">
      <c r="A97" s="160"/>
      <c r="B97" s="160"/>
      <c r="C97" s="160"/>
      <c r="D97" s="160"/>
      <c r="E97" s="160"/>
      <c r="F97" s="160"/>
      <c r="G97" s="160"/>
      <c r="H97" s="160"/>
      <c r="I97" s="160"/>
      <c r="J97" s="160"/>
      <c r="K97" s="160"/>
      <c r="L97" s="160"/>
      <c r="M97" s="160"/>
      <c r="N97" s="160"/>
      <c r="O97" s="160"/>
      <c r="P97" s="160"/>
      <c r="Q97" s="160"/>
      <c r="R97" s="160"/>
      <c r="S97" s="160"/>
      <c r="T97" s="160"/>
      <c r="U97" s="160"/>
      <c r="V97" s="160"/>
      <c r="W97" s="160"/>
      <c r="X97" s="160"/>
    </row>
    <row r="98" spans="1:24" ht="18">
      <c r="B98" s="104" t="s">
        <v>277</v>
      </c>
      <c r="C98" s="111"/>
      <c r="D98" s="111"/>
      <c r="E98" s="111"/>
      <c r="F98" s="111"/>
      <c r="G98" s="111"/>
      <c r="H98" s="160"/>
      <c r="I98" s="160"/>
      <c r="J98" s="160"/>
      <c r="K98" s="160"/>
      <c r="L98" s="160"/>
      <c r="M98" s="160"/>
      <c r="N98" s="160"/>
      <c r="O98" s="160"/>
      <c r="P98" s="160"/>
      <c r="Q98" s="160"/>
      <c r="R98" s="167"/>
      <c r="S98" s="160"/>
      <c r="T98" s="160"/>
      <c r="U98" s="160"/>
      <c r="V98" s="160"/>
      <c r="W98" s="160"/>
      <c r="X98" s="160"/>
    </row>
    <row r="99" spans="1:24">
      <c r="A99" s="154"/>
      <c r="B99" s="152" t="s">
        <v>90</v>
      </c>
      <c r="C99" s="161"/>
      <c r="D99" s="161"/>
      <c r="E99" s="161"/>
      <c r="F99" s="161"/>
      <c r="G99" s="161"/>
      <c r="H99" s="161"/>
      <c r="I99" s="161"/>
      <c r="J99" s="161"/>
      <c r="K99" s="161"/>
      <c r="L99" s="161"/>
      <c r="M99" s="161"/>
      <c r="N99" s="160"/>
      <c r="O99" s="160"/>
      <c r="P99" s="160"/>
      <c r="Q99" s="160"/>
      <c r="R99" s="160"/>
      <c r="S99" s="160"/>
      <c r="T99" s="160"/>
      <c r="U99" s="160"/>
      <c r="V99" s="160"/>
      <c r="W99" s="160"/>
      <c r="X99" s="160"/>
    </row>
    <row r="100" spans="1:24">
      <c r="A100" s="152" t="s">
        <v>340</v>
      </c>
      <c r="B100" s="162" t="s">
        <v>341</v>
      </c>
      <c r="C100" s="163" t="s">
        <v>342</v>
      </c>
      <c r="D100" s="164" t="s">
        <v>124</v>
      </c>
      <c r="E100" s="164" t="s">
        <v>267</v>
      </c>
      <c r="F100" s="163" t="s">
        <v>346</v>
      </c>
      <c r="G100" s="164" t="s">
        <v>268</v>
      </c>
      <c r="H100" s="164" t="s">
        <v>239</v>
      </c>
      <c r="I100" s="164" t="s">
        <v>71</v>
      </c>
      <c r="J100" s="164" t="s">
        <v>85</v>
      </c>
      <c r="K100" s="164" t="s">
        <v>75</v>
      </c>
      <c r="L100" s="164" t="s">
        <v>86</v>
      </c>
      <c r="M100" s="164" t="s">
        <v>88</v>
      </c>
      <c r="N100" s="164" t="s">
        <v>74</v>
      </c>
      <c r="O100" s="164" t="s">
        <v>72</v>
      </c>
      <c r="P100" s="164" t="s">
        <v>73</v>
      </c>
      <c r="Q100" s="164" t="s">
        <v>89</v>
      </c>
      <c r="R100" s="164" t="s">
        <v>77</v>
      </c>
      <c r="S100" s="164" t="s">
        <v>240</v>
      </c>
      <c r="T100" s="164" t="s">
        <v>241</v>
      </c>
      <c r="U100" s="164" t="s">
        <v>242</v>
      </c>
      <c r="V100" s="164" t="s">
        <v>243</v>
      </c>
      <c r="W100" s="164" t="s">
        <v>33</v>
      </c>
      <c r="X100" s="164" t="s">
        <v>78</v>
      </c>
    </row>
    <row r="101" spans="1:24">
      <c r="A101" s="156" t="s">
        <v>34</v>
      </c>
      <c r="B101" s="50">
        <v>0</v>
      </c>
      <c r="C101" s="51">
        <v>0</v>
      </c>
      <c r="D101" s="51">
        <v>0</v>
      </c>
      <c r="E101" s="52">
        <v>0</v>
      </c>
      <c r="F101" s="52">
        <v>0</v>
      </c>
      <c r="G101" s="52">
        <v>0</v>
      </c>
      <c r="H101" s="52">
        <v>0</v>
      </c>
      <c r="I101" s="51">
        <v>0</v>
      </c>
      <c r="J101" s="51">
        <v>0</v>
      </c>
      <c r="K101" s="51">
        <v>0</v>
      </c>
      <c r="L101" s="51">
        <v>0</v>
      </c>
      <c r="M101" s="51">
        <v>0</v>
      </c>
      <c r="N101" s="51">
        <v>0</v>
      </c>
      <c r="O101" s="51">
        <v>0</v>
      </c>
      <c r="P101" s="51">
        <v>0</v>
      </c>
      <c r="Q101" s="51">
        <v>0</v>
      </c>
      <c r="R101" s="51">
        <v>0</v>
      </c>
      <c r="S101" s="51">
        <v>0</v>
      </c>
      <c r="T101" s="51">
        <v>0</v>
      </c>
      <c r="U101" s="51">
        <v>0</v>
      </c>
      <c r="V101" s="51">
        <v>0</v>
      </c>
      <c r="W101" s="51">
        <v>0</v>
      </c>
      <c r="X101" s="52">
        <v>0</v>
      </c>
    </row>
    <row r="102" spans="1:24">
      <c r="B102" s="43" t="s">
        <v>92</v>
      </c>
      <c r="C102" s="43" t="s">
        <v>187</v>
      </c>
      <c r="D102" s="39" t="s">
        <v>196</v>
      </c>
      <c r="E102" s="39" t="s">
        <v>125</v>
      </c>
      <c r="F102" s="39" t="s">
        <v>197</v>
      </c>
      <c r="G102" s="39" t="s">
        <v>198</v>
      </c>
      <c r="H102" s="39" t="s">
        <v>244</v>
      </c>
      <c r="I102" s="43" t="s">
        <v>91</v>
      </c>
      <c r="J102" s="43" t="s">
        <v>334</v>
      </c>
      <c r="K102" s="43" t="s">
        <v>96</v>
      </c>
      <c r="L102" s="43" t="s">
        <v>131</v>
      </c>
      <c r="M102" s="43" t="s">
        <v>133</v>
      </c>
      <c r="N102" s="43" t="s">
        <v>95</v>
      </c>
      <c r="O102" s="39" t="s">
        <v>94</v>
      </c>
      <c r="P102" s="39" t="s">
        <v>93</v>
      </c>
      <c r="Q102" s="43" t="s">
        <v>220</v>
      </c>
      <c r="R102" s="43" t="s">
        <v>60</v>
      </c>
      <c r="S102" s="43" t="s">
        <v>245</v>
      </c>
      <c r="T102" s="39" t="s">
        <v>214</v>
      </c>
      <c r="U102" s="43" t="s">
        <v>193</v>
      </c>
      <c r="V102" s="43" t="s">
        <v>246</v>
      </c>
      <c r="W102" s="43" t="s">
        <v>217</v>
      </c>
      <c r="X102" s="160"/>
    </row>
    <row r="103" spans="1:24">
      <c r="A103" s="160"/>
      <c r="B103" s="160"/>
      <c r="C103" s="160"/>
      <c r="D103" s="160"/>
      <c r="E103" s="160"/>
      <c r="F103" s="160"/>
      <c r="G103" s="160"/>
      <c r="H103" s="160"/>
      <c r="I103" s="160"/>
      <c r="J103" s="160"/>
      <c r="K103" s="160"/>
      <c r="L103" s="160"/>
      <c r="M103" s="160"/>
      <c r="N103" s="160"/>
      <c r="O103" s="160"/>
      <c r="P103" s="160"/>
      <c r="Q103" s="160"/>
      <c r="R103" s="160"/>
      <c r="S103" s="160"/>
      <c r="T103" s="160"/>
      <c r="U103" s="160"/>
      <c r="V103" s="160"/>
      <c r="W103" s="160"/>
      <c r="X103" s="160"/>
    </row>
    <row r="104" spans="1:24">
      <c r="A104" s="160"/>
      <c r="B104" s="160"/>
      <c r="C104" s="160"/>
      <c r="D104" s="160"/>
      <c r="E104" s="160"/>
      <c r="F104" s="160"/>
      <c r="G104" s="160"/>
      <c r="H104" s="160"/>
      <c r="I104" s="160"/>
      <c r="J104" s="160"/>
      <c r="K104" s="160"/>
      <c r="L104" s="160"/>
      <c r="M104" s="160"/>
      <c r="N104" s="160"/>
      <c r="O104" s="160"/>
      <c r="P104" s="160"/>
      <c r="Q104" s="160"/>
      <c r="R104" s="160"/>
      <c r="S104" s="160"/>
      <c r="T104" s="160"/>
      <c r="U104" s="160"/>
      <c r="V104" s="160"/>
      <c r="W104" s="160"/>
      <c r="X104" s="160"/>
    </row>
    <row r="105" spans="1:24">
      <c r="A105" s="160"/>
      <c r="B105" s="160"/>
      <c r="C105" s="160"/>
      <c r="D105" s="160"/>
      <c r="E105" s="160"/>
      <c r="F105" s="160"/>
      <c r="G105" s="160"/>
      <c r="H105" s="160"/>
      <c r="I105" s="160"/>
      <c r="J105" s="160"/>
      <c r="K105" s="172"/>
      <c r="L105" s="173"/>
      <c r="M105" s="173"/>
      <c r="N105" s="173"/>
      <c r="O105" s="173"/>
      <c r="P105" s="172"/>
      <c r="Q105" s="160"/>
      <c r="R105" s="160"/>
      <c r="S105" s="160"/>
      <c r="T105" s="160"/>
      <c r="U105" s="160"/>
      <c r="V105" s="160"/>
      <c r="W105" s="160"/>
      <c r="X105" s="160"/>
    </row>
    <row r="107" spans="1:24">
      <c r="H107" s="227"/>
      <c r="I107" s="227"/>
      <c r="J107" s="227"/>
      <c r="K107" s="227"/>
      <c r="L107" s="227"/>
      <c r="M107" s="227"/>
    </row>
  </sheetData>
  <phoneticPr fontId="0" type="noConversion"/>
  <pageMargins left="0.75" right="0.75" top="1" bottom="1" header="0.5" footer="0.5"/>
  <pageSetup orientation="landscape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07"/>
  <sheetViews>
    <sheetView topLeftCell="A71" zoomScale="75" workbookViewId="0">
      <selection activeCell="A17" sqref="A17"/>
    </sheetView>
  </sheetViews>
  <sheetFormatPr defaultRowHeight="12.75"/>
  <cols>
    <col min="1" max="1" width="17.85546875" style="22" customWidth="1"/>
    <col min="2" max="2" width="28.42578125" style="22" customWidth="1"/>
    <col min="3" max="3" width="16.140625" style="22" customWidth="1"/>
    <col min="4" max="4" width="10.85546875" style="22" customWidth="1"/>
    <col min="5" max="5" width="14.140625" style="22" customWidth="1"/>
    <col min="6" max="6" width="12.7109375" style="22" customWidth="1"/>
    <col min="7" max="7" width="17.42578125" style="22" customWidth="1"/>
    <col min="8" max="8" width="15" style="22" customWidth="1"/>
    <col min="9" max="9" width="11.7109375" style="22" customWidth="1"/>
    <col min="10" max="10" width="11.140625" style="22" bestFit="1" customWidth="1"/>
    <col min="11" max="11" width="11.7109375" style="22" customWidth="1"/>
    <col min="12" max="12" width="10.5703125" style="22" bestFit="1" customWidth="1"/>
    <col min="13" max="13" width="12.140625" style="22" customWidth="1"/>
    <col min="14" max="14" width="14" style="22" customWidth="1"/>
    <col min="15" max="15" width="15.7109375" style="22" customWidth="1"/>
    <col min="16" max="16" width="12.7109375" style="22" bestFit="1" customWidth="1"/>
    <col min="17" max="17" width="10.28515625" style="22" bestFit="1" customWidth="1"/>
    <col min="18" max="18" width="15" style="22" customWidth="1"/>
    <col min="19" max="19" width="21.28515625" style="22" customWidth="1"/>
    <col min="20" max="20" width="12.5703125" style="22" bestFit="1" customWidth="1"/>
    <col min="21" max="21" width="16.7109375" style="22" customWidth="1"/>
    <col min="22" max="22" width="13.85546875" style="22" customWidth="1"/>
    <col min="23" max="23" width="20.140625" style="22" customWidth="1"/>
    <col min="24" max="24" width="23.28515625" style="22" customWidth="1"/>
    <col min="29" max="29" width="10.7109375" customWidth="1"/>
    <col min="31" max="31" width="11.5703125" customWidth="1"/>
    <col min="32" max="32" width="11" customWidth="1"/>
  </cols>
  <sheetData>
    <row r="1" spans="1:24" ht="15.75" customHeight="1">
      <c r="A1" s="155" t="s">
        <v>58</v>
      </c>
      <c r="B1" s="161"/>
      <c r="C1" s="214" t="s">
        <v>336</v>
      </c>
      <c r="D1" s="38" t="s">
        <v>247</v>
      </c>
      <c r="E1" s="161" t="s">
        <v>65</v>
      </c>
      <c r="F1" s="214" t="s">
        <v>339</v>
      </c>
      <c r="G1" s="58" t="s">
        <v>345</v>
      </c>
      <c r="H1" s="161"/>
      <c r="I1" s="24" t="s">
        <v>278</v>
      </c>
      <c r="J1" s="24"/>
      <c r="K1" s="161"/>
      <c r="L1" s="161"/>
      <c r="M1" s="161"/>
      <c r="N1" s="224" t="s">
        <v>365</v>
      </c>
      <c r="O1" s="224" t="str">
        <f ca="1">MID(CELL("filename",N1),FIND("VT_",CELL("filename",N1))+3,3)</f>
        <v>FI_</v>
      </c>
      <c r="P1" s="224" t="s">
        <v>366</v>
      </c>
      <c r="Q1" s="225">
        <v>1.0000000000000001E-9</v>
      </c>
      <c r="R1" s="160"/>
      <c r="S1" s="160"/>
      <c r="T1" s="160"/>
      <c r="U1" s="160"/>
      <c r="V1" s="160"/>
      <c r="W1" s="160"/>
      <c r="X1" s="160"/>
    </row>
    <row r="2" spans="1:24" ht="12.75" customHeight="1">
      <c r="A2" s="161"/>
      <c r="B2" s="161"/>
      <c r="C2" s="214" t="s">
        <v>337</v>
      </c>
      <c r="D2" s="37">
        <v>2017</v>
      </c>
      <c r="E2" s="161"/>
      <c r="F2" s="160"/>
      <c r="G2" s="160"/>
      <c r="H2" s="161"/>
      <c r="I2" s="25" t="s">
        <v>279</v>
      </c>
      <c r="J2" s="25"/>
      <c r="K2" s="161"/>
      <c r="L2" s="161"/>
      <c r="M2" s="161"/>
      <c r="N2" s="161"/>
      <c r="O2" s="160"/>
      <c r="P2" s="160"/>
      <c r="Q2" s="160"/>
      <c r="R2" s="160"/>
      <c r="S2" s="160"/>
      <c r="T2" s="160"/>
      <c r="U2" s="160"/>
      <c r="V2" s="160"/>
      <c r="W2" s="160"/>
      <c r="X2" s="160"/>
    </row>
    <row r="3" spans="1:24" ht="12.75" customHeight="1">
      <c r="A3" s="161"/>
      <c r="B3" s="161"/>
      <c r="C3" s="214" t="s">
        <v>338</v>
      </c>
      <c r="D3" s="37">
        <v>4.1868000000000002E-2</v>
      </c>
      <c r="E3" s="161"/>
      <c r="F3" s="161"/>
      <c r="G3" s="161"/>
      <c r="H3" s="161"/>
      <c r="I3" s="27" t="s">
        <v>280</v>
      </c>
      <c r="J3" s="27"/>
      <c r="K3" s="161"/>
      <c r="L3" s="161"/>
      <c r="M3" s="161"/>
      <c r="N3" s="161"/>
      <c r="O3" s="160"/>
      <c r="P3" s="160"/>
      <c r="Q3" s="160"/>
      <c r="R3" s="160"/>
      <c r="S3" s="160"/>
      <c r="T3" s="160"/>
      <c r="U3" s="160"/>
      <c r="V3" s="160"/>
      <c r="W3" s="160"/>
      <c r="X3" s="160"/>
    </row>
    <row r="4" spans="1:24" ht="12.75" customHeight="1">
      <c r="A4" s="161"/>
      <c r="B4" s="161"/>
      <c r="C4" s="154" t="s">
        <v>69</v>
      </c>
      <c r="D4" s="161">
        <v>1</v>
      </c>
      <c r="E4" s="161"/>
      <c r="F4" s="161"/>
      <c r="G4" s="161"/>
      <c r="H4" s="161"/>
      <c r="I4" s="62" t="s">
        <v>281</v>
      </c>
      <c r="J4" s="62"/>
      <c r="K4" s="161"/>
      <c r="L4" s="161"/>
      <c r="M4" s="161"/>
      <c r="N4" s="161"/>
      <c r="O4" s="160"/>
      <c r="P4" s="160"/>
      <c r="Q4" s="160"/>
      <c r="R4" s="160"/>
      <c r="S4" s="160"/>
      <c r="T4" s="160"/>
      <c r="U4" s="160"/>
      <c r="V4" s="160"/>
      <c r="W4" s="160"/>
      <c r="X4" s="160"/>
    </row>
    <row r="5" spans="1:24" ht="12.75" customHeight="1">
      <c r="A5" s="161"/>
      <c r="B5" s="161"/>
      <c r="C5" s="154" t="s">
        <v>70</v>
      </c>
      <c r="D5" s="161">
        <v>1</v>
      </c>
      <c r="E5" s="161"/>
      <c r="F5" s="161"/>
      <c r="G5" s="161"/>
      <c r="H5" s="161"/>
      <c r="I5" s="17" t="s">
        <v>282</v>
      </c>
      <c r="J5" s="17"/>
      <c r="K5" s="161"/>
      <c r="L5" s="161"/>
      <c r="M5" s="161"/>
      <c r="N5" s="161"/>
      <c r="O5" s="160"/>
      <c r="P5" s="160"/>
      <c r="Q5" s="160"/>
      <c r="R5" s="160"/>
      <c r="S5" s="160"/>
      <c r="T5" s="160"/>
      <c r="U5" s="160"/>
      <c r="V5" s="160"/>
      <c r="W5" s="160"/>
      <c r="X5" s="160"/>
    </row>
    <row r="6" spans="1:24" ht="12.75" customHeight="1">
      <c r="A6" s="161"/>
      <c r="B6" s="161"/>
      <c r="C6" s="154" t="s">
        <v>117</v>
      </c>
      <c r="D6" s="161">
        <v>1</v>
      </c>
      <c r="E6" s="161"/>
      <c r="F6" s="161"/>
      <c r="G6" s="161"/>
      <c r="H6" s="161"/>
      <c r="I6" s="23" t="s">
        <v>283</v>
      </c>
      <c r="J6" s="23"/>
      <c r="K6" s="161"/>
      <c r="L6" s="161"/>
      <c r="M6" s="161"/>
      <c r="N6" s="161"/>
      <c r="O6" s="160"/>
      <c r="P6" s="160"/>
      <c r="Q6" s="160"/>
      <c r="R6" s="160"/>
      <c r="S6" s="160"/>
      <c r="T6" s="160"/>
      <c r="U6" s="160"/>
      <c r="V6" s="160"/>
      <c r="W6" s="160"/>
      <c r="X6" s="160"/>
    </row>
    <row r="7" spans="1:24" ht="12.75" customHeight="1">
      <c r="A7" s="155"/>
      <c r="B7" s="160"/>
      <c r="C7" s="161"/>
      <c r="D7" s="161"/>
      <c r="E7" s="161"/>
      <c r="F7" s="161"/>
      <c r="G7" s="161"/>
      <c r="H7" s="161"/>
      <c r="I7" s="194" t="s">
        <v>284</v>
      </c>
      <c r="J7" s="194"/>
      <c r="K7" s="161"/>
      <c r="L7" s="161"/>
      <c r="M7" s="161"/>
      <c r="N7" s="161"/>
      <c r="O7" s="160"/>
      <c r="P7" s="160"/>
      <c r="Q7" s="160"/>
      <c r="R7" s="160"/>
      <c r="S7" s="160"/>
      <c r="T7" s="160"/>
      <c r="U7" s="160"/>
      <c r="V7" s="160"/>
      <c r="W7" s="160"/>
      <c r="X7" s="160"/>
    </row>
    <row r="8" spans="1:24" ht="18">
      <c r="A8" s="154"/>
      <c r="B8" s="100" t="s">
        <v>236</v>
      </c>
      <c r="C8" s="101"/>
      <c r="D8" s="161"/>
      <c r="E8" s="161"/>
      <c r="F8" s="161"/>
      <c r="G8" s="161"/>
      <c r="H8" s="161"/>
      <c r="I8" s="161"/>
      <c r="J8" s="161"/>
      <c r="K8" s="161"/>
      <c r="L8" s="161"/>
      <c r="M8" s="161"/>
      <c r="N8" s="161"/>
      <c r="O8" s="160"/>
      <c r="P8" s="160"/>
      <c r="Q8" s="160"/>
      <c r="R8" s="160"/>
      <c r="S8" s="160"/>
      <c r="T8" s="160"/>
      <c r="U8" s="160"/>
      <c r="V8" s="160"/>
      <c r="W8" s="160"/>
      <c r="X8" s="160"/>
    </row>
    <row r="9" spans="1:24" s="16" customFormat="1" ht="12.75" customHeight="1">
      <c r="A9" s="152" t="s">
        <v>340</v>
      </c>
      <c r="B9" s="162" t="s">
        <v>341</v>
      </c>
      <c r="C9" s="163" t="s">
        <v>342</v>
      </c>
      <c r="D9" s="164" t="s">
        <v>124</v>
      </c>
      <c r="E9" s="164" t="s">
        <v>267</v>
      </c>
      <c r="F9" s="164" t="s">
        <v>461</v>
      </c>
      <c r="G9" s="266" t="s">
        <v>462</v>
      </c>
      <c r="H9" s="164" t="s">
        <v>268</v>
      </c>
      <c r="I9" s="164" t="s">
        <v>71</v>
      </c>
      <c r="J9" s="164" t="s">
        <v>85</v>
      </c>
      <c r="K9" s="164" t="s">
        <v>75</v>
      </c>
      <c r="L9" s="164" t="s">
        <v>86</v>
      </c>
      <c r="M9" s="164" t="s">
        <v>87</v>
      </c>
      <c r="N9" s="164" t="s">
        <v>88</v>
      </c>
      <c r="O9" s="164" t="s">
        <v>74</v>
      </c>
      <c r="P9" s="164" t="s">
        <v>72</v>
      </c>
      <c r="Q9" s="164" t="s">
        <v>73</v>
      </c>
      <c r="R9" s="164" t="s">
        <v>89</v>
      </c>
      <c r="S9" s="164" t="s">
        <v>77</v>
      </c>
      <c r="T9" s="164" t="s">
        <v>78</v>
      </c>
      <c r="U9" s="155"/>
      <c r="V9" s="164"/>
      <c r="W9" s="187"/>
      <c r="X9" s="187"/>
    </row>
    <row r="10" spans="1:24" ht="12.75" customHeight="1">
      <c r="A10" s="156" t="s">
        <v>347</v>
      </c>
      <c r="B10" s="50">
        <v>0</v>
      </c>
      <c r="C10" s="51">
        <v>0</v>
      </c>
      <c r="D10" s="51">
        <v>0</v>
      </c>
      <c r="E10" s="52">
        <v>0</v>
      </c>
      <c r="F10" s="52">
        <v>0</v>
      </c>
      <c r="G10" s="52">
        <v>0</v>
      </c>
      <c r="H10" s="52">
        <v>0</v>
      </c>
      <c r="I10" s="51">
        <v>0</v>
      </c>
      <c r="J10" s="51">
        <v>0</v>
      </c>
      <c r="K10" s="51">
        <v>0</v>
      </c>
      <c r="L10" s="51">
        <v>0</v>
      </c>
      <c r="M10" s="51">
        <v>0</v>
      </c>
      <c r="N10" s="51">
        <v>2.8294000799999992</v>
      </c>
      <c r="O10" s="51">
        <v>0</v>
      </c>
      <c r="P10" s="51">
        <v>0</v>
      </c>
      <c r="Q10" s="51">
        <v>0</v>
      </c>
      <c r="R10" s="51">
        <v>0</v>
      </c>
      <c r="S10" s="51">
        <v>0</v>
      </c>
      <c r="T10" s="52">
        <v>2.8294000799999992</v>
      </c>
      <c r="U10" s="165">
        <f t="shared" ref="U10:U17" si="0">T10/$T$17</f>
        <v>1.8385675035512774E-2</v>
      </c>
      <c r="V10" s="156" t="str">
        <f t="shared" ref="V10:V17" si="1">A10</f>
        <v>INTLAIR</v>
      </c>
      <c r="W10" s="160"/>
      <c r="X10" s="160"/>
    </row>
    <row r="11" spans="1:24" ht="12.75" customHeight="1">
      <c r="A11" s="156" t="s">
        <v>80</v>
      </c>
      <c r="B11" s="50">
        <v>0</v>
      </c>
      <c r="C11" s="51">
        <v>0</v>
      </c>
      <c r="D11" s="51">
        <v>0</v>
      </c>
      <c r="E11" s="52">
        <v>0</v>
      </c>
      <c r="F11" s="52">
        <v>0</v>
      </c>
      <c r="G11" s="52">
        <v>0</v>
      </c>
      <c r="H11" s="52">
        <v>0</v>
      </c>
      <c r="I11" s="51">
        <v>0</v>
      </c>
      <c r="J11" s="51">
        <v>0</v>
      </c>
      <c r="K11" s="51">
        <v>0</v>
      </c>
      <c r="L11" s="51">
        <v>2.639946E-2</v>
      </c>
      <c r="M11" s="51">
        <v>0</v>
      </c>
      <c r="N11" s="51">
        <v>2.8379997599999998</v>
      </c>
      <c r="O11" s="51">
        <v>0</v>
      </c>
      <c r="P11" s="51">
        <v>0</v>
      </c>
      <c r="Q11" s="51">
        <v>0</v>
      </c>
      <c r="R11" s="51">
        <v>0</v>
      </c>
      <c r="S11" s="51">
        <v>0</v>
      </c>
      <c r="T11" s="52">
        <v>2.8643992199999997</v>
      </c>
      <c r="U11" s="165">
        <f t="shared" si="0"/>
        <v>1.8613102333303204E-2</v>
      </c>
      <c r="V11" s="156" t="str">
        <f t="shared" si="1"/>
        <v>DOMESAIR</v>
      </c>
      <c r="W11" s="160"/>
      <c r="X11" s="160"/>
    </row>
    <row r="12" spans="1:24" ht="12.75" customHeight="1">
      <c r="A12" s="156" t="s">
        <v>76</v>
      </c>
      <c r="B12" s="50">
        <v>0</v>
      </c>
      <c r="C12" s="51">
        <v>0</v>
      </c>
      <c r="D12" s="51">
        <v>0</v>
      </c>
      <c r="E12" s="52">
        <v>0</v>
      </c>
      <c r="F12" s="52">
        <v>14.344547954740023</v>
      </c>
      <c r="G12" s="52">
        <v>1.2339879614815143E-2</v>
      </c>
      <c r="H12" s="52">
        <v>0</v>
      </c>
      <c r="I12" s="51">
        <v>0.16737390107416958</v>
      </c>
      <c r="J12" s="51">
        <v>0</v>
      </c>
      <c r="K12" s="51">
        <v>46.971137685474993</v>
      </c>
      <c r="L12" s="51">
        <v>0</v>
      </c>
      <c r="M12" s="51">
        <v>0</v>
      </c>
      <c r="N12" s="51">
        <v>0</v>
      </c>
      <c r="O12" s="51">
        <v>0</v>
      </c>
      <c r="P12" s="51">
        <v>83.334344742494935</v>
      </c>
      <c r="Q12" s="51">
        <v>0</v>
      </c>
      <c r="R12" s="51">
        <v>0</v>
      </c>
      <c r="S12" s="51">
        <v>6.6918645458027892E-2</v>
      </c>
      <c r="T12" s="52">
        <v>144.89666280885697</v>
      </c>
      <c r="U12" s="165">
        <f t="shared" si="0"/>
        <v>0.9415504632819246</v>
      </c>
      <c r="V12" s="156" t="str">
        <f t="shared" si="1"/>
        <v>ROAD</v>
      </c>
      <c r="W12" s="160"/>
      <c r="X12" s="160"/>
    </row>
    <row r="13" spans="1:24" ht="12.75" customHeight="1">
      <c r="A13" s="156" t="s">
        <v>81</v>
      </c>
      <c r="B13" s="50">
        <v>0</v>
      </c>
      <c r="C13" s="51">
        <v>0</v>
      </c>
      <c r="D13" s="51">
        <v>0</v>
      </c>
      <c r="E13" s="52">
        <v>0</v>
      </c>
      <c r="F13" s="52">
        <v>0</v>
      </c>
      <c r="G13" s="52">
        <v>0</v>
      </c>
      <c r="H13" s="52">
        <v>0</v>
      </c>
      <c r="I13" s="51">
        <v>0</v>
      </c>
      <c r="J13" s="51">
        <v>0</v>
      </c>
      <c r="K13" s="51">
        <v>0</v>
      </c>
      <c r="L13" s="51">
        <v>0</v>
      </c>
      <c r="M13" s="51">
        <v>0</v>
      </c>
      <c r="N13" s="51">
        <v>0</v>
      </c>
      <c r="O13" s="51">
        <v>0</v>
      </c>
      <c r="P13" s="51">
        <v>0.80940113999999996</v>
      </c>
      <c r="Q13" s="51">
        <v>0</v>
      </c>
      <c r="R13" s="51">
        <v>0</v>
      </c>
      <c r="S13" s="51">
        <v>2.0321271824234883</v>
      </c>
      <c r="T13" s="52">
        <v>2.8415284224234885</v>
      </c>
      <c r="U13" s="165">
        <f t="shared" si="0"/>
        <v>1.846448600469805E-2</v>
      </c>
      <c r="V13" s="156" t="str">
        <f t="shared" si="1"/>
        <v>RAIL</v>
      </c>
      <c r="W13" s="160"/>
      <c r="X13" s="160"/>
    </row>
    <row r="14" spans="1:24" ht="12.75" customHeight="1">
      <c r="A14" s="156" t="s">
        <v>348</v>
      </c>
      <c r="B14" s="50">
        <v>0</v>
      </c>
      <c r="C14" s="51">
        <v>0</v>
      </c>
      <c r="D14" s="51">
        <v>0</v>
      </c>
      <c r="E14" s="52">
        <v>0</v>
      </c>
      <c r="F14" s="52">
        <v>8.1280761999999993E-2</v>
      </c>
      <c r="G14" s="52">
        <v>0</v>
      </c>
      <c r="H14" s="52">
        <v>0</v>
      </c>
      <c r="I14" s="51">
        <v>0</v>
      </c>
      <c r="J14" s="51">
        <v>0</v>
      </c>
      <c r="K14" s="51">
        <v>1.3230807759999998</v>
      </c>
      <c r="L14" s="51">
        <v>0</v>
      </c>
      <c r="M14" s="51">
        <v>0</v>
      </c>
      <c r="N14" s="51">
        <v>0</v>
      </c>
      <c r="O14" s="51">
        <v>0</v>
      </c>
      <c r="P14" s="51">
        <v>3.3884020600000002</v>
      </c>
      <c r="Q14" s="51">
        <v>0.42679922399999998</v>
      </c>
      <c r="R14" s="51">
        <v>0</v>
      </c>
      <c r="S14" s="51">
        <v>0</v>
      </c>
      <c r="T14" s="52">
        <v>5.2195628220000003</v>
      </c>
      <c r="U14" s="165">
        <f t="shared" si="0"/>
        <v>3.3917149628671824E-2</v>
      </c>
      <c r="V14" s="156" t="str">
        <f t="shared" si="1"/>
        <v>DOMESNAV</v>
      </c>
      <c r="W14" s="160"/>
      <c r="X14" s="160"/>
    </row>
    <row r="15" spans="1:24" ht="12.75" customHeight="1">
      <c r="A15" s="156" t="s">
        <v>83</v>
      </c>
      <c r="B15" s="50">
        <v>0</v>
      </c>
      <c r="C15" s="51">
        <v>0</v>
      </c>
      <c r="D15" s="51">
        <v>0</v>
      </c>
      <c r="E15" s="52">
        <v>0</v>
      </c>
      <c r="F15" s="52">
        <v>0</v>
      </c>
      <c r="G15" s="52">
        <v>0</v>
      </c>
      <c r="H15" s="52">
        <v>0</v>
      </c>
      <c r="I15" s="51">
        <v>0.12600169999999999</v>
      </c>
      <c r="J15" s="51">
        <v>0</v>
      </c>
      <c r="K15" s="51">
        <v>0</v>
      </c>
      <c r="L15" s="51">
        <v>0</v>
      </c>
      <c r="M15" s="51">
        <v>0</v>
      </c>
      <c r="N15" s="51">
        <v>0</v>
      </c>
      <c r="O15" s="51">
        <v>0</v>
      </c>
      <c r="P15" s="51">
        <v>0</v>
      </c>
      <c r="Q15" s="51">
        <v>0</v>
      </c>
      <c r="R15" s="51">
        <v>0</v>
      </c>
      <c r="S15" s="51">
        <v>0</v>
      </c>
      <c r="T15" s="52">
        <v>0.12600169999999999</v>
      </c>
      <c r="U15" s="165">
        <f t="shared" si="0"/>
        <v>8.1876943684901942E-4</v>
      </c>
      <c r="V15" s="156" t="str">
        <f t="shared" si="1"/>
        <v>TRNONSPE</v>
      </c>
      <c r="W15" s="160"/>
      <c r="X15" s="160"/>
    </row>
    <row r="16" spans="1:24" ht="12.75" customHeight="1">
      <c r="A16" s="156" t="s">
        <v>126</v>
      </c>
      <c r="B16" s="50">
        <v>0</v>
      </c>
      <c r="C16" s="51">
        <v>0</v>
      </c>
      <c r="D16" s="51">
        <v>0</v>
      </c>
      <c r="E16" s="52">
        <v>0</v>
      </c>
      <c r="F16" s="52">
        <v>0</v>
      </c>
      <c r="G16" s="52">
        <v>0</v>
      </c>
      <c r="H16" s="52">
        <v>0</v>
      </c>
      <c r="I16" s="51">
        <v>-0.17863393698472663</v>
      </c>
      <c r="J16" s="51">
        <v>0</v>
      </c>
      <c r="K16" s="51">
        <v>0</v>
      </c>
      <c r="L16" s="51">
        <v>0</v>
      </c>
      <c r="M16" s="51">
        <v>0</v>
      </c>
      <c r="N16" s="51">
        <v>0</v>
      </c>
      <c r="O16" s="51">
        <v>0</v>
      </c>
      <c r="P16" s="51">
        <v>-2.7528810436104276</v>
      </c>
      <c r="Q16" s="51">
        <v>-10.634880233679986</v>
      </c>
      <c r="R16" s="51">
        <v>0</v>
      </c>
      <c r="S16" s="51">
        <v>0</v>
      </c>
      <c r="T16" s="52">
        <v>-13.566395214275143</v>
      </c>
      <c r="U16" s="165">
        <f t="shared" si="0"/>
        <v>-8.8155554803334327E-2</v>
      </c>
      <c r="V16" s="156" t="str">
        <f t="shared" si="1"/>
        <v>BUNKERS</v>
      </c>
      <c r="W16" s="160"/>
      <c r="X16" s="160"/>
    </row>
    <row r="17" spans="1:28" ht="12.75" customHeight="1">
      <c r="A17" s="156" t="s">
        <v>84</v>
      </c>
      <c r="B17" s="50">
        <v>0</v>
      </c>
      <c r="C17" s="51">
        <v>0</v>
      </c>
      <c r="D17" s="51">
        <v>0</v>
      </c>
      <c r="E17" s="52">
        <v>0</v>
      </c>
      <c r="F17" s="52">
        <v>14.425832916740028</v>
      </c>
      <c r="G17" s="52">
        <v>1.2339879614815143E-2</v>
      </c>
      <c r="H17" s="52">
        <v>0</v>
      </c>
      <c r="I17" s="51">
        <v>0.34377210107416961</v>
      </c>
      <c r="J17" s="51">
        <v>0</v>
      </c>
      <c r="K17" s="51">
        <v>48.294218461474998</v>
      </c>
      <c r="L17" s="51">
        <v>2.639946E-2</v>
      </c>
      <c r="M17" s="51">
        <v>0</v>
      </c>
      <c r="N17" s="51">
        <v>2.8379997599999998</v>
      </c>
      <c r="O17" s="51">
        <v>0</v>
      </c>
      <c r="P17" s="51">
        <v>87.53214794249493</v>
      </c>
      <c r="Q17" s="51">
        <v>0.42679922399999998</v>
      </c>
      <c r="R17" s="51">
        <v>0</v>
      </c>
      <c r="S17" s="51">
        <v>2.0990417278815166</v>
      </c>
      <c r="T17" s="52">
        <v>153.89155277328047</v>
      </c>
      <c r="U17" s="165">
        <f t="shared" si="0"/>
        <v>1</v>
      </c>
      <c r="V17" s="156" t="str">
        <f t="shared" si="1"/>
        <v>TOTTRANS</v>
      </c>
      <c r="W17" s="160"/>
      <c r="X17" s="160"/>
    </row>
    <row r="18" spans="1:28" s="16" customFormat="1" ht="12.75" customHeight="1">
      <c r="A18" s="152"/>
      <c r="B18" s="43" t="s">
        <v>92</v>
      </c>
      <c r="C18" s="43" t="s">
        <v>187</v>
      </c>
      <c r="D18" s="39" t="s">
        <v>196</v>
      </c>
      <c r="E18" s="39" t="s">
        <v>125</v>
      </c>
      <c r="F18" s="39" t="s">
        <v>49</v>
      </c>
      <c r="G18" s="39" t="s">
        <v>198</v>
      </c>
      <c r="H18" s="39" t="s">
        <v>199</v>
      </c>
      <c r="I18" s="43" t="s">
        <v>91</v>
      </c>
      <c r="J18" s="43" t="s">
        <v>334</v>
      </c>
      <c r="K18" s="43" t="s">
        <v>96</v>
      </c>
      <c r="L18" s="43" t="s">
        <v>131</v>
      </c>
      <c r="M18" s="43" t="s">
        <v>132</v>
      </c>
      <c r="N18" s="43" t="s">
        <v>133</v>
      </c>
      <c r="O18" s="43" t="s">
        <v>95</v>
      </c>
      <c r="P18" s="39" t="s">
        <v>94</v>
      </c>
      <c r="Q18" s="39" t="s">
        <v>93</v>
      </c>
      <c r="R18" s="43" t="s">
        <v>220</v>
      </c>
      <c r="S18" s="43" t="s">
        <v>60</v>
      </c>
      <c r="T18" s="155"/>
      <c r="U18" s="155"/>
      <c r="V18" s="155"/>
      <c r="W18" s="187"/>
      <c r="X18" s="187"/>
    </row>
    <row r="19" spans="1:28" s="16" customFormat="1" ht="12.75" customHeight="1">
      <c r="A19" s="152"/>
      <c r="B19" s="152"/>
      <c r="C19" s="152"/>
      <c r="D19" s="152"/>
      <c r="E19" s="152"/>
      <c r="F19" s="152"/>
      <c r="G19" s="152"/>
      <c r="H19" s="152"/>
      <c r="I19" s="152"/>
      <c r="J19" s="152"/>
      <c r="K19" s="152"/>
      <c r="L19" s="152"/>
      <c r="M19" s="152"/>
      <c r="N19" s="152"/>
      <c r="O19" s="152"/>
      <c r="P19" s="152"/>
      <c r="Q19" s="152"/>
      <c r="R19" s="152"/>
      <c r="S19" s="152"/>
      <c r="T19" s="155"/>
      <c r="U19" s="155"/>
      <c r="V19" s="155"/>
      <c r="W19" s="187"/>
      <c r="X19" s="187"/>
    </row>
    <row r="20" spans="1:28" s="16" customFormat="1" ht="18">
      <c r="A20" s="155"/>
      <c r="B20" s="100" t="s">
        <v>237</v>
      </c>
      <c r="C20" s="101"/>
      <c r="D20" s="101"/>
      <c r="E20" s="101"/>
      <c r="F20" s="101"/>
      <c r="G20" s="155"/>
      <c r="H20" s="155"/>
      <c r="I20" s="155"/>
      <c r="J20" s="155"/>
      <c r="K20" s="155"/>
      <c r="L20" s="155"/>
      <c r="M20" s="155"/>
      <c r="N20" s="155"/>
      <c r="O20" s="160"/>
      <c r="P20" s="160"/>
      <c r="Q20" s="160"/>
      <c r="R20" s="160"/>
      <c r="S20" s="160"/>
      <c r="T20" s="160"/>
      <c r="U20" s="160"/>
      <c r="V20" s="160"/>
      <c r="W20" s="160"/>
      <c r="X20" s="160"/>
    </row>
    <row r="21" spans="1:28" s="16" customFormat="1" ht="12.75" customHeight="1">
      <c r="A21" s="155" t="s">
        <v>65</v>
      </c>
      <c r="B21" s="26"/>
      <c r="C21" s="44" t="s">
        <v>97</v>
      </c>
      <c r="D21" s="44" t="s">
        <v>98</v>
      </c>
      <c r="E21" s="76" t="s">
        <v>160</v>
      </c>
      <c r="F21" s="44" t="s">
        <v>118</v>
      </c>
      <c r="G21" s="44" t="s">
        <v>85</v>
      </c>
      <c r="H21" s="44" t="s">
        <v>112</v>
      </c>
      <c r="I21" s="44" t="s">
        <v>113</v>
      </c>
      <c r="J21" s="45" t="s">
        <v>106</v>
      </c>
      <c r="K21" s="45" t="s">
        <v>57</v>
      </c>
      <c r="L21" s="44" t="s">
        <v>68</v>
      </c>
      <c r="M21" s="44" t="s">
        <v>62</v>
      </c>
      <c r="N21" s="44" t="s">
        <v>481</v>
      </c>
      <c r="O21" s="160"/>
      <c r="P21" s="160"/>
      <c r="Q21" s="160"/>
      <c r="R21" s="160"/>
      <c r="S21" s="160"/>
      <c r="T21" s="160"/>
      <c r="U21" s="160"/>
      <c r="V21" s="160"/>
      <c r="W21" s="160"/>
      <c r="X21" s="160"/>
      <c r="Y21"/>
      <c r="Z21"/>
      <c r="AA21"/>
      <c r="AB21"/>
    </row>
    <row r="22" spans="1:28" s="16" customFormat="1" ht="12.75" customHeight="1">
      <c r="A22" s="155"/>
      <c r="B22" s="40" t="s">
        <v>79</v>
      </c>
      <c r="C22" s="46">
        <f t="shared" ref="C22:C27" si="2">$B10+$C10</f>
        <v>0</v>
      </c>
      <c r="D22" s="46">
        <f>SUM($D10:$F10,$H10)</f>
        <v>0</v>
      </c>
      <c r="E22" s="46"/>
      <c r="F22" s="46">
        <f t="shared" ref="F22:F27" si="3">$G10+$I10</f>
        <v>0</v>
      </c>
      <c r="G22" s="46">
        <f t="shared" ref="G22:G27" si="4">$J10</f>
        <v>0</v>
      </c>
      <c r="H22" s="46">
        <f t="shared" ref="H22:H27" si="5">$K10</f>
        <v>0</v>
      </c>
      <c r="I22" s="46">
        <f t="shared" ref="I22:I27" si="6">$L10+$M10</f>
        <v>0</v>
      </c>
      <c r="J22" s="49">
        <f t="shared" ref="J22:J27" si="7">$N10+$O10</f>
        <v>2.8294000799999992</v>
      </c>
      <c r="K22" s="49">
        <f t="shared" ref="K22:K27" si="8">$P10</f>
        <v>0</v>
      </c>
      <c r="L22" s="46">
        <f t="shared" ref="L22:L27" si="9">$Q10+$R10</f>
        <v>0</v>
      </c>
      <c r="M22" s="46">
        <f t="shared" ref="M22:M27" si="10">$S10</f>
        <v>0</v>
      </c>
      <c r="N22" s="49">
        <v>0</v>
      </c>
      <c r="O22" s="160"/>
      <c r="P22" s="160"/>
      <c r="Q22" s="160"/>
      <c r="R22" s="160"/>
      <c r="S22" s="160"/>
      <c r="T22" s="160"/>
      <c r="U22" s="160"/>
      <c r="V22" s="160"/>
      <c r="W22" s="160"/>
      <c r="X22" s="160"/>
      <c r="Y22"/>
      <c r="Z22"/>
      <c r="AA22"/>
      <c r="AB22"/>
    </row>
    <row r="23" spans="1:28" s="16" customFormat="1" ht="12.75" customHeight="1">
      <c r="A23" s="155"/>
      <c r="B23" s="40" t="s">
        <v>80</v>
      </c>
      <c r="C23" s="46">
        <f t="shared" si="2"/>
        <v>0</v>
      </c>
      <c r="D23" s="46">
        <f>SUM($D11:$F11,$H11)</f>
        <v>0</v>
      </c>
      <c r="E23" s="46"/>
      <c r="F23" s="46">
        <f t="shared" si="3"/>
        <v>0</v>
      </c>
      <c r="G23" s="46">
        <f t="shared" si="4"/>
        <v>0</v>
      </c>
      <c r="H23" s="46">
        <f t="shared" si="5"/>
        <v>0</v>
      </c>
      <c r="I23" s="46">
        <f t="shared" si="6"/>
        <v>2.639946E-2</v>
      </c>
      <c r="J23" s="49">
        <f t="shared" si="7"/>
        <v>2.8379997599999998</v>
      </c>
      <c r="K23" s="49">
        <f t="shared" si="8"/>
        <v>0</v>
      </c>
      <c r="L23" s="46">
        <f t="shared" si="9"/>
        <v>0</v>
      </c>
      <c r="M23" s="46">
        <f t="shared" si="10"/>
        <v>0</v>
      </c>
      <c r="N23" s="49">
        <v>0</v>
      </c>
      <c r="O23" s="160"/>
      <c r="P23" s="160"/>
      <c r="Q23" s="160"/>
      <c r="R23" s="160"/>
      <c r="S23" s="160"/>
      <c r="T23" s="160"/>
      <c r="U23" s="160"/>
      <c r="V23" s="160"/>
      <c r="W23" s="160"/>
      <c r="X23" s="160"/>
      <c r="Y23" s="75"/>
      <c r="Z23" s="75"/>
      <c r="AA23" s="75"/>
      <c r="AB23" s="75"/>
    </row>
    <row r="24" spans="1:28" s="16" customFormat="1" ht="12.75" customHeight="1">
      <c r="A24" s="155"/>
      <c r="B24" s="40" t="s">
        <v>76</v>
      </c>
      <c r="C24" s="46">
        <f t="shared" si="2"/>
        <v>0</v>
      </c>
      <c r="D24" s="46">
        <f>SUM($D12:$F12,$H12)-N24</f>
        <v>5.1707704423752325</v>
      </c>
      <c r="E24" s="46"/>
      <c r="F24" s="46">
        <f t="shared" si="3"/>
        <v>0.17971378068898472</v>
      </c>
      <c r="G24" s="46">
        <f t="shared" si="4"/>
        <v>0</v>
      </c>
      <c r="H24" s="46">
        <f t="shared" si="5"/>
        <v>46.971137685474993</v>
      </c>
      <c r="I24" s="46">
        <f t="shared" si="6"/>
        <v>0</v>
      </c>
      <c r="J24" s="49">
        <f t="shared" si="7"/>
        <v>0</v>
      </c>
      <c r="K24" s="49">
        <f t="shared" si="8"/>
        <v>83.334344742494935</v>
      </c>
      <c r="L24" s="46">
        <f t="shared" si="9"/>
        <v>0</v>
      </c>
      <c r="M24" s="46">
        <f t="shared" si="10"/>
        <v>6.6918645458027892E-2</v>
      </c>
      <c r="N24" s="286">
        <f>F12/(1+K12/P12)</f>
        <v>9.17377751236479</v>
      </c>
      <c r="O24" s="160"/>
      <c r="P24" s="160"/>
      <c r="Q24" s="160"/>
      <c r="R24" s="160"/>
      <c r="S24" s="160"/>
      <c r="T24" s="160"/>
      <c r="U24" s="160"/>
      <c r="V24" s="160"/>
      <c r="W24" s="160"/>
      <c r="X24" s="160"/>
      <c r="Y24" s="75"/>
      <c r="Z24" s="75"/>
      <c r="AA24" s="75"/>
      <c r="AB24" s="75"/>
    </row>
    <row r="25" spans="1:28" s="16" customFormat="1" ht="12.75" customHeight="1">
      <c r="A25" s="155"/>
      <c r="B25" s="40" t="s">
        <v>81</v>
      </c>
      <c r="C25" s="46">
        <f t="shared" si="2"/>
        <v>0</v>
      </c>
      <c r="D25" s="46">
        <f>SUM($D13:$E13,$H13)</f>
        <v>0</v>
      </c>
      <c r="E25" s="46"/>
      <c r="F25" s="46">
        <f t="shared" si="3"/>
        <v>0</v>
      </c>
      <c r="G25" s="46">
        <f t="shared" si="4"/>
        <v>0</v>
      </c>
      <c r="H25" s="46">
        <f t="shared" si="5"/>
        <v>0</v>
      </c>
      <c r="I25" s="46">
        <f t="shared" si="6"/>
        <v>0</v>
      </c>
      <c r="J25" s="49">
        <f t="shared" si="7"/>
        <v>0</v>
      </c>
      <c r="K25" s="49">
        <f t="shared" si="8"/>
        <v>0.80940113999999996</v>
      </c>
      <c r="L25" s="46">
        <f t="shared" si="9"/>
        <v>0</v>
      </c>
      <c r="M25" s="46">
        <f t="shared" si="10"/>
        <v>2.0321271824234883</v>
      </c>
      <c r="N25" s="286">
        <f>F13</f>
        <v>0</v>
      </c>
      <c r="O25" s="160"/>
      <c r="P25" s="160"/>
      <c r="Q25" s="160"/>
      <c r="R25" s="160"/>
      <c r="S25" s="160"/>
      <c r="T25" s="160"/>
      <c r="U25" s="160"/>
      <c r="V25" s="160"/>
      <c r="W25" s="160"/>
      <c r="X25" s="160"/>
      <c r="Y25" s="75"/>
      <c r="Z25" s="75"/>
      <c r="AA25" s="75"/>
      <c r="AB25" s="75"/>
    </row>
    <row r="26" spans="1:28" s="16" customFormat="1" ht="12.75" customHeight="1">
      <c r="A26" s="155"/>
      <c r="B26" s="40" t="s">
        <v>82</v>
      </c>
      <c r="C26" s="46">
        <f t="shared" si="2"/>
        <v>0</v>
      </c>
      <c r="D26" s="46">
        <f>SUM($D14:$E14,$H14)</f>
        <v>0</v>
      </c>
      <c r="E26" s="46"/>
      <c r="F26" s="46">
        <f t="shared" si="3"/>
        <v>0</v>
      </c>
      <c r="G26" s="46">
        <f t="shared" si="4"/>
        <v>0</v>
      </c>
      <c r="H26" s="46">
        <f t="shared" si="5"/>
        <v>1.3230807759999998</v>
      </c>
      <c r="I26" s="46">
        <f t="shared" si="6"/>
        <v>0</v>
      </c>
      <c r="J26" s="49">
        <f t="shared" si="7"/>
        <v>0</v>
      </c>
      <c r="K26" s="49">
        <f t="shared" si="8"/>
        <v>3.3884020600000002</v>
      </c>
      <c r="L26" s="46">
        <f t="shared" si="9"/>
        <v>0.42679922399999998</v>
      </c>
      <c r="M26" s="46">
        <f t="shared" si="10"/>
        <v>0</v>
      </c>
      <c r="N26" s="286">
        <f>F14</f>
        <v>8.1280761999999993E-2</v>
      </c>
      <c r="O26" s="160"/>
      <c r="P26" s="160"/>
      <c r="Q26" s="160"/>
      <c r="R26" s="160"/>
      <c r="S26" s="160"/>
      <c r="T26" s="160"/>
      <c r="U26" s="160"/>
      <c r="V26" s="160"/>
      <c r="W26" s="160"/>
      <c r="X26" s="160"/>
      <c r="Y26" s="75"/>
      <c r="Z26" s="75"/>
      <c r="AA26" s="75"/>
      <c r="AB26" s="75"/>
    </row>
    <row r="27" spans="1:28" s="16" customFormat="1" ht="12.75" customHeight="1">
      <c r="A27" s="155"/>
      <c r="B27" s="40" t="s">
        <v>83</v>
      </c>
      <c r="C27" s="46">
        <f t="shared" si="2"/>
        <v>0</v>
      </c>
      <c r="D27" s="46">
        <f>SUM($D15:$F15,$H15)</f>
        <v>0</v>
      </c>
      <c r="E27" s="46"/>
      <c r="F27" s="46">
        <f t="shared" si="3"/>
        <v>0.12600169999999999</v>
      </c>
      <c r="G27" s="46">
        <f t="shared" si="4"/>
        <v>0</v>
      </c>
      <c r="H27" s="46">
        <f t="shared" si="5"/>
        <v>0</v>
      </c>
      <c r="I27" s="46">
        <f t="shared" si="6"/>
        <v>0</v>
      </c>
      <c r="J27" s="49">
        <f t="shared" si="7"/>
        <v>0</v>
      </c>
      <c r="K27" s="49">
        <f t="shared" si="8"/>
        <v>0</v>
      </c>
      <c r="L27" s="46">
        <f t="shared" si="9"/>
        <v>0</v>
      </c>
      <c r="M27" s="46">
        <f t="shared" si="10"/>
        <v>0</v>
      </c>
      <c r="N27" s="49">
        <v>0</v>
      </c>
      <c r="O27" s="160"/>
      <c r="P27" s="160"/>
      <c r="Q27" s="160"/>
      <c r="R27" s="160"/>
      <c r="S27" s="160"/>
      <c r="T27" s="160"/>
      <c r="U27" s="160"/>
      <c r="V27" s="160"/>
      <c r="W27" s="160"/>
      <c r="X27" s="160"/>
      <c r="Y27" s="75"/>
      <c r="Z27" s="75"/>
      <c r="AA27" s="75"/>
      <c r="AB27" s="75"/>
    </row>
    <row r="28" spans="1:28" s="16" customFormat="1" ht="12.75" customHeight="1">
      <c r="A28" s="155"/>
      <c r="B28" s="40" t="s">
        <v>126</v>
      </c>
      <c r="C28" s="46">
        <f>-($B16+$C16)</f>
        <v>0</v>
      </c>
      <c r="D28" s="46">
        <f>-SUM($D16:$F16,$H16)</f>
        <v>0</v>
      </c>
      <c r="E28" s="46"/>
      <c r="F28" s="46">
        <f>-($G16+$I16)</f>
        <v>0.17863393698472663</v>
      </c>
      <c r="G28" s="46">
        <f>-$J16</f>
        <v>0</v>
      </c>
      <c r="H28" s="46">
        <f>-$K16</f>
        <v>0</v>
      </c>
      <c r="I28" s="46">
        <f>-($L16+$M16)</f>
        <v>0</v>
      </c>
      <c r="J28" s="49">
        <f>-($N16+$O16)</f>
        <v>0</v>
      </c>
      <c r="K28" s="49">
        <f>-1*$P16</f>
        <v>2.7528810436104276</v>
      </c>
      <c r="L28" s="46">
        <f>-1*($Q16+$R16)</f>
        <v>10.634880233679986</v>
      </c>
      <c r="M28" s="46">
        <f>-$S16</f>
        <v>0</v>
      </c>
      <c r="N28" s="49">
        <v>0</v>
      </c>
      <c r="O28" s="160"/>
      <c r="P28" s="160"/>
      <c r="Q28" s="160"/>
      <c r="R28" s="160"/>
      <c r="S28" s="160"/>
      <c r="T28" s="160"/>
      <c r="U28" s="160"/>
      <c r="V28" s="160"/>
      <c r="W28" s="160"/>
      <c r="X28" s="160"/>
      <c r="Y28" s="75"/>
      <c r="Z28" s="75"/>
      <c r="AA28" s="75"/>
      <c r="AB28" s="75"/>
    </row>
    <row r="29" spans="1:28" s="16" customFormat="1" ht="12.75" customHeight="1">
      <c r="A29" s="155"/>
      <c r="B29" s="41" t="s">
        <v>84</v>
      </c>
      <c r="C29" s="46">
        <f t="shared" ref="C29:N29" si="11">SUM(C22:C28)</f>
        <v>0</v>
      </c>
      <c r="D29" s="46">
        <f t="shared" si="11"/>
        <v>5.1707704423752325</v>
      </c>
      <c r="E29" s="46">
        <f t="shared" si="11"/>
        <v>0</v>
      </c>
      <c r="F29" s="46">
        <f t="shared" si="11"/>
        <v>0.48434941767371131</v>
      </c>
      <c r="G29" s="46">
        <f t="shared" si="11"/>
        <v>0</v>
      </c>
      <c r="H29" s="46">
        <f t="shared" si="11"/>
        <v>48.294218461474991</v>
      </c>
      <c r="I29" s="46">
        <f t="shared" si="11"/>
        <v>2.639946E-2</v>
      </c>
      <c r="J29" s="46">
        <f t="shared" si="11"/>
        <v>5.667399839999999</v>
      </c>
      <c r="K29" s="46">
        <f t="shared" si="11"/>
        <v>90.285028986105374</v>
      </c>
      <c r="L29" s="46">
        <f t="shared" si="11"/>
        <v>11.061679457679986</v>
      </c>
      <c r="M29" s="46">
        <f t="shared" si="11"/>
        <v>2.0990458278815161</v>
      </c>
      <c r="N29" s="46">
        <f t="shared" si="11"/>
        <v>9.2550582743647904</v>
      </c>
      <c r="O29" s="233">
        <f>SUM(C29:N29)</f>
        <v>172.34395016755559</v>
      </c>
      <c r="P29" s="160"/>
      <c r="Q29" s="160"/>
      <c r="R29" s="160"/>
      <c r="S29" s="160"/>
      <c r="T29" s="160"/>
      <c r="U29" s="160"/>
      <c r="V29" s="160"/>
      <c r="W29" s="160"/>
      <c r="X29" s="160"/>
      <c r="Y29" s="75"/>
      <c r="Z29" s="75"/>
      <c r="AA29" s="75"/>
      <c r="AB29" s="75"/>
    </row>
    <row r="30" spans="1:28" s="16" customFormat="1" ht="12.75" customHeight="1">
      <c r="A30" s="155"/>
      <c r="B30" s="155"/>
      <c r="C30" s="155"/>
      <c r="D30" s="155"/>
      <c r="E30" s="155"/>
      <c r="F30" s="155"/>
      <c r="G30" s="155"/>
      <c r="H30" s="155"/>
      <c r="I30" s="155"/>
      <c r="J30" s="155"/>
      <c r="K30" s="155"/>
      <c r="L30" s="155"/>
      <c r="M30" s="155"/>
      <c r="N30" s="155"/>
      <c r="O30" s="160"/>
      <c r="P30" s="160"/>
      <c r="Q30" s="160"/>
      <c r="R30" s="160"/>
      <c r="S30" s="160"/>
      <c r="T30" s="160"/>
      <c r="U30" s="160"/>
      <c r="V30" s="160"/>
      <c r="W30" s="160"/>
      <c r="X30" s="160"/>
      <c r="Y30" s="75"/>
      <c r="Z30" s="75"/>
    </row>
    <row r="31" spans="1:28" s="16" customFormat="1" ht="18">
      <c r="A31" s="155"/>
      <c r="B31" s="106" t="s">
        <v>273</v>
      </c>
      <c r="C31" s="107"/>
      <c r="D31" s="107"/>
      <c r="E31" s="107"/>
      <c r="F31" s="107"/>
      <c r="G31" s="107"/>
      <c r="H31" s="107"/>
      <c r="I31" s="107"/>
      <c r="J31" s="107"/>
      <c r="K31" s="185"/>
      <c r="L31" s="155"/>
      <c r="M31" s="155"/>
      <c r="N31" s="166"/>
      <c r="O31" s="160"/>
      <c r="P31" s="160"/>
      <c r="Q31" s="160"/>
      <c r="R31" s="160"/>
      <c r="S31" s="160"/>
      <c r="T31" s="160"/>
      <c r="U31" s="160"/>
      <c r="V31" s="160"/>
      <c r="W31" s="160"/>
      <c r="X31" s="160"/>
    </row>
    <row r="32" spans="1:28" ht="12.75" customHeight="1">
      <c r="A32" s="155"/>
      <c r="B32" s="195"/>
      <c r="C32" s="195" t="s">
        <v>97</v>
      </c>
      <c r="D32" s="195" t="s">
        <v>98</v>
      </c>
      <c r="E32" s="196"/>
      <c r="F32" s="195" t="s">
        <v>118</v>
      </c>
      <c r="G32" s="195" t="s">
        <v>85</v>
      </c>
      <c r="H32" s="195" t="s">
        <v>112</v>
      </c>
      <c r="I32" s="195" t="s">
        <v>113</v>
      </c>
      <c r="J32" s="195" t="s">
        <v>106</v>
      </c>
      <c r="K32" s="195" t="s">
        <v>57</v>
      </c>
      <c r="L32" s="195" t="s">
        <v>68</v>
      </c>
      <c r="M32" s="195" t="s">
        <v>62</v>
      </c>
      <c r="N32" s="166"/>
      <c r="O32" s="160"/>
      <c r="P32" s="160"/>
      <c r="Q32" s="160"/>
      <c r="R32" s="160"/>
      <c r="S32" s="160"/>
      <c r="T32" s="160"/>
      <c r="U32" s="160"/>
      <c r="V32" s="160"/>
      <c r="W32" s="160"/>
      <c r="X32" s="160"/>
    </row>
    <row r="33" spans="1:25" ht="12.75" customHeight="1">
      <c r="A33" s="155"/>
      <c r="B33" s="197" t="s">
        <v>79</v>
      </c>
      <c r="C33" s="198" t="s">
        <v>65</v>
      </c>
      <c r="D33" s="198" t="s">
        <v>65</v>
      </c>
      <c r="E33" s="196"/>
      <c r="F33" s="198" t="s">
        <v>65</v>
      </c>
      <c r="G33" s="198" t="s">
        <v>65</v>
      </c>
      <c r="H33" s="198" t="s">
        <v>65</v>
      </c>
      <c r="I33" s="198" t="s">
        <v>65</v>
      </c>
      <c r="J33" s="198">
        <v>0.53</v>
      </c>
      <c r="K33" s="198" t="s">
        <v>65</v>
      </c>
      <c r="L33" s="198" t="s">
        <v>65</v>
      </c>
      <c r="M33" s="198">
        <v>0</v>
      </c>
      <c r="N33" s="166"/>
      <c r="O33" s="160"/>
      <c r="P33" s="160"/>
      <c r="Q33" s="160"/>
      <c r="R33" s="160"/>
      <c r="S33" s="160"/>
      <c r="T33" s="160"/>
      <c r="U33" s="160"/>
      <c r="V33" s="160"/>
      <c r="W33" s="160"/>
      <c r="X33" s="160"/>
    </row>
    <row r="34" spans="1:25" ht="12.75" customHeight="1">
      <c r="A34" s="155"/>
      <c r="B34" s="197" t="s">
        <v>80</v>
      </c>
      <c r="C34" s="198" t="s">
        <v>65</v>
      </c>
      <c r="D34" s="198" t="s">
        <v>65</v>
      </c>
      <c r="E34" s="196"/>
      <c r="F34" s="198" t="s">
        <v>65</v>
      </c>
      <c r="G34" s="198" t="s">
        <v>65</v>
      </c>
      <c r="H34" s="198" t="s">
        <v>65</v>
      </c>
      <c r="I34" s="198" t="s">
        <v>65</v>
      </c>
      <c r="J34" s="198">
        <v>0.47</v>
      </c>
      <c r="K34" s="198" t="s">
        <v>65</v>
      </c>
      <c r="L34" s="198" t="s">
        <v>65</v>
      </c>
      <c r="M34" s="198">
        <v>0</v>
      </c>
      <c r="N34" s="166"/>
      <c r="O34" s="160"/>
      <c r="P34" s="160"/>
      <c r="Q34" s="160"/>
      <c r="R34" s="160"/>
      <c r="S34" s="160"/>
      <c r="T34" s="160"/>
      <c r="U34" s="160"/>
      <c r="V34" s="160"/>
      <c r="W34" s="160"/>
      <c r="X34" s="160"/>
    </row>
    <row r="35" spans="1:25" ht="12.75" customHeight="1">
      <c r="A35" s="155"/>
      <c r="B35" s="197" t="s">
        <v>76</v>
      </c>
      <c r="C35" s="198" t="s">
        <v>65</v>
      </c>
      <c r="D35" s="198">
        <v>1</v>
      </c>
      <c r="E35" s="196"/>
      <c r="F35" s="198">
        <v>1</v>
      </c>
      <c r="G35" s="198">
        <v>1</v>
      </c>
      <c r="H35" s="198">
        <v>0.99</v>
      </c>
      <c r="I35" s="198" t="s">
        <v>65</v>
      </c>
      <c r="J35" s="199" t="s">
        <v>65</v>
      </c>
      <c r="K35" s="198" t="s">
        <v>65</v>
      </c>
      <c r="L35" s="198" t="s">
        <v>65</v>
      </c>
      <c r="M35" s="198">
        <v>0</v>
      </c>
      <c r="N35" s="166"/>
      <c r="O35" s="160"/>
      <c r="P35" s="160"/>
      <c r="Q35" s="160"/>
      <c r="R35" s="160"/>
      <c r="S35" s="160"/>
      <c r="T35" s="160"/>
      <c r="U35" s="160"/>
      <c r="V35" s="160"/>
      <c r="W35" s="160"/>
      <c r="X35" s="160"/>
    </row>
    <row r="36" spans="1:25" ht="12.75" customHeight="1">
      <c r="A36" s="155"/>
      <c r="B36" s="197" t="s">
        <v>81</v>
      </c>
      <c r="C36" s="198">
        <v>1</v>
      </c>
      <c r="D36" s="198" t="s">
        <v>171</v>
      </c>
      <c r="E36" s="196"/>
      <c r="F36" s="198" t="s">
        <v>65</v>
      </c>
      <c r="G36" s="198" t="s">
        <v>65</v>
      </c>
      <c r="H36" s="198" t="s">
        <v>65</v>
      </c>
      <c r="I36" s="198" t="s">
        <v>65</v>
      </c>
      <c r="J36" s="199" t="s">
        <v>65</v>
      </c>
      <c r="K36" s="198">
        <v>0.35610818176432246</v>
      </c>
      <c r="L36" s="198" t="s">
        <v>65</v>
      </c>
      <c r="M36" s="198">
        <v>1</v>
      </c>
      <c r="N36" s="166"/>
      <c r="O36" s="160"/>
      <c r="P36" s="160"/>
      <c r="Q36" s="160"/>
      <c r="R36" s="160"/>
      <c r="S36" s="160"/>
      <c r="T36" s="160"/>
      <c r="U36" s="160"/>
      <c r="V36" s="160"/>
      <c r="W36" s="160"/>
      <c r="X36" s="160"/>
    </row>
    <row r="37" spans="1:25" ht="12.75" customHeight="1">
      <c r="A37" s="155"/>
      <c r="B37" s="197" t="s">
        <v>82</v>
      </c>
      <c r="C37" s="198" t="s">
        <v>65</v>
      </c>
      <c r="D37" s="198" t="s">
        <v>65</v>
      </c>
      <c r="E37" s="196"/>
      <c r="F37" s="198" t="s">
        <v>65</v>
      </c>
      <c r="G37" s="198" t="s">
        <v>65</v>
      </c>
      <c r="H37" s="198">
        <v>0.01</v>
      </c>
      <c r="I37" s="198" t="s">
        <v>65</v>
      </c>
      <c r="J37" s="199" t="s">
        <v>65</v>
      </c>
      <c r="K37" s="198">
        <v>0.21313466437585163</v>
      </c>
      <c r="L37" s="198">
        <v>0.11</v>
      </c>
      <c r="M37" s="198">
        <v>0</v>
      </c>
      <c r="N37" s="166"/>
      <c r="O37" s="160"/>
      <c r="P37" s="160"/>
      <c r="Q37" s="160"/>
      <c r="R37" s="160"/>
      <c r="S37" s="160"/>
      <c r="T37" s="160"/>
      <c r="U37" s="160"/>
      <c r="V37" s="160"/>
      <c r="W37" s="160"/>
      <c r="X37" s="160"/>
    </row>
    <row r="38" spans="1:25" ht="12.75" customHeight="1">
      <c r="A38" s="155"/>
      <c r="B38" s="197" t="s">
        <v>83</v>
      </c>
      <c r="C38" s="198" t="s">
        <v>65</v>
      </c>
      <c r="D38" s="198" t="s">
        <v>65</v>
      </c>
      <c r="E38" s="196"/>
      <c r="F38" s="198" t="s">
        <v>65</v>
      </c>
      <c r="G38" s="198" t="s">
        <v>65</v>
      </c>
      <c r="H38" s="198" t="s">
        <v>65</v>
      </c>
      <c r="I38" s="198" t="s">
        <v>65</v>
      </c>
      <c r="J38" s="199" t="s">
        <v>65</v>
      </c>
      <c r="K38" s="198" t="s">
        <v>65</v>
      </c>
      <c r="L38" s="198" t="s">
        <v>65</v>
      </c>
      <c r="M38" s="198">
        <v>0</v>
      </c>
      <c r="N38" s="166"/>
      <c r="O38" s="160"/>
      <c r="P38" s="160"/>
      <c r="Q38" s="160"/>
      <c r="R38" s="160"/>
      <c r="S38" s="160"/>
      <c r="T38" s="160"/>
      <c r="U38" s="160"/>
      <c r="V38" s="160"/>
      <c r="W38" s="160"/>
      <c r="X38" s="160"/>
    </row>
    <row r="39" spans="1:25" ht="12.75" customHeight="1">
      <c r="A39" s="155"/>
      <c r="B39" s="197" t="s">
        <v>126</v>
      </c>
      <c r="C39" s="198" t="s">
        <v>65</v>
      </c>
      <c r="D39" s="198" t="s">
        <v>65</v>
      </c>
      <c r="E39" s="196"/>
      <c r="F39" s="198" t="s">
        <v>65</v>
      </c>
      <c r="G39" s="198" t="s">
        <v>65</v>
      </c>
      <c r="H39" s="198" t="s">
        <v>65</v>
      </c>
      <c r="I39" s="198" t="s">
        <v>65</v>
      </c>
      <c r="J39" s="199" t="s">
        <v>65</v>
      </c>
      <c r="K39" s="198">
        <v>0.43075715385982577</v>
      </c>
      <c r="L39" s="198">
        <v>0.89</v>
      </c>
      <c r="M39" s="198">
        <v>0</v>
      </c>
      <c r="N39" s="166"/>
      <c r="O39" s="160"/>
      <c r="P39" s="160"/>
      <c r="Q39" s="160"/>
      <c r="R39" s="160"/>
      <c r="S39" s="160"/>
      <c r="T39" s="160"/>
      <c r="U39" s="160"/>
      <c r="V39" s="160"/>
      <c r="W39" s="160"/>
      <c r="X39" s="160"/>
    </row>
    <row r="40" spans="1:25" ht="12.75" customHeight="1">
      <c r="A40" s="157"/>
      <c r="B40" s="166"/>
      <c r="C40" s="166"/>
      <c r="D40" s="166"/>
      <c r="E40" s="155"/>
      <c r="F40" s="166"/>
      <c r="G40" s="166"/>
      <c r="H40" s="166"/>
      <c r="I40" s="166"/>
      <c r="J40" s="186"/>
      <c r="K40" s="166"/>
      <c r="L40" s="166"/>
      <c r="M40" s="166"/>
      <c r="N40" s="166"/>
      <c r="O40" s="160"/>
      <c r="P40" s="160"/>
      <c r="Q40" s="160"/>
      <c r="R40" s="160"/>
      <c r="S40" s="160"/>
      <c r="T40" s="160"/>
      <c r="U40" s="160"/>
      <c r="V40" s="160"/>
      <c r="W40" s="160"/>
      <c r="X40" s="160"/>
    </row>
    <row r="41" spans="1:25" ht="18">
      <c r="A41" s="157"/>
      <c r="B41" s="106" t="s">
        <v>274</v>
      </c>
      <c r="C41" s="108"/>
      <c r="D41" s="108"/>
      <c r="E41" s="108"/>
      <c r="F41" s="108"/>
      <c r="G41" s="108"/>
      <c r="H41" s="108"/>
      <c r="I41" s="108"/>
      <c r="J41" s="155"/>
      <c r="K41" s="155"/>
      <c r="L41" s="155"/>
      <c r="M41" s="166"/>
      <c r="N41" s="166"/>
      <c r="O41" s="160"/>
      <c r="P41" s="160"/>
      <c r="Q41" s="160"/>
      <c r="R41" s="160"/>
      <c r="S41" s="160"/>
      <c r="T41" s="160"/>
      <c r="U41" s="160"/>
      <c r="V41" s="160"/>
      <c r="W41" s="160"/>
      <c r="X41" s="160"/>
    </row>
    <row r="42" spans="1:25" ht="12.75" customHeight="1">
      <c r="A42" s="155"/>
      <c r="B42" s="26"/>
      <c r="C42" s="44" t="s">
        <v>97</v>
      </c>
      <c r="D42" s="44" t="s">
        <v>98</v>
      </c>
      <c r="E42" s="76" t="s">
        <v>160</v>
      </c>
      <c r="F42" s="44" t="s">
        <v>118</v>
      </c>
      <c r="G42" s="44" t="s">
        <v>85</v>
      </c>
      <c r="H42" s="44" t="s">
        <v>112</v>
      </c>
      <c r="I42" s="44" t="s">
        <v>113</v>
      </c>
      <c r="J42" s="45" t="s">
        <v>106</v>
      </c>
      <c r="K42" s="45" t="s">
        <v>57</v>
      </c>
      <c r="L42" s="44" t="s">
        <v>68</v>
      </c>
      <c r="M42" s="44" t="s">
        <v>62</v>
      </c>
      <c r="N42" s="166"/>
      <c r="O42" s="160"/>
      <c r="P42" s="160"/>
      <c r="Q42" s="160"/>
      <c r="R42" s="160"/>
      <c r="S42" s="160"/>
      <c r="T42" s="160"/>
      <c r="U42" s="160"/>
      <c r="V42" s="160"/>
      <c r="W42" s="160"/>
      <c r="X42" s="160"/>
      <c r="Y42" s="75"/>
    </row>
    <row r="43" spans="1:25" ht="12.75" customHeight="1">
      <c r="A43" s="155"/>
      <c r="B43" s="40" t="str">
        <f>A10</f>
        <v>INTLAIR</v>
      </c>
      <c r="C43" s="46">
        <f t="shared" ref="C43:G44" si="12">C22</f>
        <v>0</v>
      </c>
      <c r="D43" s="46">
        <f t="shared" si="12"/>
        <v>0</v>
      </c>
      <c r="E43" s="46">
        <f t="shared" si="12"/>
        <v>0</v>
      </c>
      <c r="F43" s="46">
        <f t="shared" si="12"/>
        <v>0</v>
      </c>
      <c r="G43" s="46">
        <f t="shared" si="12"/>
        <v>0</v>
      </c>
      <c r="H43" s="46"/>
      <c r="I43" s="46">
        <f>SUM(H22:I22)</f>
        <v>0</v>
      </c>
      <c r="J43" s="46">
        <f>J22+SUM(J25:J28)*J33</f>
        <v>2.8294000799999992</v>
      </c>
      <c r="K43" s="46">
        <f t="shared" ref="K43:M44" si="13">K22</f>
        <v>0</v>
      </c>
      <c r="L43" s="46">
        <f t="shared" si="13"/>
        <v>0</v>
      </c>
      <c r="M43" s="46">
        <f t="shared" si="13"/>
        <v>0</v>
      </c>
      <c r="N43" s="166"/>
      <c r="O43" s="160"/>
      <c r="P43" s="160"/>
      <c r="Q43" s="160"/>
      <c r="R43" s="160"/>
      <c r="S43" s="160"/>
      <c r="T43" s="160"/>
      <c r="U43" s="160"/>
      <c r="V43" s="160"/>
      <c r="W43" s="160"/>
      <c r="X43" s="160"/>
      <c r="Y43" s="75"/>
    </row>
    <row r="44" spans="1:25" ht="12.75" customHeight="1">
      <c r="A44" s="155"/>
      <c r="B44" s="40" t="str">
        <f>A11</f>
        <v>DOMESAIR</v>
      </c>
      <c r="C44" s="46">
        <f t="shared" si="12"/>
        <v>0</v>
      </c>
      <c r="D44" s="46">
        <f t="shared" si="12"/>
        <v>0</v>
      </c>
      <c r="E44" s="46">
        <f t="shared" si="12"/>
        <v>0</v>
      </c>
      <c r="F44" s="46">
        <f t="shared" si="12"/>
        <v>0</v>
      </c>
      <c r="G44" s="46">
        <f t="shared" si="12"/>
        <v>0</v>
      </c>
      <c r="H44" s="46"/>
      <c r="I44" s="46">
        <f>SUM(H23:I23)</f>
        <v>2.639946E-2</v>
      </c>
      <c r="J44" s="46">
        <f>J23+J24+SUM(J25:J28)*J34</f>
        <v>2.8379997599999998</v>
      </c>
      <c r="K44" s="46">
        <f t="shared" si="13"/>
        <v>0</v>
      </c>
      <c r="L44" s="46">
        <f t="shared" si="13"/>
        <v>0</v>
      </c>
      <c r="M44" s="46">
        <f t="shared" si="13"/>
        <v>0</v>
      </c>
      <c r="N44" s="166"/>
      <c r="O44" s="160"/>
      <c r="P44" s="160"/>
      <c r="Q44" s="160"/>
      <c r="R44" s="160"/>
      <c r="S44" s="160"/>
      <c r="T44" s="160"/>
      <c r="U44" s="160"/>
      <c r="V44" s="160"/>
      <c r="W44" s="160"/>
      <c r="X44" s="160"/>
      <c r="Y44" s="75"/>
    </row>
    <row r="45" spans="1:25" ht="12.75" customHeight="1">
      <c r="A45" s="155"/>
      <c r="B45" s="40" t="str">
        <f>A12</f>
        <v>ROAD</v>
      </c>
      <c r="C45" s="46">
        <f>C24</f>
        <v>0</v>
      </c>
      <c r="D45" s="46">
        <f>D24+D48*D35</f>
        <v>5.1707704423752325</v>
      </c>
      <c r="E45" s="46">
        <f>E24</f>
        <v>0</v>
      </c>
      <c r="F45" s="46">
        <f>F24+F48*F35</f>
        <v>0.30571548068898469</v>
      </c>
      <c r="G45" s="46">
        <f>G24+G48*G35</f>
        <v>0</v>
      </c>
      <c r="H45" s="46">
        <f>H24+H27*H35+H25</f>
        <v>46.971137685474993</v>
      </c>
      <c r="I45" s="46">
        <f>I24</f>
        <v>0</v>
      </c>
      <c r="J45" s="46"/>
      <c r="K45" s="46">
        <f>K24+N24</f>
        <v>92.508122254859728</v>
      </c>
      <c r="L45" s="46"/>
      <c r="M45" s="46">
        <f>M24</f>
        <v>6.6918645458027892E-2</v>
      </c>
      <c r="N45" s="166"/>
      <c r="O45" s="160"/>
      <c r="P45" s="160"/>
      <c r="Q45" s="160"/>
      <c r="R45" s="160"/>
      <c r="S45" s="160"/>
      <c r="T45" s="160"/>
      <c r="U45" s="160"/>
      <c r="V45" s="160"/>
      <c r="W45" s="160"/>
      <c r="X45" s="160"/>
      <c r="Y45" s="75"/>
    </row>
    <row r="46" spans="1:25" ht="12.75" customHeight="1">
      <c r="A46" s="155"/>
      <c r="B46" s="40" t="str">
        <f>A13</f>
        <v>RAIL</v>
      </c>
      <c r="C46" s="46">
        <f>C25+C48*C36</f>
        <v>0</v>
      </c>
      <c r="D46" s="46">
        <f>D25</f>
        <v>0</v>
      </c>
      <c r="E46" s="46">
        <f>E25</f>
        <v>0</v>
      </c>
      <c r="F46" s="46">
        <f t="shared" ref="F46:G49" si="14">F25</f>
        <v>0</v>
      </c>
      <c r="G46" s="46">
        <f t="shared" si="14"/>
        <v>0</v>
      </c>
      <c r="H46" s="46"/>
      <c r="I46" s="46">
        <f>I25</f>
        <v>0</v>
      </c>
      <c r="J46" s="46"/>
      <c r="K46" s="46">
        <f>K25+K48*K36+N25</f>
        <v>0.80940113999999996</v>
      </c>
      <c r="L46" s="46">
        <f>L25</f>
        <v>0</v>
      </c>
      <c r="M46" s="46">
        <f>M25+M48*M36</f>
        <v>2.0321271824234883</v>
      </c>
      <c r="N46" s="166"/>
      <c r="O46" s="160"/>
      <c r="P46" s="160"/>
      <c r="Q46" s="160"/>
      <c r="R46" s="160"/>
      <c r="S46" s="160"/>
      <c r="T46" s="160"/>
      <c r="U46" s="160"/>
      <c r="V46" s="160"/>
      <c r="W46" s="160"/>
      <c r="X46" s="160"/>
      <c r="Y46" s="75"/>
    </row>
    <row r="47" spans="1:25" ht="12.75" customHeight="1">
      <c r="A47" s="155"/>
      <c r="B47" s="40" t="str">
        <f>A14</f>
        <v>DOMESNAV</v>
      </c>
      <c r="C47" s="46">
        <f>C26</f>
        <v>0</v>
      </c>
      <c r="D47" s="46">
        <f>D26</f>
        <v>0</v>
      </c>
      <c r="E47" s="46">
        <f>E26</f>
        <v>0</v>
      </c>
      <c r="F47" s="46">
        <f t="shared" si="14"/>
        <v>0</v>
      </c>
      <c r="G47" s="46">
        <f t="shared" si="14"/>
        <v>0</v>
      </c>
      <c r="H47" s="46">
        <f>H26+H48*H37</f>
        <v>1.3230807759999998</v>
      </c>
      <c r="I47" s="46">
        <f>I26</f>
        <v>0</v>
      </c>
      <c r="J47" s="46"/>
      <c r="K47" s="46">
        <f>K26+K48*K37+N26</f>
        <v>3.4696828220000002</v>
      </c>
      <c r="L47" s="46">
        <f>L26+L24+(L48*L37)</f>
        <v>0.42679922399999998</v>
      </c>
      <c r="M47" s="46">
        <f>M26</f>
        <v>0</v>
      </c>
      <c r="N47" s="166"/>
      <c r="O47" s="160"/>
      <c r="P47" s="160"/>
      <c r="Q47" s="160"/>
      <c r="R47" s="160"/>
      <c r="S47" s="160"/>
      <c r="T47" s="160"/>
      <c r="U47" s="160"/>
      <c r="V47" s="160"/>
      <c r="W47" s="160"/>
      <c r="X47" s="160"/>
      <c r="Y47" s="75"/>
    </row>
    <row r="48" spans="1:25" ht="12.75" customHeight="1">
      <c r="A48" s="155"/>
      <c r="B48" s="152" t="s">
        <v>83</v>
      </c>
      <c r="C48" s="153">
        <f>C27</f>
        <v>0</v>
      </c>
      <c r="D48" s="153">
        <f>D27</f>
        <v>0</v>
      </c>
      <c r="E48" s="153">
        <f>E27</f>
        <v>0</v>
      </c>
      <c r="F48" s="153">
        <f t="shared" si="14"/>
        <v>0.12600169999999999</v>
      </c>
      <c r="G48" s="153">
        <f t="shared" si="14"/>
        <v>0</v>
      </c>
      <c r="H48" s="153">
        <f>H27</f>
        <v>0</v>
      </c>
      <c r="I48" s="153">
        <f>I27</f>
        <v>0</v>
      </c>
      <c r="J48" s="153"/>
      <c r="K48" s="153">
        <f>K27</f>
        <v>0</v>
      </c>
      <c r="L48" s="153">
        <f>L27</f>
        <v>0</v>
      </c>
      <c r="M48" s="153">
        <f>M27</f>
        <v>0</v>
      </c>
      <c r="N48" s="166"/>
      <c r="O48" s="160"/>
      <c r="P48" s="160"/>
      <c r="Q48" s="160"/>
      <c r="R48" s="160"/>
      <c r="S48" s="160"/>
      <c r="T48" s="160"/>
      <c r="U48" s="160"/>
      <c r="V48" s="160"/>
      <c r="W48" s="160"/>
      <c r="X48" s="160"/>
      <c r="Y48" s="75"/>
    </row>
    <row r="49" spans="1:25" ht="12.75" customHeight="1">
      <c r="A49" s="155"/>
      <c r="B49" s="41" t="s">
        <v>126</v>
      </c>
      <c r="C49" s="46">
        <f>C28</f>
        <v>0</v>
      </c>
      <c r="D49" s="46">
        <f>D28</f>
        <v>0</v>
      </c>
      <c r="E49" s="46">
        <f>E28</f>
        <v>0</v>
      </c>
      <c r="F49" s="46">
        <f t="shared" si="14"/>
        <v>0.17863393698472663</v>
      </c>
      <c r="G49" s="46">
        <f t="shared" si="14"/>
        <v>0</v>
      </c>
      <c r="H49" s="46">
        <f>H28</f>
        <v>0</v>
      </c>
      <c r="I49" s="46">
        <f>I28</f>
        <v>0</v>
      </c>
      <c r="J49" s="46"/>
      <c r="K49" s="46">
        <f>K28+K48*K39</f>
        <v>2.7528810436104276</v>
      </c>
      <c r="L49" s="46">
        <f>L28+L48*L39</f>
        <v>10.634880233679986</v>
      </c>
      <c r="M49" s="46">
        <f>M28</f>
        <v>0</v>
      </c>
      <c r="N49" s="166"/>
      <c r="O49" s="160"/>
      <c r="P49" s="160"/>
      <c r="Q49" s="160"/>
      <c r="R49" s="160"/>
      <c r="S49" s="160"/>
      <c r="T49" s="160"/>
      <c r="U49" s="160"/>
      <c r="V49" s="160"/>
      <c r="W49" s="160"/>
      <c r="X49" s="160"/>
      <c r="Y49" s="75"/>
    </row>
    <row r="50" spans="1:25" ht="12.75" customHeight="1">
      <c r="A50" s="155"/>
      <c r="B50" s="41" t="s">
        <v>84</v>
      </c>
      <c r="C50" s="46">
        <f t="shared" ref="C50:M50" si="15">SUM(C43:C49)-C48</f>
        <v>0</v>
      </c>
      <c r="D50" s="46">
        <f t="shared" si="15"/>
        <v>5.1707704423752325</v>
      </c>
      <c r="E50" s="46">
        <f t="shared" si="15"/>
        <v>0</v>
      </c>
      <c r="F50" s="46">
        <f t="shared" si="15"/>
        <v>0.48434941767371131</v>
      </c>
      <c r="G50" s="46">
        <f t="shared" si="15"/>
        <v>0</v>
      </c>
      <c r="H50" s="46">
        <f t="shared" si="15"/>
        <v>48.294218461474991</v>
      </c>
      <c r="I50" s="46">
        <f t="shared" si="15"/>
        <v>2.639946E-2</v>
      </c>
      <c r="J50" s="46">
        <f t="shared" si="15"/>
        <v>5.667399839999999</v>
      </c>
      <c r="K50" s="46">
        <f t="shared" si="15"/>
        <v>99.540087260470159</v>
      </c>
      <c r="L50" s="46">
        <f t="shared" si="15"/>
        <v>11.061679457679986</v>
      </c>
      <c r="M50" s="46">
        <f t="shared" si="15"/>
        <v>2.0990458278815161</v>
      </c>
      <c r="N50" s="233">
        <f>SUM(C50:M50)</f>
        <v>172.34395016755559</v>
      </c>
      <c r="O50" s="160"/>
      <c r="P50" s="160"/>
      <c r="Q50" s="160"/>
      <c r="R50" s="160"/>
      <c r="S50" s="160"/>
      <c r="T50" s="160"/>
      <c r="U50" s="160"/>
      <c r="V50" s="160"/>
      <c r="W50" s="160"/>
      <c r="X50" s="160"/>
      <c r="Y50" s="75"/>
    </row>
    <row r="51" spans="1:25" ht="12.75" customHeight="1">
      <c r="A51" s="155"/>
      <c r="B51" s="41"/>
      <c r="C51" s="39" t="s">
        <v>102</v>
      </c>
      <c r="D51" s="39" t="s">
        <v>105</v>
      </c>
      <c r="E51" s="39" t="s">
        <v>162</v>
      </c>
      <c r="F51" s="39" t="s">
        <v>100</v>
      </c>
      <c r="G51" s="39" t="s">
        <v>101</v>
      </c>
      <c r="H51" s="39" t="s">
        <v>172</v>
      </c>
      <c r="I51" s="39" t="s">
        <v>130</v>
      </c>
      <c r="J51" s="39" t="s">
        <v>135</v>
      </c>
      <c r="K51" s="39" t="s">
        <v>104</v>
      </c>
      <c r="L51" s="39" t="s">
        <v>103</v>
      </c>
      <c r="M51" s="39" t="s">
        <v>99</v>
      </c>
      <c r="N51" s="166"/>
      <c r="O51" s="160"/>
      <c r="P51" s="160"/>
      <c r="Q51" s="160"/>
      <c r="R51" s="160"/>
      <c r="S51" s="160"/>
      <c r="T51" s="160"/>
      <c r="U51" s="160"/>
      <c r="V51" s="160"/>
      <c r="W51" s="160"/>
      <c r="X51" s="160"/>
      <c r="Y51" s="75"/>
    </row>
    <row r="52" spans="1:25" ht="12.75" customHeight="1">
      <c r="A52" s="155"/>
      <c r="B52" s="155"/>
      <c r="C52" s="155"/>
      <c r="D52" s="155"/>
      <c r="E52" s="155"/>
      <c r="F52" s="155"/>
      <c r="G52" s="155"/>
      <c r="H52" s="155"/>
      <c r="I52" s="184" t="s">
        <v>65</v>
      </c>
      <c r="J52" s="155"/>
      <c r="K52" s="155"/>
      <c r="L52" s="166"/>
      <c r="M52" s="166"/>
      <c r="N52" s="166"/>
      <c r="O52" s="160"/>
      <c r="P52" s="160"/>
      <c r="Q52" s="160"/>
      <c r="R52" s="160"/>
      <c r="S52" s="160"/>
      <c r="T52" s="160"/>
      <c r="U52" s="160"/>
      <c r="V52" s="160"/>
      <c r="W52" s="160"/>
      <c r="X52" s="160"/>
    </row>
    <row r="53" spans="1:25" s="16" customFormat="1" ht="18">
      <c r="A53" s="155"/>
      <c r="B53" s="100" t="s">
        <v>275</v>
      </c>
      <c r="C53" s="101"/>
      <c r="D53" s="101"/>
      <c r="E53" s="101"/>
      <c r="F53" s="101"/>
      <c r="G53" s="105"/>
      <c r="H53" s="155"/>
      <c r="I53" s="155"/>
      <c r="J53" s="155"/>
      <c r="K53" s="155"/>
      <c r="L53" s="155"/>
      <c r="M53" s="155"/>
      <c r="N53" s="155"/>
      <c r="O53" s="160"/>
      <c r="P53" s="160"/>
      <c r="Q53" s="160"/>
      <c r="R53" s="160"/>
      <c r="S53" s="160"/>
      <c r="T53" s="160"/>
      <c r="U53" s="160"/>
      <c r="V53" s="160"/>
      <c r="W53" s="160"/>
      <c r="X53" s="160"/>
    </row>
    <row r="54" spans="1:25" ht="12.75" customHeight="1">
      <c r="A54" s="155" t="s">
        <v>111</v>
      </c>
      <c r="B54" s="155"/>
      <c r="C54" s="155"/>
      <c r="D54" s="72" t="s">
        <v>162</v>
      </c>
      <c r="E54" s="72" t="s">
        <v>163</v>
      </c>
      <c r="F54" s="155"/>
      <c r="G54" s="155"/>
      <c r="H54" s="155"/>
      <c r="I54" s="155"/>
      <c r="J54" s="155"/>
      <c r="K54" s="155"/>
      <c r="L54" s="155"/>
      <c r="M54" s="155"/>
      <c r="N54" s="155"/>
      <c r="O54" s="160"/>
      <c r="P54" s="160"/>
      <c r="Q54" s="160"/>
      <c r="R54" s="160"/>
      <c r="S54" s="160"/>
      <c r="T54" s="160"/>
      <c r="U54" s="160"/>
      <c r="V54" s="160"/>
      <c r="W54" s="160"/>
      <c r="X54" s="160"/>
    </row>
    <row r="55" spans="1:25" s="16" customFormat="1" ht="12.75" customHeight="1">
      <c r="A55" s="152"/>
      <c r="B55" s="152"/>
      <c r="C55" s="168" t="s">
        <v>97</v>
      </c>
      <c r="D55" s="168" t="s">
        <v>160</v>
      </c>
      <c r="E55" s="168" t="s">
        <v>161</v>
      </c>
      <c r="F55" s="168" t="s">
        <v>118</v>
      </c>
      <c r="G55" s="168" t="s">
        <v>85</v>
      </c>
      <c r="H55" s="168" t="s">
        <v>114</v>
      </c>
      <c r="I55" s="168" t="s">
        <v>115</v>
      </c>
      <c r="J55" s="168" t="s">
        <v>106</v>
      </c>
      <c r="K55" s="168" t="s">
        <v>57</v>
      </c>
      <c r="L55" s="168" t="s">
        <v>68</v>
      </c>
      <c r="M55" s="168" t="s">
        <v>62</v>
      </c>
      <c r="N55" s="155"/>
      <c r="O55" s="160"/>
      <c r="P55" s="160"/>
      <c r="Q55" s="160"/>
      <c r="R55" s="160"/>
      <c r="S55" s="160"/>
      <c r="T55" s="160"/>
      <c r="U55" s="160"/>
      <c r="V55" s="160"/>
      <c r="W55" s="160"/>
      <c r="X55" s="160"/>
    </row>
    <row r="56" spans="1:25" s="16" customFormat="1" ht="12.75" customHeight="1">
      <c r="A56" s="152"/>
      <c r="B56" s="152"/>
      <c r="C56" s="226">
        <f ca="1">MATCH(C55,OFFSET(CalibData!$B$3,1,0,100),0)</f>
        <v>64</v>
      </c>
      <c r="D56" s="226">
        <f ca="1">MATCH(D55,OFFSET(CalibData!$B$3,1,0,100),0)</f>
        <v>1</v>
      </c>
      <c r="E56" s="226">
        <f ca="1">MATCH(E55,OFFSET(CalibData!$B$3,1,0,100),0)</f>
        <v>10</v>
      </c>
      <c r="F56" s="226">
        <f ca="1">MATCH(F55,OFFSET(CalibData!$B$3,1,0,100),0)</f>
        <v>19</v>
      </c>
      <c r="G56" s="226">
        <f ca="1">MATCH(G55,OFFSET(CalibData!$B$3,1,0,100),0)</f>
        <v>28</v>
      </c>
      <c r="H56" s="226">
        <f ca="1">MATCH(H55,OFFSET(CalibData!$B$3,1,0,100),0)</f>
        <v>37</v>
      </c>
      <c r="I56" s="226"/>
      <c r="J56" s="226"/>
      <c r="K56" s="226">
        <f ca="1">MATCH(K55,OFFSET(CalibData!$B$3,1,0,100),0)</f>
        <v>46</v>
      </c>
      <c r="L56" s="226"/>
      <c r="M56" s="226">
        <f ca="1">MATCH(M55,OFFSET(CalibData!$B$3,1,0,100),0)</f>
        <v>55</v>
      </c>
      <c r="N56" s="155"/>
      <c r="O56" s="160"/>
      <c r="P56" s="160"/>
      <c r="Q56" s="160"/>
      <c r="R56" s="160"/>
      <c r="S56" s="160"/>
      <c r="T56" s="160"/>
      <c r="U56" s="160"/>
      <c r="V56" s="160"/>
      <c r="W56" s="160"/>
      <c r="X56" s="160"/>
    </row>
    <row r="57" spans="1:25" s="16" customFormat="1" ht="12.75" customHeight="1">
      <c r="A57" s="152"/>
      <c r="B57" s="152"/>
      <c r="C57" s="152"/>
      <c r="D57" s="89"/>
      <c r="E57" s="89" t="s">
        <v>65</v>
      </c>
      <c r="F57" s="181">
        <f t="shared" ref="F57:M57" ca="1" si="16">SUM(F59:F62)</f>
        <v>1</v>
      </c>
      <c r="G57" s="181">
        <f t="shared" ca="1" si="16"/>
        <v>1</v>
      </c>
      <c r="H57" s="181">
        <f t="shared" ca="1" si="16"/>
        <v>0.99999999999999989</v>
      </c>
      <c r="I57" s="181">
        <f t="shared" si="16"/>
        <v>0</v>
      </c>
      <c r="J57" s="181">
        <f t="shared" si="16"/>
        <v>0</v>
      </c>
      <c r="K57" s="181">
        <f t="shared" ca="1" si="16"/>
        <v>1</v>
      </c>
      <c r="L57" s="181">
        <f t="shared" si="16"/>
        <v>0</v>
      </c>
      <c r="M57" s="181">
        <f t="shared" ca="1" si="16"/>
        <v>1</v>
      </c>
      <c r="N57" s="155"/>
      <c r="O57" s="160"/>
      <c r="P57" s="160"/>
      <c r="Q57" s="160"/>
      <c r="R57" s="160"/>
      <c r="S57" s="160"/>
      <c r="T57" s="160"/>
      <c r="U57" s="160"/>
      <c r="V57" s="160"/>
      <c r="W57" s="160"/>
      <c r="X57" s="160"/>
    </row>
    <row r="58" spans="1:25" s="16" customFormat="1" ht="13.7" customHeight="1">
      <c r="A58" s="152" t="s">
        <v>76</v>
      </c>
      <c r="B58" s="177" t="s">
        <v>181</v>
      </c>
      <c r="C58" s="109"/>
      <c r="D58" s="93">
        <f t="array" aca="1" ref="D58:D62" ca="1">OFFSET(CalibData!$O$3,D$56,0,5)</f>
        <v>1</v>
      </c>
      <c r="E58" s="93">
        <f t="array" aca="1" ref="E58:E62" ca="1">OFFSET(CalibData!$O$3,E$56,0,5)</f>
        <v>1</v>
      </c>
      <c r="F58" s="93">
        <f t="array" aca="1" ref="F58:F62" ca="1">OFFSET(CalibData!$O$3,F$56,0,5)</f>
        <v>0.67086211571801924</v>
      </c>
      <c r="G58" s="93">
        <f t="array" aca="1" ref="G58:G62" ca="1">OFFSET(CalibData!$O$3,G$56,0,5)</f>
        <v>0.75</v>
      </c>
      <c r="H58" s="93">
        <f t="array" aca="1" ref="H58:H62" ca="1">OFFSET(CalibData!$O$3,H$56,0,5)</f>
        <v>0.995</v>
      </c>
      <c r="I58" s="94"/>
      <c r="J58" s="94"/>
      <c r="K58" s="93">
        <f t="array" aca="1" ref="K58:K62" ca="1">OFFSET(CalibData!$O$3,K$56,0,5)</f>
        <v>0.44817560461512107</v>
      </c>
      <c r="L58" s="94"/>
      <c r="M58" s="93">
        <f t="array" aca="1" ref="M58:M62" ca="1">OFFSET(CalibData!$O$3,M$56,0,5)</f>
        <v>0.96084545536687138</v>
      </c>
      <c r="N58" s="155"/>
      <c r="O58" s="160"/>
      <c r="P58" s="160"/>
      <c r="Q58" s="160"/>
      <c r="R58" s="160"/>
      <c r="S58" s="160"/>
      <c r="T58" s="160"/>
      <c r="U58" s="160"/>
      <c r="V58" s="160"/>
      <c r="W58" s="160"/>
      <c r="X58" s="160"/>
    </row>
    <row r="59" spans="1:25" s="13" customFormat="1" ht="12.75" customHeight="1">
      <c r="A59" s="152" t="s">
        <v>76</v>
      </c>
      <c r="B59" s="178" t="s">
        <v>141</v>
      </c>
      <c r="C59" s="88"/>
      <c r="D59" s="88">
        <f ca="1"/>
        <v>0.47</v>
      </c>
      <c r="E59" s="88">
        <f ca="1"/>
        <v>0.83</v>
      </c>
      <c r="F59" s="88">
        <f ca="1"/>
        <v>0.8522437534002798</v>
      </c>
      <c r="G59" s="88">
        <f ca="1"/>
        <v>0.626</v>
      </c>
      <c r="H59" s="88">
        <f ca="1"/>
        <v>0.96822744390797022</v>
      </c>
      <c r="I59" s="88"/>
      <c r="J59" s="88"/>
      <c r="K59" s="88">
        <f ca="1"/>
        <v>0.71692355696421062</v>
      </c>
      <c r="L59" s="88"/>
      <c r="M59" s="88">
        <f ca="1"/>
        <v>0.88844388559260856</v>
      </c>
      <c r="N59" s="155"/>
      <c r="O59" s="160"/>
      <c r="P59" s="160"/>
      <c r="Q59" s="160"/>
      <c r="R59" s="160"/>
      <c r="S59" s="160"/>
      <c r="T59" s="160"/>
      <c r="U59" s="160"/>
      <c r="V59" s="160"/>
      <c r="W59" s="160"/>
      <c r="X59" s="160"/>
    </row>
    <row r="60" spans="1:25" s="13" customFormat="1" ht="12.75" customHeight="1">
      <c r="A60" s="152" t="s">
        <v>76</v>
      </c>
      <c r="B60" s="179" t="s">
        <v>142</v>
      </c>
      <c r="C60" s="103"/>
      <c r="D60" s="103">
        <f ca="1"/>
        <v>0.53</v>
      </c>
      <c r="E60" s="103">
        <f ca="1"/>
        <v>0.17</v>
      </c>
      <c r="F60" s="103">
        <f ca="1"/>
        <v>0.14775624659972014</v>
      </c>
      <c r="G60" s="103">
        <f ca="1"/>
        <v>0.374</v>
      </c>
      <c r="H60" s="103">
        <f ca="1"/>
        <v>3.5798531340467468E-3</v>
      </c>
      <c r="I60" s="103"/>
      <c r="J60" s="103"/>
      <c r="K60" s="103">
        <f ca="1"/>
        <v>0.28307644303578933</v>
      </c>
      <c r="L60" s="103"/>
      <c r="M60" s="103">
        <f ca="1"/>
        <v>9.1556114407391434E-2</v>
      </c>
      <c r="N60" s="155"/>
      <c r="O60" s="160"/>
      <c r="P60" s="160"/>
      <c r="Q60" s="160"/>
      <c r="R60" s="160"/>
      <c r="S60" s="160"/>
      <c r="T60" s="160"/>
      <c r="U60" s="160"/>
      <c r="V60" s="160"/>
      <c r="W60" s="160"/>
      <c r="X60" s="160"/>
    </row>
    <row r="61" spans="1:25" s="13" customFormat="1" ht="12.75" customHeight="1">
      <c r="A61" s="152" t="s">
        <v>76</v>
      </c>
      <c r="B61" s="179" t="s">
        <v>200</v>
      </c>
      <c r="C61" s="103"/>
      <c r="D61" s="103">
        <f ca="1"/>
        <v>0</v>
      </c>
      <c r="E61" s="103">
        <f ca="1"/>
        <v>0</v>
      </c>
      <c r="F61" s="103">
        <f ca="1"/>
        <v>0</v>
      </c>
      <c r="G61" s="103">
        <f ca="1"/>
        <v>0</v>
      </c>
      <c r="H61" s="103">
        <f ca="1"/>
        <v>0</v>
      </c>
      <c r="I61" s="103">
        <v>0</v>
      </c>
      <c r="J61" s="103">
        <v>0</v>
      </c>
      <c r="K61" s="103">
        <f ca="1"/>
        <v>0</v>
      </c>
      <c r="L61" s="103">
        <v>0</v>
      </c>
      <c r="M61" s="103">
        <f ca="1"/>
        <v>0</v>
      </c>
      <c r="N61" s="155"/>
      <c r="O61" s="160"/>
      <c r="P61" s="160"/>
      <c r="Q61" s="160"/>
      <c r="R61" s="160"/>
      <c r="S61" s="160"/>
      <c r="T61" s="160"/>
      <c r="U61" s="160"/>
      <c r="V61" s="160"/>
      <c r="W61" s="160"/>
      <c r="X61" s="160"/>
    </row>
    <row r="62" spans="1:25" s="13" customFormat="1" ht="13.7" customHeight="1">
      <c r="A62" s="152" t="s">
        <v>76</v>
      </c>
      <c r="B62" s="179" t="s">
        <v>201</v>
      </c>
      <c r="C62" s="110"/>
      <c r="D62" s="110">
        <f ca="1"/>
        <v>0</v>
      </c>
      <c r="E62" s="110">
        <f ca="1"/>
        <v>0</v>
      </c>
      <c r="F62" s="110">
        <f ca="1"/>
        <v>0</v>
      </c>
      <c r="G62" s="110">
        <f ca="1"/>
        <v>0</v>
      </c>
      <c r="H62" s="110">
        <f ca="1"/>
        <v>2.8192702957982964E-2</v>
      </c>
      <c r="I62" s="110"/>
      <c r="J62" s="110"/>
      <c r="K62" s="110">
        <f ca="1"/>
        <v>0</v>
      </c>
      <c r="L62" s="110"/>
      <c r="M62" s="110">
        <f ca="1"/>
        <v>0.02</v>
      </c>
      <c r="N62" s="155"/>
      <c r="O62" s="160"/>
      <c r="P62" s="160"/>
      <c r="Q62" s="160"/>
      <c r="R62" s="160"/>
      <c r="S62" s="160"/>
      <c r="T62" s="160"/>
      <c r="U62" s="160"/>
      <c r="V62" s="160"/>
      <c r="W62" s="160"/>
      <c r="X62" s="160"/>
    </row>
    <row r="63" spans="1:25" s="13" customFormat="1" ht="12.75" customHeight="1">
      <c r="A63" s="152" t="s">
        <v>65</v>
      </c>
      <c r="B63" s="176" t="s">
        <v>231</v>
      </c>
      <c r="C63" s="182"/>
      <c r="D63" s="182">
        <f t="shared" ref="D63:M63" ca="1" si="17">1-D58</f>
        <v>0</v>
      </c>
      <c r="E63" s="182">
        <f t="shared" ca="1" si="17"/>
        <v>0</v>
      </c>
      <c r="F63" s="182">
        <f t="shared" ca="1" si="17"/>
        <v>0.32913788428198076</v>
      </c>
      <c r="G63" s="182">
        <f t="shared" ca="1" si="17"/>
        <v>0.25</v>
      </c>
      <c r="H63" s="182">
        <f t="shared" ca="1" si="17"/>
        <v>5.0000000000000044E-3</v>
      </c>
      <c r="I63" s="182">
        <f t="shared" si="17"/>
        <v>1</v>
      </c>
      <c r="J63" s="182">
        <f t="shared" si="17"/>
        <v>1</v>
      </c>
      <c r="K63" s="182">
        <f t="shared" ca="1" si="17"/>
        <v>0.55182439538487893</v>
      </c>
      <c r="L63" s="182">
        <f t="shared" si="17"/>
        <v>1</v>
      </c>
      <c r="M63" s="182">
        <f t="shared" ca="1" si="17"/>
        <v>3.9154544633128618E-2</v>
      </c>
      <c r="N63" s="155"/>
      <c r="O63" s="160"/>
      <c r="P63" s="160"/>
      <c r="Q63" s="160"/>
      <c r="R63" s="160"/>
      <c r="S63" s="160"/>
      <c r="T63" s="160"/>
      <c r="U63" s="160"/>
      <c r="V63" s="160"/>
      <c r="W63" s="160"/>
      <c r="X63" s="160"/>
    </row>
    <row r="64" spans="1:25" s="13" customFormat="1" ht="12.75" customHeight="1">
      <c r="A64" s="152" t="s">
        <v>76</v>
      </c>
      <c r="B64" s="178" t="s">
        <v>107</v>
      </c>
      <c r="C64" s="42"/>
      <c r="D64" s="89">
        <f t="array" aca="1" ref="D64:D67" ca="1">OFFSET(CalibData!$O$3,D$56+5,0,4)</f>
        <v>0</v>
      </c>
      <c r="E64" s="89">
        <f t="array" aca="1" ref="E64:E67" ca="1">OFFSET(CalibData!$O$3,E$56+5,0,4)</f>
        <v>0</v>
      </c>
      <c r="F64" s="89">
        <f t="array" aca="1" ref="F64:F67" ca="1">OFFSET(CalibData!$O$3,F$56+5,0,4)</f>
        <v>0.9504632682404841</v>
      </c>
      <c r="G64" s="89">
        <f t="array" aca="1" ref="G64:G67" ca="1">OFFSET(CalibData!$O$3,G$56+5,0,4)</f>
        <v>0.4</v>
      </c>
      <c r="H64" s="89">
        <f t="array" aca="1" ref="H64:H67" ca="1">OFFSET(CalibData!$O$3,H$56+5,0,4)</f>
        <v>0</v>
      </c>
      <c r="I64" s="89"/>
      <c r="J64" s="89"/>
      <c r="K64" s="89">
        <f t="array" aca="1" ref="K64:K67" ca="1">OFFSET(CalibData!$O$3,K$56+5,0,4)</f>
        <v>0.12373421365983385</v>
      </c>
      <c r="L64" s="89"/>
      <c r="M64" s="89">
        <f t="array" aca="1" ref="M64:M67" ca="1">OFFSET(CalibData!$O$3,M$56+5,0,4)</f>
        <v>0.21642705676224011</v>
      </c>
      <c r="N64" s="155"/>
      <c r="O64" s="160"/>
      <c r="P64" s="160"/>
      <c r="Q64" s="160"/>
      <c r="R64" s="160"/>
      <c r="S64" s="160"/>
      <c r="T64" s="160"/>
      <c r="U64" s="160"/>
      <c r="V64" s="160"/>
      <c r="W64" s="160"/>
      <c r="X64" s="160"/>
    </row>
    <row r="65" spans="1:24" s="13" customFormat="1" ht="12.75" customHeight="1">
      <c r="A65" s="152" t="s">
        <v>76</v>
      </c>
      <c r="B65" s="178" t="s">
        <v>108</v>
      </c>
      <c r="C65" s="42"/>
      <c r="D65" s="89">
        <f ca="1"/>
        <v>0</v>
      </c>
      <c r="E65" s="89">
        <f ca="1"/>
        <v>0</v>
      </c>
      <c r="F65" s="89">
        <f ca="1"/>
        <v>0</v>
      </c>
      <c r="G65" s="89">
        <f ca="1"/>
        <v>0</v>
      </c>
      <c r="H65" s="89">
        <f ca="1"/>
        <v>0</v>
      </c>
      <c r="I65" s="89"/>
      <c r="J65" s="89"/>
      <c r="K65" s="89">
        <f ca="1"/>
        <v>0.56767356992329399</v>
      </c>
      <c r="L65" s="89"/>
      <c r="M65" s="89">
        <f ca="1"/>
        <v>0</v>
      </c>
      <c r="N65" s="155"/>
      <c r="O65" s="160"/>
      <c r="P65" s="160"/>
      <c r="Q65" s="160"/>
      <c r="R65" s="160"/>
      <c r="S65" s="160"/>
      <c r="T65" s="160"/>
      <c r="U65" s="160"/>
      <c r="V65" s="160"/>
      <c r="W65" s="160"/>
      <c r="X65" s="160"/>
    </row>
    <row r="66" spans="1:24" s="13" customFormat="1" ht="12.75" customHeight="1">
      <c r="A66" s="152" t="s">
        <v>76</v>
      </c>
      <c r="B66" s="178" t="s">
        <v>256</v>
      </c>
      <c r="C66" s="42"/>
      <c r="D66" s="90">
        <f ca="1"/>
        <v>0</v>
      </c>
      <c r="E66" s="90">
        <f ca="1"/>
        <v>0</v>
      </c>
      <c r="F66" s="90">
        <f ca="1"/>
        <v>4.9536731759515895E-2</v>
      </c>
      <c r="G66" s="90">
        <f ca="1"/>
        <v>0.6</v>
      </c>
      <c r="H66" s="90">
        <f ca="1"/>
        <v>1</v>
      </c>
      <c r="I66" s="90"/>
      <c r="J66" s="90"/>
      <c r="K66" s="90">
        <f ca="1"/>
        <v>0.30859221641687218</v>
      </c>
      <c r="L66" s="90"/>
      <c r="M66" s="90">
        <f ca="1"/>
        <v>0.78357294323775994</v>
      </c>
      <c r="N66" s="155"/>
      <c r="O66" s="160"/>
      <c r="P66" s="160"/>
      <c r="Q66" s="160"/>
      <c r="R66" s="160"/>
      <c r="S66" s="160"/>
      <c r="T66" s="160"/>
      <c r="U66" s="160"/>
      <c r="V66" s="160"/>
      <c r="W66" s="160"/>
      <c r="X66" s="160"/>
    </row>
    <row r="67" spans="1:24" s="13" customFormat="1" ht="12.75" customHeight="1">
      <c r="A67" s="152" t="s">
        <v>76</v>
      </c>
      <c r="B67" s="178" t="s">
        <v>116</v>
      </c>
      <c r="C67" s="42"/>
      <c r="D67" s="90">
        <f ca="1"/>
        <v>0</v>
      </c>
      <c r="E67" s="90">
        <f ca="1"/>
        <v>0</v>
      </c>
      <c r="F67" s="90">
        <f ca="1"/>
        <v>0</v>
      </c>
      <c r="G67" s="90">
        <f ca="1"/>
        <v>0</v>
      </c>
      <c r="H67" s="90">
        <f ca="1"/>
        <v>0</v>
      </c>
      <c r="I67" s="90"/>
      <c r="J67" s="90"/>
      <c r="K67" s="90">
        <f ca="1"/>
        <v>0</v>
      </c>
      <c r="L67" s="90"/>
      <c r="M67" s="90">
        <f ca="1"/>
        <v>0</v>
      </c>
      <c r="N67" s="155"/>
      <c r="O67" s="160"/>
      <c r="P67" s="160"/>
      <c r="Q67" s="160"/>
      <c r="R67" s="160"/>
      <c r="S67" s="160"/>
      <c r="T67" s="160"/>
      <c r="U67" s="160"/>
      <c r="V67" s="160"/>
      <c r="W67" s="160"/>
      <c r="X67" s="160"/>
    </row>
    <row r="68" spans="1:24" s="13" customFormat="1" ht="12.75" customHeight="1">
      <c r="A68" s="152"/>
      <c r="B68" s="178"/>
      <c r="C68" s="183">
        <f>SUM(C63:C67)</f>
        <v>0</v>
      </c>
      <c r="D68" s="183">
        <f t="shared" ref="D68:M68" ca="1" si="18">SUM(D64:D67)</f>
        <v>0</v>
      </c>
      <c r="E68" s="183">
        <f t="shared" ca="1" si="18"/>
        <v>0</v>
      </c>
      <c r="F68" s="183">
        <f t="shared" ca="1" si="18"/>
        <v>1</v>
      </c>
      <c r="G68" s="183">
        <f t="shared" ca="1" si="18"/>
        <v>1</v>
      </c>
      <c r="H68" s="183">
        <f t="shared" ca="1" si="18"/>
        <v>1</v>
      </c>
      <c r="I68" s="183">
        <f t="shared" si="18"/>
        <v>0</v>
      </c>
      <c r="J68" s="183">
        <f t="shared" si="18"/>
        <v>0</v>
      </c>
      <c r="K68" s="183">
        <f t="shared" ca="1" si="18"/>
        <v>1</v>
      </c>
      <c r="L68" s="183">
        <f t="shared" si="18"/>
        <v>0</v>
      </c>
      <c r="M68" s="183">
        <f t="shared" ca="1" si="18"/>
        <v>1</v>
      </c>
      <c r="N68" s="155"/>
      <c r="O68" s="160"/>
      <c r="P68" s="160"/>
      <c r="Q68" s="160"/>
      <c r="R68" s="160"/>
      <c r="S68" s="160"/>
      <c r="T68" s="160"/>
      <c r="U68" s="160"/>
      <c r="V68" s="160"/>
      <c r="W68" s="160"/>
      <c r="X68" s="160"/>
    </row>
    <row r="69" spans="1:24" s="13" customFormat="1" ht="12.75" customHeight="1">
      <c r="A69" s="152" t="s">
        <v>81</v>
      </c>
      <c r="B69" s="178" t="s">
        <v>109</v>
      </c>
      <c r="C69" s="42">
        <f ca="1">OFFSET(CalibData!$O$3,$C$56,0)</f>
        <v>0</v>
      </c>
      <c r="D69" s="42">
        <v>0.5</v>
      </c>
      <c r="E69" s="42">
        <v>0.5</v>
      </c>
      <c r="F69" s="42">
        <f ca="1">OFFSET(CalibData!$O$3,$C$56+1,0)</f>
        <v>0</v>
      </c>
      <c r="G69" s="42">
        <f ca="1">OFFSET(CalibData!$O$3,$C$56+2,0)</f>
        <v>0</v>
      </c>
      <c r="H69" s="42">
        <f ca="1">OFFSET(CalibData!$O$3,$C$56+3,0)</f>
        <v>0</v>
      </c>
      <c r="I69" s="42"/>
      <c r="J69" s="42"/>
      <c r="K69" s="42">
        <f ca="1">OFFSET(CalibData!$O$3,$C$56+4,0)</f>
        <v>0.89</v>
      </c>
      <c r="L69" s="42"/>
      <c r="M69" s="239">
        <f ca="1">OFFSET(CalibData!$O$3,$C$56+6,0)</f>
        <v>0.38</v>
      </c>
      <c r="N69" s="155"/>
      <c r="O69" s="160"/>
      <c r="P69" s="160"/>
      <c r="Q69" s="160"/>
      <c r="R69" s="160"/>
      <c r="S69" s="160"/>
      <c r="T69" s="160"/>
      <c r="U69" s="160"/>
      <c r="V69" s="160"/>
      <c r="W69" s="160"/>
      <c r="X69" s="160"/>
    </row>
    <row r="70" spans="1:24" s="13" customFormat="1" ht="12.75" customHeight="1">
      <c r="A70" s="152" t="s">
        <v>81</v>
      </c>
      <c r="B70" s="178" t="s">
        <v>67</v>
      </c>
      <c r="C70" s="42">
        <f t="shared" ref="C70:H70" ca="1" si="19">1-C69</f>
        <v>1</v>
      </c>
      <c r="D70" s="42">
        <f t="shared" si="19"/>
        <v>0.5</v>
      </c>
      <c r="E70" s="42">
        <f t="shared" si="19"/>
        <v>0.5</v>
      </c>
      <c r="F70" s="42">
        <f t="shared" ca="1" si="19"/>
        <v>1</v>
      </c>
      <c r="G70" s="42">
        <f t="shared" ca="1" si="19"/>
        <v>1</v>
      </c>
      <c r="H70" s="42">
        <f t="shared" ca="1" si="19"/>
        <v>1</v>
      </c>
      <c r="I70" s="42"/>
      <c r="J70" s="42"/>
      <c r="K70" s="42">
        <f ca="1">1-K69</f>
        <v>0.10999999999999999</v>
      </c>
      <c r="L70" s="42"/>
      <c r="M70" s="239">
        <f ca="1">1-M69</f>
        <v>0.62</v>
      </c>
      <c r="N70" s="155"/>
      <c r="O70" s="160"/>
      <c r="P70" s="160"/>
      <c r="Q70" s="160"/>
      <c r="R70" s="160"/>
      <c r="S70" s="160"/>
      <c r="T70" s="160"/>
      <c r="U70" s="160"/>
      <c r="V70" s="160"/>
      <c r="W70" s="160"/>
      <c r="X70" s="160"/>
    </row>
    <row r="71" spans="1:24" s="13" customFormat="1" ht="12.75" customHeight="1">
      <c r="A71" s="152"/>
      <c r="B71" s="152"/>
      <c r="C71" s="152"/>
      <c r="D71" s="152"/>
      <c r="E71" s="155"/>
      <c r="F71" s="152"/>
      <c r="G71" s="152"/>
      <c r="H71" s="152" t="s">
        <v>65</v>
      </c>
      <c r="I71" s="152"/>
      <c r="J71" s="152"/>
      <c r="K71" s="152"/>
      <c r="L71" s="152"/>
      <c r="M71" s="152"/>
      <c r="N71" s="155"/>
      <c r="O71" s="160"/>
      <c r="P71" s="160"/>
      <c r="Q71" s="160"/>
      <c r="R71" s="160"/>
      <c r="S71" s="160"/>
      <c r="T71" s="160"/>
      <c r="U71" s="160"/>
      <c r="V71" s="160"/>
      <c r="W71" s="160"/>
      <c r="X71" s="160"/>
    </row>
    <row r="72" spans="1:24" s="13" customFormat="1" ht="12.75" customHeight="1">
      <c r="A72" s="152"/>
      <c r="B72" s="152"/>
      <c r="C72" s="152"/>
      <c r="D72" s="152"/>
      <c r="E72" s="155"/>
      <c r="F72" s="152"/>
      <c r="G72" s="152"/>
      <c r="H72" s="152"/>
      <c r="I72" s="152"/>
      <c r="J72" s="152"/>
      <c r="K72" s="152"/>
      <c r="L72" s="152"/>
      <c r="M72" s="152"/>
      <c r="N72" s="155"/>
      <c r="O72" s="160"/>
      <c r="P72" s="160"/>
      <c r="Q72" s="160"/>
      <c r="R72" s="160"/>
      <c r="S72" s="160"/>
      <c r="T72" s="160"/>
      <c r="U72" s="160"/>
      <c r="V72" s="160"/>
      <c r="W72" s="160"/>
      <c r="X72" s="160"/>
    </row>
    <row r="73" spans="1:24" s="13" customFormat="1" ht="18">
      <c r="A73" s="155"/>
      <c r="B73" s="106" t="s">
        <v>276</v>
      </c>
      <c r="C73" s="101"/>
      <c r="D73" s="101"/>
      <c r="E73" s="101"/>
      <c r="F73" s="101"/>
      <c r="G73" s="155"/>
      <c r="H73" s="155"/>
      <c r="I73" s="155"/>
      <c r="J73" s="155"/>
      <c r="K73" s="155"/>
      <c r="L73" s="155"/>
      <c r="M73" s="155"/>
      <c r="N73" s="155"/>
      <c r="O73" s="155"/>
      <c r="P73" s="167"/>
      <c r="Q73" s="167"/>
      <c r="R73" s="167"/>
      <c r="S73" s="167"/>
      <c r="T73" s="167"/>
      <c r="U73" s="167"/>
      <c r="V73" s="167"/>
      <c r="W73" s="167"/>
      <c r="X73" s="167"/>
    </row>
    <row r="74" spans="1:24" s="13" customFormat="1" ht="12.75" customHeight="1">
      <c r="A74" s="155"/>
      <c r="B74" s="175"/>
      <c r="C74" s="168" t="s">
        <v>97</v>
      </c>
      <c r="D74" s="168" t="s">
        <v>160</v>
      </c>
      <c r="E74" s="168" t="s">
        <v>161</v>
      </c>
      <c r="F74" s="168" t="s">
        <v>118</v>
      </c>
      <c r="G74" s="168" t="s">
        <v>85</v>
      </c>
      <c r="H74" s="168" t="s">
        <v>114</v>
      </c>
      <c r="I74" s="168" t="s">
        <v>115</v>
      </c>
      <c r="J74" s="168" t="s">
        <v>106</v>
      </c>
      <c r="K74" s="168" t="s">
        <v>57</v>
      </c>
      <c r="L74" s="168" t="s">
        <v>68</v>
      </c>
      <c r="M74" s="168" t="s">
        <v>62</v>
      </c>
      <c r="N74" s="168" t="s">
        <v>63</v>
      </c>
      <c r="O74" s="152"/>
      <c r="P74" s="257" t="s">
        <v>448</v>
      </c>
      <c r="Q74" s="257" t="s">
        <v>449</v>
      </c>
      <c r="R74" s="167"/>
      <c r="S74" s="167"/>
      <c r="T74" s="167"/>
      <c r="U74" s="167"/>
      <c r="V74" s="167"/>
      <c r="W74" s="167"/>
      <c r="X74" s="167"/>
    </row>
    <row r="75" spans="1:24" s="13" customFormat="1" ht="12.75" customHeight="1">
      <c r="A75" s="156" t="s">
        <v>79</v>
      </c>
      <c r="B75" s="163" t="s">
        <v>110</v>
      </c>
      <c r="C75" s="47">
        <f>C43</f>
        <v>0</v>
      </c>
      <c r="D75" s="47">
        <f>E43</f>
        <v>0</v>
      </c>
      <c r="E75" s="36">
        <f>D43</f>
        <v>0</v>
      </c>
      <c r="F75" s="47">
        <f t="shared" ref="F75:M76" si="20">F43</f>
        <v>0</v>
      </c>
      <c r="G75" s="47">
        <f t="shared" si="20"/>
        <v>0</v>
      </c>
      <c r="H75" s="47">
        <f t="shared" si="20"/>
        <v>0</v>
      </c>
      <c r="I75" s="47">
        <f t="shared" si="20"/>
        <v>0</v>
      </c>
      <c r="J75" s="47">
        <f t="shared" si="20"/>
        <v>2.8294000799999992</v>
      </c>
      <c r="K75" s="47">
        <f t="shared" si="20"/>
        <v>0</v>
      </c>
      <c r="L75" s="47">
        <f t="shared" si="20"/>
        <v>0</v>
      </c>
      <c r="M75" s="47">
        <f t="shared" si="20"/>
        <v>0</v>
      </c>
      <c r="N75" s="169">
        <f>SUM(C75:M75)</f>
        <v>2.8294000799999992</v>
      </c>
      <c r="O75" s="165">
        <f ca="1">N75/$N$95</f>
        <v>1.6405176956115656E-2</v>
      </c>
      <c r="P75" s="167"/>
      <c r="Q75" s="257"/>
      <c r="R75" s="167"/>
      <c r="S75" s="167"/>
      <c r="T75" s="167"/>
      <c r="U75" s="167"/>
      <c r="V75" s="167"/>
      <c r="W75" s="167"/>
      <c r="X75" s="167"/>
    </row>
    <row r="76" spans="1:24" ht="12.75" customHeight="1">
      <c r="A76" s="156" t="s">
        <v>80</v>
      </c>
      <c r="B76" s="180" t="s">
        <v>110</v>
      </c>
      <c r="C76" s="47">
        <f>C44</f>
        <v>0</v>
      </c>
      <c r="D76" s="47">
        <f>E44</f>
        <v>0</v>
      </c>
      <c r="E76" s="36">
        <f>D44</f>
        <v>0</v>
      </c>
      <c r="F76" s="47">
        <f t="shared" si="20"/>
        <v>0</v>
      </c>
      <c r="G76" s="47">
        <f t="shared" si="20"/>
        <v>0</v>
      </c>
      <c r="H76" s="47">
        <f t="shared" si="20"/>
        <v>0</v>
      </c>
      <c r="I76" s="47">
        <f t="shared" si="20"/>
        <v>2.639946E-2</v>
      </c>
      <c r="J76" s="47">
        <f t="shared" si="20"/>
        <v>2.8379997599999998</v>
      </c>
      <c r="K76" s="47">
        <f t="shared" si="20"/>
        <v>0</v>
      </c>
      <c r="L76" s="47">
        <f t="shared" si="20"/>
        <v>0</v>
      </c>
      <c r="M76" s="47">
        <f t="shared" si="20"/>
        <v>0</v>
      </c>
      <c r="N76" s="169">
        <f>SUM(C76:M76)</f>
        <v>2.8643992199999997</v>
      </c>
      <c r="O76" s="165">
        <f ca="1">N76/$N$95</f>
        <v>1.6608105869941048E-2</v>
      </c>
      <c r="P76" s="160"/>
      <c r="Q76" s="258"/>
      <c r="R76" s="160"/>
      <c r="S76" s="160"/>
      <c r="T76" s="160"/>
      <c r="U76" s="160"/>
      <c r="V76" s="160"/>
      <c r="W76" s="160"/>
      <c r="X76" s="160"/>
    </row>
    <row r="77" spans="1:24" ht="12.75" customHeight="1">
      <c r="A77" s="156"/>
      <c r="B77" s="180"/>
      <c r="C77" s="169"/>
      <c r="D77" s="169"/>
      <c r="E77" s="169"/>
      <c r="F77" s="169"/>
      <c r="G77" s="169"/>
      <c r="H77" s="169"/>
      <c r="I77" s="169"/>
      <c r="J77" s="169"/>
      <c r="K77" s="169"/>
      <c r="L77" s="169"/>
      <c r="M77" s="169"/>
      <c r="N77" s="169"/>
      <c r="O77" s="165"/>
      <c r="P77" s="160"/>
      <c r="Q77" s="258"/>
      <c r="R77" s="160"/>
      <c r="S77" s="160"/>
      <c r="T77" s="160"/>
      <c r="U77" s="160"/>
      <c r="V77" s="160"/>
      <c r="W77" s="160"/>
      <c r="X77" s="160"/>
    </row>
    <row r="78" spans="1:24" ht="12.75" customHeight="1">
      <c r="A78" s="156" t="str">
        <f t="shared" ref="A78:B80" si="21">A59</f>
        <v>ROAD</v>
      </c>
      <c r="B78" s="180" t="str">
        <f t="shared" si="21"/>
        <v>Auto</v>
      </c>
      <c r="C78" s="47">
        <f>C$45*C59</f>
        <v>0</v>
      </c>
      <c r="D78" s="47">
        <f ca="1">E$45*D58*D59</f>
        <v>0</v>
      </c>
      <c r="E78" s="47">
        <f ca="1">D$45*E$58*E59</f>
        <v>4.2917394671714426</v>
      </c>
      <c r="F78" s="47">
        <f t="shared" ref="F78:H79" ca="1" si="22">F$45*F$58*F59</f>
        <v>0.17478917202379493</v>
      </c>
      <c r="G78" s="47">
        <f t="shared" ca="1" si="22"/>
        <v>0</v>
      </c>
      <c r="H78" s="47">
        <f t="shared" ca="1" si="22"/>
        <v>45.251350855763505</v>
      </c>
      <c r="I78" s="47">
        <f>I45*I58*I59</f>
        <v>0</v>
      </c>
      <c r="J78" s="47">
        <f>J45*J58*J59</f>
        <v>0</v>
      </c>
      <c r="K78" s="47">
        <f ca="1">K45*K58*K59</f>
        <v>29.723567238596743</v>
      </c>
      <c r="L78" s="47">
        <f>L45*L58*L59</f>
        <v>0</v>
      </c>
      <c r="M78" s="47">
        <f ca="1">M45*M58*M59</f>
        <v>5.7125588181762173E-2</v>
      </c>
      <c r="N78" s="169">
        <f t="shared" ref="N78:N85" ca="1" si="23">SUM(C78:M78)</f>
        <v>79.498572321737257</v>
      </c>
      <c r="O78" s="165">
        <f t="shared" ref="O78:O85" ca="1" si="24">N78/$N$95</f>
        <v>0.46094158119082912</v>
      </c>
      <c r="P78" s="259">
        <f ca="1">E78-MIN(0.07*H78,E78)-MAX(0,E78-0.07*H78)/3</f>
        <v>0.74942993817866466</v>
      </c>
      <c r="Q78" s="259">
        <f ca="1">E78-P78</f>
        <v>3.542309528992778</v>
      </c>
      <c r="R78" s="160"/>
      <c r="S78" s="160"/>
      <c r="T78" s="160"/>
      <c r="U78" s="160"/>
      <c r="V78" s="160"/>
      <c r="W78" s="160"/>
      <c r="X78" s="160"/>
    </row>
    <row r="79" spans="1:24" ht="12.75" customHeight="1">
      <c r="A79" s="156" t="str">
        <f t="shared" si="21"/>
        <v>ROAD</v>
      </c>
      <c r="B79" s="180" t="str">
        <f t="shared" si="21"/>
        <v>Light Trucks</v>
      </c>
      <c r="C79" s="47">
        <f>C$45*C60</f>
        <v>0</v>
      </c>
      <c r="D79" s="47">
        <f ca="1">E$45*D58*D60</f>
        <v>0</v>
      </c>
      <c r="E79" s="47">
        <f ca="1">D$45*E$58*E60</f>
        <v>0.87903097520378959</v>
      </c>
      <c r="F79" s="47">
        <f t="shared" ca="1" si="22"/>
        <v>3.0303762158968579E-2</v>
      </c>
      <c r="G79" s="47">
        <f t="shared" ca="1" si="22"/>
        <v>0</v>
      </c>
      <c r="H79" s="47">
        <f t="shared" ca="1" si="22"/>
        <v>0.16730902558082347</v>
      </c>
      <c r="I79" s="47">
        <f>I45*I58*I60</f>
        <v>0</v>
      </c>
      <c r="J79" s="47">
        <f>J45*J58*J60</f>
        <v>0</v>
      </c>
      <c r="K79" s="47">
        <f ca="1">K45*K58*K60</f>
        <v>11.73631638478455</v>
      </c>
      <c r="L79" s="47">
        <f>L45*L58*L60</f>
        <v>0</v>
      </c>
      <c r="M79" s="47">
        <f ca="1">M45*M58*M60</f>
        <v>5.8869186585377951E-3</v>
      </c>
      <c r="N79" s="169">
        <f t="shared" ca="1" si="23"/>
        <v>12.818847066386668</v>
      </c>
      <c r="O79" s="165">
        <f t="shared" ca="1" si="24"/>
        <v>7.432510375042381E-2</v>
      </c>
      <c r="P79" s="259">
        <f ca="1">E79-MIN(0.07*(H79+K79),E79)-MAX(0,E79-0.07*(H79+K79))/3</f>
        <v>3.0518130985475546E-2</v>
      </c>
      <c r="Q79" s="259">
        <f ca="1">E79-P79</f>
        <v>0.84851284421831408</v>
      </c>
      <c r="R79" s="160"/>
      <c r="S79" s="160"/>
      <c r="T79" s="160"/>
      <c r="U79" s="160"/>
      <c r="V79" s="160"/>
      <c r="W79" s="160"/>
      <c r="X79" s="160"/>
    </row>
    <row r="80" spans="1:24" ht="12.75" customHeight="1">
      <c r="A80" s="156" t="str">
        <f t="shared" si="21"/>
        <v>ROAD</v>
      </c>
      <c r="B80" s="163" t="str">
        <f t="shared" si="21"/>
        <v>Three Wheels</v>
      </c>
      <c r="C80" s="47">
        <f>C$45*C61</f>
        <v>0</v>
      </c>
      <c r="D80" s="47">
        <f ca="1">E$45*D58*D61</f>
        <v>0</v>
      </c>
      <c r="E80" s="47">
        <f ca="1">D$45*E58*E61</f>
        <v>0</v>
      </c>
      <c r="F80" s="47">
        <f t="shared" ref="F80:M80" ca="1" si="25">F$45*F58*F61</f>
        <v>0</v>
      </c>
      <c r="G80" s="47">
        <f t="shared" ca="1" si="25"/>
        <v>0</v>
      </c>
      <c r="H80" s="47">
        <f t="shared" ca="1" si="25"/>
        <v>0</v>
      </c>
      <c r="I80" s="47">
        <f t="shared" si="25"/>
        <v>0</v>
      </c>
      <c r="J80" s="47">
        <f t="shared" si="25"/>
        <v>0</v>
      </c>
      <c r="K80" s="47">
        <f t="shared" ca="1" si="25"/>
        <v>0</v>
      </c>
      <c r="L80" s="47">
        <f t="shared" si="25"/>
        <v>0</v>
      </c>
      <c r="M80" s="47">
        <f t="shared" ca="1" si="25"/>
        <v>0</v>
      </c>
      <c r="N80" s="169">
        <f t="shared" ca="1" si="23"/>
        <v>0</v>
      </c>
      <c r="O80" s="165">
        <f t="shared" ca="1" si="24"/>
        <v>0</v>
      </c>
      <c r="P80" s="260"/>
      <c r="Q80" s="260"/>
      <c r="R80" s="160"/>
      <c r="S80" s="160"/>
      <c r="T80" s="160"/>
      <c r="U80" s="160"/>
      <c r="V80" s="160"/>
      <c r="W80" s="160"/>
      <c r="X80" s="160"/>
    </row>
    <row r="81" spans="1:24" ht="12.75" customHeight="1">
      <c r="A81" s="156" t="str">
        <f t="shared" ref="A81:B84" si="26">A64</f>
        <v>ROAD</v>
      </c>
      <c r="B81" s="163" t="str">
        <f t="shared" si="26"/>
        <v>Bus</v>
      </c>
      <c r="C81" s="47">
        <f>C$45*C64</f>
        <v>0</v>
      </c>
      <c r="D81" s="47">
        <f ca="1">E$45*D$63*D64</f>
        <v>0</v>
      </c>
      <c r="E81" s="47">
        <f ca="1">D$45*E$63*E64</f>
        <v>0</v>
      </c>
      <c r="F81" s="47">
        <f t="shared" ref="F81:M84" ca="1" si="27">F$45*F$63*F64</f>
        <v>9.5638034410983078E-2</v>
      </c>
      <c r="G81" s="47">
        <f t="shared" ca="1" si="27"/>
        <v>0</v>
      </c>
      <c r="H81" s="47">
        <f t="shared" ca="1" si="27"/>
        <v>0</v>
      </c>
      <c r="I81" s="47">
        <f t="shared" si="27"/>
        <v>0</v>
      </c>
      <c r="J81" s="47">
        <f t="shared" si="27"/>
        <v>0</v>
      </c>
      <c r="K81" s="47">
        <f t="shared" ca="1" si="27"/>
        <v>6.3164136657855368</v>
      </c>
      <c r="L81" s="47">
        <f t="shared" si="27"/>
        <v>0</v>
      </c>
      <c r="M81" s="47">
        <f t="shared" ca="1" si="27"/>
        <v>5.6707548444922748E-4</v>
      </c>
      <c r="N81" s="169">
        <f t="shared" ca="1" si="23"/>
        <v>6.4126187756809694</v>
      </c>
      <c r="O81" s="165">
        <f t="shared" ca="1" si="24"/>
        <v>3.7181078247214887E-2</v>
      </c>
      <c r="P81" s="160"/>
      <c r="Q81" s="160"/>
      <c r="R81" s="160"/>
      <c r="S81" s="160"/>
      <c r="T81" s="160"/>
      <c r="U81" s="160"/>
      <c r="V81" s="160"/>
      <c r="W81" s="160"/>
      <c r="X81" s="160"/>
    </row>
    <row r="82" spans="1:24" ht="12.75" customHeight="1">
      <c r="A82" s="156" t="str">
        <f t="shared" si="26"/>
        <v>ROAD</v>
      </c>
      <c r="B82" s="163" t="str">
        <f t="shared" si="26"/>
        <v>Heavy Trucks</v>
      </c>
      <c r="C82" s="47">
        <f>C$45*C65</f>
        <v>0</v>
      </c>
      <c r="D82" s="47">
        <f ca="1">E$45*D$63*D65</f>
        <v>0</v>
      </c>
      <c r="E82" s="47">
        <f ca="1">D$45*E$63*E65</f>
        <v>0</v>
      </c>
      <c r="F82" s="47">
        <f t="shared" ca="1" si="27"/>
        <v>0</v>
      </c>
      <c r="G82" s="47">
        <f t="shared" ca="1" si="27"/>
        <v>0</v>
      </c>
      <c r="H82" s="47">
        <f t="shared" ca="1" si="27"/>
        <v>0</v>
      </c>
      <c r="I82" s="47">
        <f t="shared" si="27"/>
        <v>0</v>
      </c>
      <c r="J82" s="47">
        <f t="shared" si="27"/>
        <v>0</v>
      </c>
      <c r="K82" s="47">
        <f t="shared" ca="1" si="27"/>
        <v>28.97873586222757</v>
      </c>
      <c r="L82" s="47">
        <f t="shared" si="27"/>
        <v>0</v>
      </c>
      <c r="M82" s="47">
        <f t="shared" ca="1" si="27"/>
        <v>0</v>
      </c>
      <c r="N82" s="169">
        <f t="shared" ca="1" si="23"/>
        <v>28.97873586222757</v>
      </c>
      <c r="O82" s="165">
        <f t="shared" ca="1" si="24"/>
        <v>0.16802193975493851</v>
      </c>
      <c r="P82" s="160"/>
      <c r="Q82" s="160"/>
      <c r="R82" s="160"/>
      <c r="S82" s="160"/>
      <c r="T82" s="160"/>
      <c r="U82" s="160"/>
      <c r="V82" s="160"/>
      <c r="W82" s="160"/>
      <c r="X82" s="160"/>
    </row>
    <row r="83" spans="1:24" ht="12.75" customHeight="1">
      <c r="A83" s="156" t="str">
        <f t="shared" si="26"/>
        <v>ROAD</v>
      </c>
      <c r="B83" s="163" t="str">
        <f t="shared" si="26"/>
        <v>Medium Trucks</v>
      </c>
      <c r="C83" s="47">
        <f>C$45*C66</f>
        <v>0</v>
      </c>
      <c r="D83" s="47">
        <f ca="1">E$45*D$63*D66</f>
        <v>0</v>
      </c>
      <c r="E83" s="47">
        <f ca="1">D$45*E$63*E66</f>
        <v>0</v>
      </c>
      <c r="F83" s="47">
        <f t="shared" ca="1" si="27"/>
        <v>4.9845120952380917E-3</v>
      </c>
      <c r="G83" s="47">
        <f t="shared" ca="1" si="27"/>
        <v>0</v>
      </c>
      <c r="H83" s="47">
        <f t="shared" ca="1" si="27"/>
        <v>0.23485568842737517</v>
      </c>
      <c r="I83" s="47">
        <f t="shared" si="27"/>
        <v>0</v>
      </c>
      <c r="J83" s="47">
        <f t="shared" si="27"/>
        <v>0</v>
      </c>
      <c r="K83" s="47">
        <f t="shared" ca="1" si="27"/>
        <v>15.753089103465328</v>
      </c>
      <c r="L83" s="47">
        <f t="shared" si="27"/>
        <v>0</v>
      </c>
      <c r="M83" s="47">
        <f t="shared" ca="1" si="27"/>
        <v>2.0530936059256354E-3</v>
      </c>
      <c r="N83" s="169">
        <f t="shared" ca="1" si="23"/>
        <v>15.994982397593866</v>
      </c>
      <c r="O83" s="165">
        <f t="shared" ca="1" si="24"/>
        <v>9.2740690331245948E-2</v>
      </c>
      <c r="P83" s="160"/>
      <c r="Q83" s="160"/>
      <c r="R83" s="160"/>
      <c r="S83" s="160"/>
      <c r="T83" s="160"/>
      <c r="U83" s="160"/>
      <c r="V83" s="160"/>
      <c r="W83" s="160"/>
      <c r="X83" s="160"/>
    </row>
    <row r="84" spans="1:24" ht="12.75" customHeight="1">
      <c r="A84" s="156" t="str">
        <f t="shared" si="26"/>
        <v>ROAD</v>
      </c>
      <c r="B84" s="163" t="str">
        <f t="shared" si="26"/>
        <v>Commercial Trucks</v>
      </c>
      <c r="C84" s="47">
        <f>C$45*C67</f>
        <v>0</v>
      </c>
      <c r="D84" s="47">
        <f ca="1">E$45*D$63*D67</f>
        <v>0</v>
      </c>
      <c r="E84" s="47">
        <f ca="1">D$45*E$63*E67</f>
        <v>0</v>
      </c>
      <c r="F84" s="47">
        <f t="shared" ca="1" si="27"/>
        <v>0</v>
      </c>
      <c r="G84" s="47">
        <f t="shared" ca="1" si="27"/>
        <v>0</v>
      </c>
      <c r="H84" s="47">
        <f t="shared" ca="1" si="27"/>
        <v>0</v>
      </c>
      <c r="I84" s="47">
        <f t="shared" si="27"/>
        <v>0</v>
      </c>
      <c r="J84" s="47">
        <f t="shared" si="27"/>
        <v>0</v>
      </c>
      <c r="K84" s="47">
        <f t="shared" ca="1" si="27"/>
        <v>0</v>
      </c>
      <c r="L84" s="47">
        <f t="shared" si="27"/>
        <v>0</v>
      </c>
      <c r="M84" s="47">
        <f t="shared" ca="1" si="27"/>
        <v>0</v>
      </c>
      <c r="N84" s="169">
        <f t="shared" ca="1" si="23"/>
        <v>0</v>
      </c>
      <c r="O84" s="165">
        <f t="shared" ca="1" si="24"/>
        <v>0</v>
      </c>
      <c r="P84" s="160"/>
      <c r="Q84" s="160"/>
      <c r="R84" s="160"/>
      <c r="S84" s="160"/>
      <c r="T84" s="160"/>
      <c r="U84" s="160"/>
      <c r="V84" s="160"/>
      <c r="W84" s="160"/>
      <c r="X84" s="160"/>
    </row>
    <row r="85" spans="1:24" ht="12.75" customHeight="1">
      <c r="A85" s="156" t="str">
        <f>A62</f>
        <v>ROAD</v>
      </c>
      <c r="B85" s="163" t="str">
        <f>B62</f>
        <v>Two Wheels</v>
      </c>
      <c r="C85" s="47">
        <f>C$45*C62</f>
        <v>0</v>
      </c>
      <c r="D85" s="47">
        <f ca="1">E$45*D$58*D62</f>
        <v>0</v>
      </c>
      <c r="E85" s="47">
        <f ca="1">F$45*E$58*E62</f>
        <v>0</v>
      </c>
      <c r="F85" s="47">
        <f t="shared" ref="F85:M85" ca="1" si="28">F$45*F$58*F62</f>
        <v>0</v>
      </c>
      <c r="G85" s="47">
        <f t="shared" ca="1" si="28"/>
        <v>0</v>
      </c>
      <c r="H85" s="47">
        <f t="shared" ca="1" si="28"/>
        <v>1.3176221157032904</v>
      </c>
      <c r="I85" s="47">
        <f t="shared" si="28"/>
        <v>0</v>
      </c>
      <c r="J85" s="47">
        <f t="shared" si="28"/>
        <v>0</v>
      </c>
      <c r="K85" s="47">
        <f t="shared" ca="1" si="28"/>
        <v>0</v>
      </c>
      <c r="L85" s="47">
        <f t="shared" si="28"/>
        <v>0</v>
      </c>
      <c r="M85" s="47">
        <f t="shared" ca="1" si="28"/>
        <v>1.2859695273530606E-3</v>
      </c>
      <c r="N85" s="169">
        <f t="shared" ca="1" si="23"/>
        <v>1.3189080852306434</v>
      </c>
      <c r="O85" s="165">
        <f t="shared" ca="1" si="24"/>
        <v>7.6471760497937007E-3</v>
      </c>
      <c r="P85" s="160"/>
      <c r="Q85" s="160"/>
      <c r="R85" s="160"/>
      <c r="S85" s="160"/>
      <c r="T85" s="160"/>
      <c r="U85" s="160"/>
      <c r="V85" s="160"/>
      <c r="W85" s="160"/>
      <c r="X85" s="160"/>
    </row>
    <row r="86" spans="1:24" ht="12.75" customHeight="1">
      <c r="A86" s="156"/>
      <c r="B86" s="156"/>
      <c r="C86" s="156"/>
      <c r="D86" s="156"/>
      <c r="E86" s="156"/>
      <c r="F86" s="156"/>
      <c r="G86" s="156"/>
      <c r="H86" s="156"/>
      <c r="I86" s="156"/>
      <c r="J86" s="156"/>
      <c r="K86" s="156"/>
      <c r="L86" s="156"/>
      <c r="M86" s="156"/>
      <c r="N86" s="169"/>
      <c r="O86" s="165"/>
      <c r="P86" s="160"/>
      <c r="Q86" s="160"/>
      <c r="R86" s="160"/>
      <c r="S86" s="160"/>
      <c r="T86" s="160"/>
      <c r="U86" s="160"/>
      <c r="V86" s="160"/>
      <c r="W86" s="160"/>
      <c r="X86" s="160"/>
    </row>
    <row r="87" spans="1:24" ht="12.75" customHeight="1">
      <c r="A87" s="156" t="str">
        <f>A69</f>
        <v>RAIL</v>
      </c>
      <c r="B87" s="156" t="str">
        <f>B69</f>
        <v>Freight</v>
      </c>
      <c r="C87" s="47">
        <f t="shared" ref="C87:L87" ca="1" si="29">C$46*C69</f>
        <v>0</v>
      </c>
      <c r="D87" s="47">
        <f t="shared" si="29"/>
        <v>0</v>
      </c>
      <c r="E87" s="47">
        <f t="shared" si="29"/>
        <v>0</v>
      </c>
      <c r="F87" s="47">
        <f t="shared" ca="1" si="29"/>
        <v>0</v>
      </c>
      <c r="G87" s="47">
        <f t="shared" ca="1" si="29"/>
        <v>0</v>
      </c>
      <c r="H87" s="47">
        <f t="shared" ca="1" si="29"/>
        <v>0</v>
      </c>
      <c r="I87" s="47">
        <f t="shared" si="29"/>
        <v>0</v>
      </c>
      <c r="J87" s="47">
        <f t="shared" si="29"/>
        <v>0</v>
      </c>
      <c r="K87" s="47">
        <f t="shared" ca="1" si="29"/>
        <v>0.72036701459999997</v>
      </c>
      <c r="L87" s="47">
        <f t="shared" si="29"/>
        <v>0</v>
      </c>
      <c r="M87" s="47">
        <f ca="1">M46*M69</f>
        <v>0.77220832932092554</v>
      </c>
      <c r="N87" s="169">
        <f ca="1">SUM(C87:M87)</f>
        <v>1.4925753439209255</v>
      </c>
      <c r="O87" s="165">
        <f ca="1">N87/$N$95</f>
        <v>8.6541181681729414E-3</v>
      </c>
      <c r="P87" s="160"/>
      <c r="Q87" s="160"/>
      <c r="R87" s="160"/>
      <c r="S87" s="160"/>
      <c r="T87" s="160"/>
      <c r="U87" s="160"/>
      <c r="V87" s="160"/>
      <c r="W87" s="160"/>
      <c r="X87" s="160"/>
    </row>
    <row r="88" spans="1:24" ht="12.75" customHeight="1">
      <c r="A88" s="156" t="str">
        <f>A70</f>
        <v>RAIL</v>
      </c>
      <c r="B88" s="156" t="str">
        <f>B70</f>
        <v>Passengers</v>
      </c>
      <c r="C88" s="47">
        <f t="shared" ref="C88:L88" ca="1" si="30">C$46*C70</f>
        <v>0</v>
      </c>
      <c r="D88" s="47">
        <f t="shared" si="30"/>
        <v>0</v>
      </c>
      <c r="E88" s="47">
        <f t="shared" si="30"/>
        <v>0</v>
      </c>
      <c r="F88" s="47">
        <f t="shared" ca="1" si="30"/>
        <v>0</v>
      </c>
      <c r="G88" s="47">
        <f t="shared" ca="1" si="30"/>
        <v>0</v>
      </c>
      <c r="H88" s="47">
        <f t="shared" ca="1" si="30"/>
        <v>0</v>
      </c>
      <c r="I88" s="47">
        <f t="shared" si="30"/>
        <v>0</v>
      </c>
      <c r="J88" s="47">
        <f t="shared" si="30"/>
        <v>0</v>
      </c>
      <c r="K88" s="47">
        <f t="shared" ca="1" si="30"/>
        <v>8.9034125399999983E-2</v>
      </c>
      <c r="L88" s="47">
        <f t="shared" si="30"/>
        <v>0</v>
      </c>
      <c r="M88" s="47">
        <f ca="1">M46*M70</f>
        <v>1.2599188531025627</v>
      </c>
      <c r="N88" s="169">
        <f ca="1">SUM(C88:M88)</f>
        <v>1.3489529785025627</v>
      </c>
      <c r="O88" s="165">
        <f ca="1">N88/$N$95</f>
        <v>7.8213796890165589E-3</v>
      </c>
      <c r="P88" s="160"/>
      <c r="Q88" s="160"/>
      <c r="R88" s="160"/>
      <c r="S88" s="160"/>
      <c r="T88" s="160"/>
      <c r="U88" s="160"/>
      <c r="V88" s="160"/>
      <c r="W88" s="160"/>
      <c r="X88" s="160"/>
    </row>
    <row r="89" spans="1:24" ht="12.75" customHeight="1">
      <c r="A89" s="156"/>
      <c r="B89" s="156"/>
      <c r="C89" s="169"/>
      <c r="D89" s="169"/>
      <c r="E89" s="169"/>
      <c r="F89" s="169"/>
      <c r="G89" s="169"/>
      <c r="H89" s="169" t="s">
        <v>65</v>
      </c>
      <c r="I89" s="169"/>
      <c r="J89" s="169"/>
      <c r="K89" s="169"/>
      <c r="L89" s="169"/>
      <c r="M89" s="169"/>
      <c r="N89" s="169"/>
      <c r="O89" s="165"/>
      <c r="P89" s="160"/>
      <c r="Q89" s="160"/>
      <c r="R89" s="160"/>
      <c r="S89" s="160"/>
      <c r="T89" s="160"/>
      <c r="U89" s="160"/>
      <c r="V89" s="160"/>
      <c r="W89" s="160"/>
      <c r="X89" s="160"/>
    </row>
    <row r="90" spans="1:24" ht="12.75" customHeight="1">
      <c r="A90" s="156" t="s">
        <v>82</v>
      </c>
      <c r="B90" s="156" t="s">
        <v>110</v>
      </c>
      <c r="C90" s="47">
        <f t="shared" ref="C90:M90" si="31">C47</f>
        <v>0</v>
      </c>
      <c r="D90" s="47">
        <f t="shared" si="31"/>
        <v>0</v>
      </c>
      <c r="E90" s="47">
        <f t="shared" si="31"/>
        <v>0</v>
      </c>
      <c r="F90" s="47">
        <f t="shared" si="31"/>
        <v>0</v>
      </c>
      <c r="G90" s="47">
        <f t="shared" si="31"/>
        <v>0</v>
      </c>
      <c r="H90" s="47">
        <f t="shared" si="31"/>
        <v>1.3230807759999998</v>
      </c>
      <c r="I90" s="47">
        <f t="shared" si="31"/>
        <v>0</v>
      </c>
      <c r="J90" s="47">
        <f t="shared" si="31"/>
        <v>0</v>
      </c>
      <c r="K90" s="47">
        <f t="shared" si="31"/>
        <v>3.4696828220000002</v>
      </c>
      <c r="L90" s="47">
        <f t="shared" si="31"/>
        <v>0.42679922399999998</v>
      </c>
      <c r="M90" s="47">
        <f t="shared" si="31"/>
        <v>0</v>
      </c>
      <c r="N90" s="169">
        <f>SUM(C90:M90)</f>
        <v>5.2195628220000003</v>
      </c>
      <c r="O90" s="165">
        <f ca="1">N90/$N$95</f>
        <v>3.0263606880392976E-2</v>
      </c>
      <c r="P90" s="160"/>
      <c r="Q90" s="160"/>
      <c r="R90" s="160"/>
      <c r="S90" s="160"/>
      <c r="T90" s="160"/>
      <c r="U90" s="160"/>
      <c r="V90" s="160"/>
      <c r="W90" s="160"/>
      <c r="X90" s="160"/>
    </row>
    <row r="91" spans="1:24" ht="12.75" customHeight="1">
      <c r="A91" s="156"/>
      <c r="B91" s="156"/>
      <c r="C91" s="169"/>
      <c r="D91" s="169"/>
      <c r="E91" s="169"/>
      <c r="F91" s="169"/>
      <c r="G91" s="169"/>
      <c r="H91" s="169"/>
      <c r="I91" s="169"/>
      <c r="J91" s="169"/>
      <c r="K91" s="169"/>
      <c r="L91" s="169"/>
      <c r="M91" s="169"/>
      <c r="N91" s="169"/>
      <c r="O91" s="165"/>
      <c r="P91" s="160"/>
      <c r="Q91" s="160"/>
      <c r="R91" s="160"/>
      <c r="S91" s="160"/>
      <c r="T91" s="160"/>
      <c r="U91" s="160"/>
      <c r="V91" s="160"/>
      <c r="W91" s="160"/>
      <c r="X91" s="160"/>
    </row>
    <row r="92" spans="1:24" ht="12.75" customHeight="1">
      <c r="A92" s="156" t="s">
        <v>134</v>
      </c>
      <c r="B92" s="156" t="s">
        <v>110</v>
      </c>
      <c r="C92" s="47">
        <f t="shared" ref="C92:M92" si="32">C48</f>
        <v>0</v>
      </c>
      <c r="D92" s="47">
        <f t="shared" si="32"/>
        <v>0</v>
      </c>
      <c r="E92" s="47">
        <f t="shared" si="32"/>
        <v>0</v>
      </c>
      <c r="F92" s="47">
        <f t="shared" si="32"/>
        <v>0.12600169999999999</v>
      </c>
      <c r="G92" s="47">
        <f t="shared" si="32"/>
        <v>0</v>
      </c>
      <c r="H92" s="47">
        <f t="shared" si="32"/>
        <v>0</v>
      </c>
      <c r="I92" s="47">
        <f t="shared" si="32"/>
        <v>0</v>
      </c>
      <c r="J92" s="47">
        <f t="shared" si="32"/>
        <v>0</v>
      </c>
      <c r="K92" s="47">
        <f t="shared" si="32"/>
        <v>0</v>
      </c>
      <c r="L92" s="47">
        <f t="shared" si="32"/>
        <v>0</v>
      </c>
      <c r="M92" s="47">
        <f t="shared" si="32"/>
        <v>0</v>
      </c>
      <c r="N92" s="169">
        <f>SUM(C92:M92)</f>
        <v>0.12600169999999999</v>
      </c>
      <c r="O92" s="165">
        <f ca="1">N92/$N$95</f>
        <v>7.3057189751383567E-4</v>
      </c>
      <c r="P92" s="160"/>
      <c r="Q92" s="160"/>
      <c r="R92" s="160"/>
      <c r="S92" s="160"/>
      <c r="T92" s="160"/>
      <c r="U92" s="160"/>
      <c r="V92" s="160"/>
      <c r="W92" s="160"/>
      <c r="X92" s="160"/>
    </row>
    <row r="93" spans="1:24" ht="12.75" customHeight="1">
      <c r="A93" s="156"/>
      <c r="B93" s="156"/>
      <c r="C93" s="155"/>
      <c r="D93" s="155"/>
      <c r="E93" s="155"/>
      <c r="F93" s="155"/>
      <c r="G93" s="155"/>
      <c r="H93" s="155"/>
      <c r="I93" s="155"/>
      <c r="J93" s="155"/>
      <c r="K93" s="155"/>
      <c r="L93" s="155"/>
      <c r="M93" s="155"/>
      <c r="N93" s="155"/>
      <c r="O93" s="165"/>
      <c r="P93" s="160"/>
      <c r="Q93" s="160"/>
      <c r="R93" s="160"/>
      <c r="S93" s="160"/>
      <c r="T93" s="160"/>
      <c r="U93" s="160"/>
      <c r="V93" s="160"/>
      <c r="W93" s="160"/>
      <c r="X93" s="160"/>
    </row>
    <row r="94" spans="1:24" ht="12.75" customHeight="1">
      <c r="A94" s="156" t="s">
        <v>126</v>
      </c>
      <c r="B94" s="156" t="s">
        <v>110</v>
      </c>
      <c r="C94" s="47">
        <f t="shared" ref="C94:M94" si="33">C49</f>
        <v>0</v>
      </c>
      <c r="D94" s="47">
        <f t="shared" si="33"/>
        <v>0</v>
      </c>
      <c r="E94" s="47">
        <f t="shared" si="33"/>
        <v>0</v>
      </c>
      <c r="F94" s="47">
        <f t="shared" si="33"/>
        <v>0.17863393698472663</v>
      </c>
      <c r="G94" s="47">
        <f t="shared" si="33"/>
        <v>0</v>
      </c>
      <c r="H94" s="47">
        <f t="shared" si="33"/>
        <v>0</v>
      </c>
      <c r="I94" s="47">
        <f t="shared" si="33"/>
        <v>0</v>
      </c>
      <c r="J94" s="47">
        <f t="shared" si="33"/>
        <v>0</v>
      </c>
      <c r="K94" s="47">
        <f t="shared" si="33"/>
        <v>2.7528810436104276</v>
      </c>
      <c r="L94" s="47">
        <f t="shared" si="33"/>
        <v>10.634880233679986</v>
      </c>
      <c r="M94" s="47">
        <f t="shared" si="33"/>
        <v>0</v>
      </c>
      <c r="N94" s="169">
        <f>SUM(C94:M94)</f>
        <v>13.56639521427514</v>
      </c>
      <c r="O94" s="165">
        <f ca="1">N94/$N$95</f>
        <v>7.8659471214401144E-2</v>
      </c>
      <c r="P94" s="160"/>
      <c r="Q94" s="160"/>
      <c r="R94" s="160"/>
      <c r="S94" s="160"/>
      <c r="T94" s="160"/>
      <c r="U94" s="160"/>
      <c r="V94" s="160"/>
      <c r="W94" s="160"/>
      <c r="X94" s="160"/>
    </row>
    <row r="95" spans="1:24" ht="12.75" customHeight="1">
      <c r="A95" s="158" t="s">
        <v>78</v>
      </c>
      <c r="B95" s="174"/>
      <c r="C95" s="170">
        <f t="shared" ref="C95:N95" ca="1" si="34">SUM(C75:C94)</f>
        <v>0</v>
      </c>
      <c r="D95" s="170">
        <f t="shared" ca="1" si="34"/>
        <v>0</v>
      </c>
      <c r="E95" s="170">
        <f t="shared" ca="1" si="34"/>
        <v>5.1707704423752325</v>
      </c>
      <c r="F95" s="170">
        <f t="shared" ca="1" si="34"/>
        <v>0.61035111767371131</v>
      </c>
      <c r="G95" s="170">
        <f t="shared" ca="1" si="34"/>
        <v>0</v>
      </c>
      <c r="H95" s="170">
        <f t="shared" ca="1" si="34"/>
        <v>48.294218461474983</v>
      </c>
      <c r="I95" s="170">
        <f t="shared" si="34"/>
        <v>2.639946E-2</v>
      </c>
      <c r="J95" s="170">
        <f t="shared" si="34"/>
        <v>5.667399839999999</v>
      </c>
      <c r="K95" s="170">
        <f t="shared" ca="1" si="34"/>
        <v>99.540087260470159</v>
      </c>
      <c r="L95" s="170">
        <f t="shared" si="34"/>
        <v>11.061679457679986</v>
      </c>
      <c r="M95" s="170">
        <f t="shared" ca="1" si="34"/>
        <v>2.0990458278815161</v>
      </c>
      <c r="N95" s="170">
        <f t="shared" ca="1" si="34"/>
        <v>172.46995186755558</v>
      </c>
      <c r="O95" s="171">
        <f ca="1">N95/$N$95</f>
        <v>1</v>
      </c>
      <c r="P95" s="261">
        <f ca="1">SUM(P75:P94)</f>
        <v>0.77994806916414017</v>
      </c>
      <c r="Q95" s="261">
        <f ca="1">SUM(Q75:Q94)</f>
        <v>4.3908223732110923</v>
      </c>
      <c r="R95" s="160"/>
      <c r="S95" s="160"/>
      <c r="T95" s="160"/>
      <c r="U95" s="160"/>
      <c r="V95" s="160"/>
      <c r="W95" s="160"/>
      <c r="X95" s="160"/>
    </row>
    <row r="96" spans="1:24" ht="12.75" customHeight="1">
      <c r="A96" s="159" t="s">
        <v>250</v>
      </c>
      <c r="B96" s="159"/>
      <c r="C96" s="171">
        <f t="shared" ref="C96:N96" ca="1" si="35">C95/$N$95</f>
        <v>0</v>
      </c>
      <c r="D96" s="171">
        <f t="shared" ca="1" si="35"/>
        <v>0</v>
      </c>
      <c r="E96" s="171">
        <f t="shared" ca="1" si="35"/>
        <v>2.9980703226182896E-2</v>
      </c>
      <c r="F96" s="171">
        <f t="shared" ca="1" si="35"/>
        <v>3.5388837943343123E-3</v>
      </c>
      <c r="G96" s="171">
        <f t="shared" ca="1" si="35"/>
        <v>0</v>
      </c>
      <c r="H96" s="171">
        <f t="shared" ca="1" si="35"/>
        <v>0.28001526027305579</v>
      </c>
      <c r="I96" s="171">
        <f t="shared" ca="1" si="35"/>
        <v>1.5306701088588969E-4</v>
      </c>
      <c r="J96" s="171">
        <f t="shared" ca="1" si="35"/>
        <v>3.2860215815170811E-2</v>
      </c>
      <c r="K96" s="171">
        <f t="shared" ca="1" si="35"/>
        <v>0.57714451811820378</v>
      </c>
      <c r="L96" s="171">
        <f t="shared" ca="1" si="35"/>
        <v>6.4136850146363777E-2</v>
      </c>
      <c r="M96" s="171">
        <f t="shared" ca="1" si="35"/>
        <v>1.2170501615802798E-2</v>
      </c>
      <c r="N96" s="171">
        <f t="shared" ca="1" si="35"/>
        <v>1</v>
      </c>
      <c r="O96" s="159"/>
      <c r="P96" s="160"/>
      <c r="Q96" s="160"/>
      <c r="R96" s="160"/>
      <c r="S96" s="160"/>
      <c r="T96" s="160"/>
      <c r="U96" s="160"/>
      <c r="V96" s="160"/>
      <c r="W96" s="160"/>
      <c r="X96" s="160"/>
    </row>
    <row r="97" spans="1:24">
      <c r="A97" s="160"/>
      <c r="B97" s="160"/>
      <c r="C97" s="160"/>
      <c r="D97" s="160"/>
      <c r="E97" s="160"/>
      <c r="F97" s="160"/>
      <c r="G97" s="160"/>
      <c r="H97" s="160"/>
      <c r="I97" s="160"/>
      <c r="J97" s="160"/>
      <c r="K97" s="160"/>
      <c r="L97" s="160"/>
      <c r="M97" s="160"/>
      <c r="N97" s="160"/>
      <c r="O97" s="160"/>
      <c r="P97" s="160"/>
      <c r="Q97" s="160"/>
      <c r="R97" s="160"/>
      <c r="S97" s="160"/>
      <c r="T97" s="160"/>
      <c r="U97" s="160"/>
      <c r="V97" s="160"/>
      <c r="W97" s="160"/>
      <c r="X97" s="160"/>
    </row>
    <row r="98" spans="1:24" ht="18">
      <c r="B98" s="104" t="s">
        <v>277</v>
      </c>
      <c r="C98" s="111"/>
      <c r="D98" s="111"/>
      <c r="E98" s="111"/>
      <c r="F98" s="111"/>
      <c r="G98" s="111"/>
      <c r="H98" s="160"/>
      <c r="I98" s="160"/>
      <c r="J98" s="160"/>
      <c r="K98" s="160"/>
      <c r="L98" s="160"/>
      <c r="M98" s="160"/>
      <c r="N98" s="160"/>
      <c r="O98" s="160"/>
      <c r="P98" s="160"/>
      <c r="Q98" s="160"/>
      <c r="R98" s="167"/>
      <c r="S98" s="160"/>
      <c r="T98" s="160"/>
      <c r="U98" s="160"/>
      <c r="V98" s="160"/>
      <c r="W98" s="160"/>
      <c r="X98" s="160"/>
    </row>
    <row r="99" spans="1:24">
      <c r="A99" s="154"/>
      <c r="B99" s="152" t="s">
        <v>90</v>
      </c>
      <c r="C99" s="161"/>
      <c r="D99" s="161"/>
      <c r="E99" s="161"/>
      <c r="F99" s="161"/>
      <c r="G99" s="161"/>
      <c r="H99" s="161"/>
      <c r="I99" s="161"/>
      <c r="J99" s="161"/>
      <c r="K99" s="161"/>
      <c r="L99" s="161"/>
      <c r="M99" s="161"/>
      <c r="N99" s="160"/>
      <c r="O99" s="160"/>
      <c r="P99" s="160"/>
      <c r="Q99" s="160"/>
      <c r="R99" s="160"/>
      <c r="S99" s="160"/>
      <c r="T99" s="160"/>
      <c r="U99" s="160"/>
      <c r="V99" s="160"/>
      <c r="W99" s="160"/>
      <c r="X99" s="160"/>
    </row>
    <row r="100" spans="1:24">
      <c r="A100" s="152" t="s">
        <v>340</v>
      </c>
      <c r="B100" s="162" t="s">
        <v>341</v>
      </c>
      <c r="C100" s="163" t="s">
        <v>342</v>
      </c>
      <c r="D100" s="164" t="s">
        <v>124</v>
      </c>
      <c r="E100" s="164" t="s">
        <v>267</v>
      </c>
      <c r="F100" s="163" t="s">
        <v>346</v>
      </c>
      <c r="G100" s="164" t="s">
        <v>268</v>
      </c>
      <c r="H100" s="164" t="s">
        <v>239</v>
      </c>
      <c r="I100" s="164" t="s">
        <v>71</v>
      </c>
      <c r="J100" s="164" t="s">
        <v>85</v>
      </c>
      <c r="K100" s="164" t="s">
        <v>75</v>
      </c>
      <c r="L100" s="164" t="s">
        <v>86</v>
      </c>
      <c r="M100" s="164" t="s">
        <v>88</v>
      </c>
      <c r="N100" s="164" t="s">
        <v>74</v>
      </c>
      <c r="O100" s="164" t="s">
        <v>72</v>
      </c>
      <c r="P100" s="164" t="s">
        <v>73</v>
      </c>
      <c r="Q100" s="164" t="s">
        <v>89</v>
      </c>
      <c r="R100" s="164" t="s">
        <v>77</v>
      </c>
      <c r="S100" s="164" t="s">
        <v>240</v>
      </c>
      <c r="T100" s="164" t="s">
        <v>241</v>
      </c>
      <c r="U100" s="164" t="s">
        <v>242</v>
      </c>
      <c r="V100" s="164" t="s">
        <v>243</v>
      </c>
      <c r="W100" s="164" t="s">
        <v>33</v>
      </c>
      <c r="X100" s="164" t="s">
        <v>78</v>
      </c>
    </row>
    <row r="101" spans="1:24">
      <c r="A101" s="156" t="s">
        <v>34</v>
      </c>
      <c r="B101" s="50">
        <v>0</v>
      </c>
      <c r="C101" s="51">
        <v>0</v>
      </c>
      <c r="D101" s="51">
        <v>0</v>
      </c>
      <c r="E101" s="52">
        <v>0</v>
      </c>
      <c r="F101" s="52">
        <v>0</v>
      </c>
      <c r="G101" s="52">
        <v>0</v>
      </c>
      <c r="H101" s="52">
        <v>0</v>
      </c>
      <c r="I101" s="51">
        <v>0</v>
      </c>
      <c r="J101" s="51">
        <v>0</v>
      </c>
      <c r="K101" s="51">
        <v>0</v>
      </c>
      <c r="L101" s="51">
        <v>0</v>
      </c>
      <c r="M101" s="51">
        <v>0</v>
      </c>
      <c r="N101" s="51">
        <v>0</v>
      </c>
      <c r="O101" s="51">
        <v>0</v>
      </c>
      <c r="P101" s="51">
        <v>0</v>
      </c>
      <c r="Q101" s="51">
        <v>0</v>
      </c>
      <c r="R101" s="51">
        <v>0</v>
      </c>
      <c r="S101" s="51">
        <v>0</v>
      </c>
      <c r="T101" s="51">
        <v>0</v>
      </c>
      <c r="U101" s="51">
        <v>0</v>
      </c>
      <c r="V101" s="51">
        <v>0</v>
      </c>
      <c r="W101" s="51">
        <v>0</v>
      </c>
      <c r="X101" s="52">
        <v>0</v>
      </c>
    </row>
    <row r="102" spans="1:24">
      <c r="B102" s="43" t="s">
        <v>92</v>
      </c>
      <c r="C102" s="43" t="s">
        <v>187</v>
      </c>
      <c r="D102" s="39" t="s">
        <v>196</v>
      </c>
      <c r="E102" s="39" t="s">
        <v>125</v>
      </c>
      <c r="F102" s="39" t="s">
        <v>197</v>
      </c>
      <c r="G102" s="39" t="s">
        <v>198</v>
      </c>
      <c r="H102" s="39" t="s">
        <v>244</v>
      </c>
      <c r="I102" s="43" t="s">
        <v>91</v>
      </c>
      <c r="J102" s="43" t="s">
        <v>334</v>
      </c>
      <c r="K102" s="43" t="s">
        <v>96</v>
      </c>
      <c r="L102" s="43" t="s">
        <v>131</v>
      </c>
      <c r="M102" s="43" t="s">
        <v>133</v>
      </c>
      <c r="N102" s="43" t="s">
        <v>95</v>
      </c>
      <c r="O102" s="39" t="s">
        <v>94</v>
      </c>
      <c r="P102" s="39" t="s">
        <v>93</v>
      </c>
      <c r="Q102" s="43" t="s">
        <v>220</v>
      </c>
      <c r="R102" s="43" t="s">
        <v>60</v>
      </c>
      <c r="S102" s="43" t="s">
        <v>245</v>
      </c>
      <c r="T102" s="39" t="s">
        <v>214</v>
      </c>
      <c r="U102" s="43" t="s">
        <v>193</v>
      </c>
      <c r="V102" s="43" t="s">
        <v>246</v>
      </c>
      <c r="W102" s="43" t="s">
        <v>217</v>
      </c>
      <c r="X102" s="160"/>
    </row>
    <row r="103" spans="1:24">
      <c r="A103" s="160"/>
      <c r="B103" s="160"/>
      <c r="C103" s="160"/>
      <c r="D103" s="160"/>
      <c r="E103" s="160"/>
      <c r="F103" s="160"/>
      <c r="G103" s="160"/>
      <c r="H103" s="160"/>
      <c r="I103" s="160"/>
      <c r="J103" s="160"/>
      <c r="K103" s="160"/>
      <c r="L103" s="160"/>
      <c r="M103" s="160"/>
      <c r="N103" s="160"/>
      <c r="O103" s="160"/>
      <c r="P103" s="160"/>
      <c r="Q103" s="160"/>
      <c r="R103" s="160"/>
      <c r="S103" s="160"/>
      <c r="T103" s="160"/>
      <c r="U103" s="160"/>
      <c r="V103" s="160"/>
      <c r="W103" s="160"/>
      <c r="X103" s="160"/>
    </row>
    <row r="104" spans="1:24">
      <c r="A104" s="160"/>
      <c r="B104" s="160"/>
      <c r="C104" s="160"/>
      <c r="D104" s="160"/>
      <c r="E104" s="160"/>
      <c r="F104" s="160"/>
      <c r="G104" s="160"/>
      <c r="H104" s="160"/>
      <c r="I104" s="160"/>
      <c r="J104" s="160"/>
      <c r="K104" s="160"/>
      <c r="L104" s="160"/>
      <c r="M104" s="160"/>
      <c r="N104" s="160"/>
      <c r="O104" s="160"/>
      <c r="P104" s="160"/>
      <c r="Q104" s="160"/>
      <c r="R104" s="160"/>
      <c r="S104" s="160"/>
      <c r="T104" s="160"/>
      <c r="U104" s="160"/>
      <c r="V104" s="160"/>
      <c r="W104" s="160"/>
      <c r="X104" s="160"/>
    </row>
    <row r="105" spans="1:24">
      <c r="A105" s="160"/>
      <c r="B105" s="160"/>
      <c r="C105" s="160"/>
      <c r="D105" s="160"/>
      <c r="E105" s="160"/>
      <c r="F105" s="160"/>
      <c r="G105" s="160"/>
      <c r="H105" s="160"/>
      <c r="I105" s="160"/>
      <c r="J105" s="160"/>
      <c r="K105" s="172"/>
      <c r="L105" s="173"/>
      <c r="M105" s="173"/>
      <c r="N105" s="173"/>
      <c r="O105" s="173"/>
      <c r="P105" s="172"/>
      <c r="Q105" s="160"/>
      <c r="R105" s="160"/>
      <c r="S105" s="160"/>
      <c r="T105" s="160"/>
      <c r="U105" s="160"/>
      <c r="V105" s="160"/>
      <c r="W105" s="160"/>
      <c r="X105" s="160"/>
    </row>
    <row r="107" spans="1:24">
      <c r="H107" s="227"/>
      <c r="I107" s="227"/>
      <c r="J107" s="227"/>
      <c r="K107" s="227"/>
      <c r="L107" s="227"/>
      <c r="M107" s="227"/>
    </row>
  </sheetData>
  <phoneticPr fontId="0" type="noConversion"/>
  <pageMargins left="0.75" right="0.75" top="1" bottom="1" header="0.5" footer="0.5"/>
  <pageSetup orientation="landscape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showGridLines="0" showRowColHeaders="0" showZeros="0" showOutlineSymbols="0" zoomScale="75" workbookViewId="0">
      <pane xSplit="5" ySplit="3" topLeftCell="F77" activePane="bottomRight" state="frozen"/>
      <selection activeCell="A17" sqref="A17"/>
      <selection pane="topRight" activeCell="A17" sqref="A17"/>
      <selection pane="bottomLeft" activeCell="A17" sqref="A17"/>
      <selection pane="bottomRight" activeCell="A17" sqref="A17"/>
    </sheetView>
  </sheetViews>
  <sheetFormatPr defaultColWidth="0" defaultRowHeight="12.75" zeroHeight="1"/>
  <cols>
    <col min="1" max="1" width="12.140625" style="355" hidden="1" customWidth="1"/>
    <col min="2" max="2" width="12.5703125" style="355" hidden="1" customWidth="1"/>
    <col min="3" max="3" width="0" style="355" hidden="1" customWidth="1"/>
    <col min="4" max="5" width="5.140625" style="355" hidden="1" customWidth="1"/>
    <col min="6" max="16384" width="0" style="355" hidden="1"/>
  </cols>
  <sheetData>
    <row r="1" spans="1:17" hidden="1">
      <c r="B1" s="356" t="s">
        <v>362</v>
      </c>
      <c r="C1" s="357">
        <f>MATCH(Region,$F$3:$L$3,0)</f>
        <v>2</v>
      </c>
      <c r="D1" s="356"/>
      <c r="E1" s="358"/>
      <c r="F1" s="359"/>
      <c r="O1" s="360">
        <f>CODE("A")-1</f>
        <v>64</v>
      </c>
    </row>
    <row r="2" spans="1:17" ht="15" hidden="1">
      <c r="F2" s="361" t="s">
        <v>363</v>
      </c>
      <c r="J2" s="361" t="s">
        <v>463</v>
      </c>
      <c r="K2" s="361"/>
    </row>
    <row r="3" spans="1:17" ht="13.5" hidden="1" thickBot="1">
      <c r="A3" s="362" t="s">
        <v>367</v>
      </c>
      <c r="B3" s="362" t="s">
        <v>368</v>
      </c>
      <c r="C3" s="362" t="s">
        <v>90</v>
      </c>
      <c r="D3" s="362" t="s">
        <v>369</v>
      </c>
      <c r="E3" s="362" t="s">
        <v>370</v>
      </c>
      <c r="F3" s="363" t="s">
        <v>364</v>
      </c>
      <c r="G3" s="363" t="s">
        <v>396</v>
      </c>
      <c r="H3" s="364" t="s">
        <v>458</v>
      </c>
      <c r="J3" s="363" t="s">
        <v>364</v>
      </c>
      <c r="K3" s="363" t="s">
        <v>396</v>
      </c>
      <c r="L3" s="364" t="s">
        <v>458</v>
      </c>
      <c r="N3" s="365" t="str">
        <f>Region</f>
        <v>FIN</v>
      </c>
      <c r="O3" s="365" t="str">
        <f>Region</f>
        <v>FIN</v>
      </c>
      <c r="Q3" s="366" t="s">
        <v>479</v>
      </c>
    </row>
    <row r="4" spans="1:17" hidden="1">
      <c r="A4" s="355" t="s">
        <v>181</v>
      </c>
      <c r="B4" s="355" t="s">
        <v>160</v>
      </c>
      <c r="C4" s="367" t="s">
        <v>90</v>
      </c>
      <c r="D4" s="367" t="s">
        <v>371</v>
      </c>
      <c r="E4" s="367">
        <v>58</v>
      </c>
      <c r="F4" s="368">
        <v>1</v>
      </c>
      <c r="G4" s="369">
        <v>1</v>
      </c>
      <c r="H4" s="366">
        <v>1</v>
      </c>
      <c r="I4" s="370"/>
      <c r="J4" s="368">
        <v>1</v>
      </c>
      <c r="K4" s="371">
        <v>1</v>
      </c>
      <c r="L4" s="372">
        <v>1</v>
      </c>
      <c r="N4" s="373">
        <f t="shared" ref="N4:N35" ca="1" si="0">OFFSET($E4,0,RegIndex)</f>
        <v>1</v>
      </c>
      <c r="O4" s="373">
        <f t="shared" ref="O4:O35" ca="1" si="1">OFFSET($I4,0,RegIndex)</f>
        <v>1</v>
      </c>
      <c r="Q4" s="355" t="s">
        <v>480</v>
      </c>
    </row>
    <row r="5" spans="1:17" hidden="1">
      <c r="A5" s="355" t="s">
        <v>141</v>
      </c>
      <c r="B5" s="355" t="s">
        <v>160</v>
      </c>
      <c r="C5" s="367" t="s">
        <v>90</v>
      </c>
      <c r="D5" s="367" t="s">
        <v>371</v>
      </c>
      <c r="E5" s="367">
        <v>59</v>
      </c>
      <c r="F5" s="368">
        <v>0.47</v>
      </c>
      <c r="G5" s="369">
        <v>0.47</v>
      </c>
      <c r="H5" s="366">
        <v>0.47</v>
      </c>
      <c r="I5" s="370"/>
      <c r="J5" s="368">
        <v>0.47</v>
      </c>
      <c r="K5" s="371">
        <v>0.47</v>
      </c>
      <c r="L5" s="372">
        <v>0.47</v>
      </c>
      <c r="N5" s="373">
        <f t="shared" ca="1" si="0"/>
        <v>0.47</v>
      </c>
      <c r="O5" s="373">
        <f t="shared" ca="1" si="1"/>
        <v>0.47</v>
      </c>
    </row>
    <row r="6" spans="1:17" hidden="1">
      <c r="A6" s="355" t="s">
        <v>142</v>
      </c>
      <c r="B6" s="355" t="s">
        <v>160</v>
      </c>
      <c r="C6" s="355" t="s">
        <v>90</v>
      </c>
      <c r="D6" s="367" t="s">
        <v>371</v>
      </c>
      <c r="E6" s="367">
        <v>60</v>
      </c>
      <c r="F6" s="368">
        <v>0.53</v>
      </c>
      <c r="G6" s="369">
        <v>0.53</v>
      </c>
      <c r="H6" s="366">
        <v>0.53</v>
      </c>
      <c r="I6" s="370"/>
      <c r="J6" s="368">
        <v>0.53</v>
      </c>
      <c r="K6" s="371">
        <v>0.53</v>
      </c>
      <c r="L6" s="372">
        <v>0.53</v>
      </c>
      <c r="N6" s="373">
        <f t="shared" ca="1" si="0"/>
        <v>0.53</v>
      </c>
      <c r="O6" s="373">
        <f t="shared" ca="1" si="1"/>
        <v>0.53</v>
      </c>
    </row>
    <row r="7" spans="1:17" hidden="1">
      <c r="A7" s="355" t="s">
        <v>200</v>
      </c>
      <c r="B7" s="355" t="s">
        <v>160</v>
      </c>
      <c r="C7" s="355" t="s">
        <v>90</v>
      </c>
      <c r="D7" s="367" t="s">
        <v>371</v>
      </c>
      <c r="E7" s="367">
        <v>61</v>
      </c>
      <c r="F7" s="368">
        <v>0</v>
      </c>
      <c r="G7" s="369">
        <v>0</v>
      </c>
      <c r="H7" s="366">
        <v>0</v>
      </c>
      <c r="I7" s="370"/>
      <c r="J7" s="368">
        <v>0</v>
      </c>
      <c r="K7" s="371">
        <v>0</v>
      </c>
      <c r="L7" s="372">
        <v>0</v>
      </c>
      <c r="N7" s="373">
        <f t="shared" ca="1" si="0"/>
        <v>0</v>
      </c>
      <c r="O7" s="373">
        <f t="shared" ca="1" si="1"/>
        <v>0</v>
      </c>
    </row>
    <row r="8" spans="1:17" hidden="1">
      <c r="A8" s="355" t="s">
        <v>201</v>
      </c>
      <c r="B8" s="355" t="s">
        <v>160</v>
      </c>
      <c r="C8" s="355" t="s">
        <v>90</v>
      </c>
      <c r="D8" s="367" t="s">
        <v>371</v>
      </c>
      <c r="E8" s="367">
        <v>62</v>
      </c>
      <c r="F8" s="368">
        <v>0</v>
      </c>
      <c r="G8" s="369">
        <v>0</v>
      </c>
      <c r="H8" s="366">
        <v>0</v>
      </c>
      <c r="I8" s="370"/>
      <c r="J8" s="368">
        <v>0</v>
      </c>
      <c r="K8" s="371">
        <v>0</v>
      </c>
      <c r="L8" s="372">
        <v>0</v>
      </c>
      <c r="N8" s="373">
        <f t="shared" ca="1" si="0"/>
        <v>0</v>
      </c>
      <c r="O8" s="373">
        <f t="shared" ca="1" si="1"/>
        <v>0</v>
      </c>
    </row>
    <row r="9" spans="1:17" hidden="1">
      <c r="A9" s="355" t="s">
        <v>107</v>
      </c>
      <c r="B9" s="355" t="s">
        <v>160</v>
      </c>
      <c r="C9" s="355" t="s">
        <v>90</v>
      </c>
      <c r="D9" s="367" t="s">
        <v>371</v>
      </c>
      <c r="E9" s="367">
        <v>64</v>
      </c>
      <c r="F9" s="368">
        <v>0</v>
      </c>
      <c r="G9" s="369">
        <v>0</v>
      </c>
      <c r="H9" s="366">
        <v>0</v>
      </c>
      <c r="I9" s="370"/>
      <c r="J9" s="368">
        <v>0</v>
      </c>
      <c r="K9" s="371">
        <v>0</v>
      </c>
      <c r="L9" s="372">
        <v>0</v>
      </c>
      <c r="N9" s="373">
        <f t="shared" ca="1" si="0"/>
        <v>0</v>
      </c>
      <c r="O9" s="373">
        <f t="shared" ca="1" si="1"/>
        <v>0</v>
      </c>
    </row>
    <row r="10" spans="1:17" hidden="1">
      <c r="A10" s="355" t="s">
        <v>108</v>
      </c>
      <c r="B10" s="355" t="s">
        <v>160</v>
      </c>
      <c r="C10" s="355" t="s">
        <v>90</v>
      </c>
      <c r="D10" s="367" t="s">
        <v>371</v>
      </c>
      <c r="E10" s="367">
        <v>65</v>
      </c>
      <c r="F10" s="368">
        <v>0</v>
      </c>
      <c r="G10" s="369">
        <v>0</v>
      </c>
      <c r="H10" s="366">
        <v>0</v>
      </c>
      <c r="I10" s="370"/>
      <c r="J10" s="368">
        <v>0</v>
      </c>
      <c r="K10" s="371">
        <v>0</v>
      </c>
      <c r="L10" s="372">
        <v>0</v>
      </c>
      <c r="N10" s="373">
        <f t="shared" ca="1" si="0"/>
        <v>0</v>
      </c>
      <c r="O10" s="373">
        <f t="shared" ca="1" si="1"/>
        <v>0</v>
      </c>
    </row>
    <row r="11" spans="1:17" hidden="1">
      <c r="A11" s="355" t="s">
        <v>256</v>
      </c>
      <c r="B11" s="355" t="s">
        <v>160</v>
      </c>
      <c r="C11" s="355" t="s">
        <v>90</v>
      </c>
      <c r="D11" s="367" t="s">
        <v>371</v>
      </c>
      <c r="E11" s="367">
        <v>66</v>
      </c>
      <c r="F11" s="368">
        <v>0</v>
      </c>
      <c r="G11" s="369">
        <v>0</v>
      </c>
      <c r="H11" s="366">
        <v>0</v>
      </c>
      <c r="I11" s="370"/>
      <c r="J11" s="368">
        <v>0</v>
      </c>
      <c r="K11" s="371">
        <v>0</v>
      </c>
      <c r="L11" s="372">
        <v>0</v>
      </c>
      <c r="N11" s="373">
        <f t="shared" ca="1" si="0"/>
        <v>0</v>
      </c>
      <c r="O11" s="373">
        <f t="shared" ca="1" si="1"/>
        <v>0</v>
      </c>
    </row>
    <row r="12" spans="1:17" hidden="1">
      <c r="A12" s="355" t="s">
        <v>116</v>
      </c>
      <c r="B12" s="355" t="s">
        <v>160</v>
      </c>
      <c r="C12" s="355" t="s">
        <v>90</v>
      </c>
      <c r="D12" s="367" t="s">
        <v>371</v>
      </c>
      <c r="E12" s="367">
        <v>67</v>
      </c>
      <c r="F12" s="368">
        <v>0</v>
      </c>
      <c r="G12" s="369">
        <v>0</v>
      </c>
      <c r="H12" s="366">
        <v>0</v>
      </c>
      <c r="I12" s="370"/>
      <c r="J12" s="368">
        <v>0</v>
      </c>
      <c r="K12" s="371">
        <v>0</v>
      </c>
      <c r="L12" s="372">
        <v>0</v>
      </c>
      <c r="N12" s="373">
        <f t="shared" ca="1" si="0"/>
        <v>0</v>
      </c>
      <c r="O12" s="373">
        <f t="shared" ca="1" si="1"/>
        <v>0</v>
      </c>
    </row>
    <row r="13" spans="1:17" hidden="1">
      <c r="A13" s="355" t="s">
        <v>181</v>
      </c>
      <c r="B13" s="355" t="s">
        <v>161</v>
      </c>
      <c r="C13" s="355" t="s">
        <v>90</v>
      </c>
      <c r="D13" s="367" t="s">
        <v>372</v>
      </c>
      <c r="E13" s="367">
        <v>58</v>
      </c>
      <c r="F13" s="368">
        <v>1</v>
      </c>
      <c r="G13" s="369">
        <v>1</v>
      </c>
      <c r="H13" s="366">
        <v>1</v>
      </c>
      <c r="I13" s="370"/>
      <c r="J13" s="368">
        <v>1</v>
      </c>
      <c r="K13" s="371">
        <v>1</v>
      </c>
      <c r="L13" s="372">
        <v>1</v>
      </c>
      <c r="N13" s="373">
        <f t="shared" ca="1" si="0"/>
        <v>1</v>
      </c>
      <c r="O13" s="373">
        <f t="shared" ca="1" si="1"/>
        <v>1</v>
      </c>
    </row>
    <row r="14" spans="1:17" hidden="1">
      <c r="A14" s="355" t="s">
        <v>141</v>
      </c>
      <c r="B14" s="355" t="s">
        <v>161</v>
      </c>
      <c r="C14" s="355" t="s">
        <v>90</v>
      </c>
      <c r="D14" s="367" t="s">
        <v>372</v>
      </c>
      <c r="E14" s="367">
        <v>59</v>
      </c>
      <c r="F14" s="368">
        <v>0.2</v>
      </c>
      <c r="G14" s="369">
        <v>0.83</v>
      </c>
      <c r="H14" s="366">
        <v>0.83</v>
      </c>
      <c r="I14" s="370"/>
      <c r="J14" s="368">
        <v>0.2</v>
      </c>
      <c r="K14" s="371">
        <v>0.83</v>
      </c>
      <c r="L14" s="372">
        <v>0.83</v>
      </c>
      <c r="N14" s="373">
        <f t="shared" ca="1" si="0"/>
        <v>0.83</v>
      </c>
      <c r="O14" s="373">
        <f t="shared" ca="1" si="1"/>
        <v>0.83</v>
      </c>
    </row>
    <row r="15" spans="1:17" hidden="1">
      <c r="A15" s="355" t="s">
        <v>142</v>
      </c>
      <c r="B15" s="355" t="s">
        <v>161</v>
      </c>
      <c r="C15" s="355" t="s">
        <v>90</v>
      </c>
      <c r="D15" s="367" t="s">
        <v>372</v>
      </c>
      <c r="E15" s="367">
        <v>60</v>
      </c>
      <c r="F15" s="368">
        <v>0.8</v>
      </c>
      <c r="G15" s="369">
        <v>0.17</v>
      </c>
      <c r="H15" s="366">
        <v>0.17</v>
      </c>
      <c r="I15" s="370"/>
      <c r="J15" s="368">
        <v>0.8</v>
      </c>
      <c r="K15" s="371">
        <v>0.17</v>
      </c>
      <c r="L15" s="372">
        <v>0.17</v>
      </c>
      <c r="N15" s="373">
        <f t="shared" ca="1" si="0"/>
        <v>0.17</v>
      </c>
      <c r="O15" s="373">
        <f t="shared" ca="1" si="1"/>
        <v>0.17</v>
      </c>
    </row>
    <row r="16" spans="1:17" hidden="1">
      <c r="A16" s="355" t="s">
        <v>200</v>
      </c>
      <c r="B16" s="355" t="s">
        <v>161</v>
      </c>
      <c r="C16" s="355" t="s">
        <v>90</v>
      </c>
      <c r="D16" s="367" t="s">
        <v>372</v>
      </c>
      <c r="E16" s="367">
        <v>61</v>
      </c>
      <c r="F16" s="368">
        <v>0</v>
      </c>
      <c r="G16" s="369">
        <v>0</v>
      </c>
      <c r="H16" s="366">
        <v>0</v>
      </c>
      <c r="I16" s="370"/>
      <c r="J16" s="368">
        <v>0</v>
      </c>
      <c r="K16" s="371">
        <v>0</v>
      </c>
      <c r="L16" s="372">
        <v>0</v>
      </c>
      <c r="N16" s="373">
        <f t="shared" ca="1" si="0"/>
        <v>0</v>
      </c>
      <c r="O16" s="373">
        <f t="shared" ca="1" si="1"/>
        <v>0</v>
      </c>
    </row>
    <row r="17" spans="1:15" hidden="1">
      <c r="A17" s="355" t="s">
        <v>201</v>
      </c>
      <c r="B17" s="355" t="s">
        <v>161</v>
      </c>
      <c r="C17" s="355" t="s">
        <v>90</v>
      </c>
      <c r="D17" s="367" t="s">
        <v>372</v>
      </c>
      <c r="E17" s="367">
        <v>62</v>
      </c>
      <c r="F17" s="368">
        <v>0</v>
      </c>
      <c r="G17" s="369">
        <v>0</v>
      </c>
      <c r="H17" s="366">
        <v>0</v>
      </c>
      <c r="I17" s="370"/>
      <c r="J17" s="368">
        <v>0</v>
      </c>
      <c r="K17" s="371">
        <v>0</v>
      </c>
      <c r="L17" s="372">
        <v>0</v>
      </c>
      <c r="N17" s="373">
        <f t="shared" ca="1" si="0"/>
        <v>0</v>
      </c>
      <c r="O17" s="373">
        <f t="shared" ca="1" si="1"/>
        <v>0</v>
      </c>
    </row>
    <row r="18" spans="1:15" hidden="1">
      <c r="A18" s="355" t="s">
        <v>107</v>
      </c>
      <c r="B18" s="355" t="s">
        <v>161</v>
      </c>
      <c r="C18" s="355" t="s">
        <v>90</v>
      </c>
      <c r="D18" s="367" t="s">
        <v>372</v>
      </c>
      <c r="E18" s="367">
        <v>64</v>
      </c>
      <c r="F18" s="368">
        <v>0</v>
      </c>
      <c r="G18" s="369">
        <v>0</v>
      </c>
      <c r="H18" s="366">
        <v>0</v>
      </c>
      <c r="I18" s="370"/>
      <c r="J18" s="368">
        <v>0</v>
      </c>
      <c r="K18" s="371">
        <v>0</v>
      </c>
      <c r="L18" s="372">
        <v>0</v>
      </c>
      <c r="N18" s="373">
        <f t="shared" ca="1" si="0"/>
        <v>0</v>
      </c>
      <c r="O18" s="373">
        <f t="shared" ca="1" si="1"/>
        <v>0</v>
      </c>
    </row>
    <row r="19" spans="1:15" hidden="1">
      <c r="A19" s="355" t="s">
        <v>108</v>
      </c>
      <c r="B19" s="355" t="s">
        <v>161</v>
      </c>
      <c r="C19" s="355" t="s">
        <v>90</v>
      </c>
      <c r="D19" s="367" t="s">
        <v>372</v>
      </c>
      <c r="E19" s="367">
        <v>65</v>
      </c>
      <c r="F19" s="368">
        <v>0</v>
      </c>
      <c r="G19" s="369">
        <v>0</v>
      </c>
      <c r="H19" s="366">
        <v>0</v>
      </c>
      <c r="I19" s="370"/>
      <c r="J19" s="368">
        <v>0</v>
      </c>
      <c r="K19" s="371">
        <v>0</v>
      </c>
      <c r="L19" s="372">
        <v>0</v>
      </c>
      <c r="N19" s="373">
        <f t="shared" ca="1" si="0"/>
        <v>0</v>
      </c>
      <c r="O19" s="373">
        <f t="shared" ca="1" si="1"/>
        <v>0</v>
      </c>
    </row>
    <row r="20" spans="1:15" hidden="1">
      <c r="A20" s="355" t="s">
        <v>256</v>
      </c>
      <c r="B20" s="355" t="s">
        <v>161</v>
      </c>
      <c r="C20" s="355" t="s">
        <v>90</v>
      </c>
      <c r="D20" s="367" t="s">
        <v>372</v>
      </c>
      <c r="E20" s="367">
        <v>66</v>
      </c>
      <c r="F20" s="368">
        <v>0</v>
      </c>
      <c r="G20" s="369">
        <v>0</v>
      </c>
      <c r="H20" s="366">
        <v>0</v>
      </c>
      <c r="I20" s="370"/>
      <c r="J20" s="368">
        <v>0</v>
      </c>
      <c r="K20" s="371">
        <v>0</v>
      </c>
      <c r="L20" s="372">
        <v>0</v>
      </c>
      <c r="N20" s="373">
        <f t="shared" ca="1" si="0"/>
        <v>0</v>
      </c>
      <c r="O20" s="373">
        <f t="shared" ca="1" si="1"/>
        <v>0</v>
      </c>
    </row>
    <row r="21" spans="1:15" hidden="1">
      <c r="A21" s="355" t="s">
        <v>116</v>
      </c>
      <c r="B21" s="355" t="s">
        <v>161</v>
      </c>
      <c r="C21" s="355" t="s">
        <v>90</v>
      </c>
      <c r="D21" s="367" t="s">
        <v>372</v>
      </c>
      <c r="E21" s="367">
        <v>67</v>
      </c>
      <c r="F21" s="368">
        <v>0</v>
      </c>
      <c r="G21" s="369">
        <v>0</v>
      </c>
      <c r="H21" s="366">
        <v>0</v>
      </c>
      <c r="I21" s="370"/>
      <c r="J21" s="368">
        <v>0</v>
      </c>
      <c r="K21" s="371">
        <v>0</v>
      </c>
      <c r="L21" s="372">
        <v>0</v>
      </c>
      <c r="N21" s="373">
        <f t="shared" ca="1" si="0"/>
        <v>0</v>
      </c>
      <c r="O21" s="373">
        <f t="shared" ca="1" si="1"/>
        <v>0</v>
      </c>
    </row>
    <row r="22" spans="1:15" hidden="1">
      <c r="A22" s="355" t="s">
        <v>181</v>
      </c>
      <c r="B22" s="355" t="s">
        <v>118</v>
      </c>
      <c r="C22" s="355" t="s">
        <v>90</v>
      </c>
      <c r="D22" s="367" t="s">
        <v>373</v>
      </c>
      <c r="E22" s="367">
        <v>58</v>
      </c>
      <c r="F22" s="368">
        <v>0.68200000000000005</v>
      </c>
      <c r="G22" s="369">
        <v>0.4</v>
      </c>
      <c r="H22" s="366">
        <v>0.4</v>
      </c>
      <c r="I22" s="370"/>
      <c r="J22" s="368">
        <v>0.68200000000000005</v>
      </c>
      <c r="K22" s="371">
        <v>0.67086211571801924</v>
      </c>
      <c r="L22" s="372">
        <v>0.24846014023504176</v>
      </c>
      <c r="N22" s="373">
        <f t="shared" ca="1" si="0"/>
        <v>0.4</v>
      </c>
      <c r="O22" s="373">
        <f t="shared" ca="1" si="1"/>
        <v>0.67086211571801924</v>
      </c>
    </row>
    <row r="23" spans="1:15" hidden="1">
      <c r="A23" s="355" t="s">
        <v>141</v>
      </c>
      <c r="B23" s="355" t="s">
        <v>118</v>
      </c>
      <c r="C23" s="355" t="s">
        <v>90</v>
      </c>
      <c r="D23" s="367" t="s">
        <v>373</v>
      </c>
      <c r="E23" s="367">
        <v>59</v>
      </c>
      <c r="F23" s="368">
        <v>0.92</v>
      </c>
      <c r="G23" s="369">
        <v>0.92</v>
      </c>
      <c r="H23" s="366">
        <v>0.92</v>
      </c>
      <c r="I23" s="370"/>
      <c r="J23" s="368">
        <v>0.92</v>
      </c>
      <c r="K23" s="371">
        <v>0.8522437534002798</v>
      </c>
      <c r="L23" s="372">
        <v>0.84973820543861878</v>
      </c>
      <c r="N23" s="373">
        <f t="shared" ca="1" si="0"/>
        <v>0.92</v>
      </c>
      <c r="O23" s="373">
        <f t="shared" ca="1" si="1"/>
        <v>0.8522437534002798</v>
      </c>
    </row>
    <row r="24" spans="1:15" hidden="1">
      <c r="A24" s="355" t="s">
        <v>142</v>
      </c>
      <c r="B24" s="355" t="s">
        <v>118</v>
      </c>
      <c r="C24" s="355" t="s">
        <v>90</v>
      </c>
      <c r="D24" s="367" t="s">
        <v>373</v>
      </c>
      <c r="E24" s="367">
        <v>60</v>
      </c>
      <c r="F24" s="368">
        <v>0.08</v>
      </c>
      <c r="G24" s="369">
        <v>0.08</v>
      </c>
      <c r="H24" s="366">
        <v>0.08</v>
      </c>
      <c r="I24" s="370"/>
      <c r="J24" s="368">
        <v>0.08</v>
      </c>
      <c r="K24" s="371">
        <v>0.14775624659972014</v>
      </c>
      <c r="L24" s="372">
        <v>0.15026179456138125</v>
      </c>
      <c r="N24" s="373">
        <f t="shared" ca="1" si="0"/>
        <v>0.08</v>
      </c>
      <c r="O24" s="373">
        <f t="shared" ca="1" si="1"/>
        <v>0.14775624659972014</v>
      </c>
    </row>
    <row r="25" spans="1:15" hidden="1">
      <c r="A25" s="355" t="s">
        <v>200</v>
      </c>
      <c r="B25" s="355" t="s">
        <v>118</v>
      </c>
      <c r="C25" s="355" t="s">
        <v>90</v>
      </c>
      <c r="D25" s="367" t="s">
        <v>373</v>
      </c>
      <c r="E25" s="367">
        <v>61</v>
      </c>
      <c r="F25" s="368">
        <v>0</v>
      </c>
      <c r="G25" s="369">
        <v>0</v>
      </c>
      <c r="H25" s="366">
        <v>0</v>
      </c>
      <c r="I25" s="370"/>
      <c r="J25" s="368">
        <v>0</v>
      </c>
      <c r="K25" s="371">
        <v>0</v>
      </c>
      <c r="L25" s="372">
        <v>0</v>
      </c>
      <c r="N25" s="373">
        <f t="shared" ca="1" si="0"/>
        <v>0</v>
      </c>
      <c r="O25" s="373">
        <f t="shared" ca="1" si="1"/>
        <v>0</v>
      </c>
    </row>
    <row r="26" spans="1:15" hidden="1">
      <c r="A26" s="355" t="s">
        <v>201</v>
      </c>
      <c r="B26" s="355" t="s">
        <v>118</v>
      </c>
      <c r="C26" s="355" t="s">
        <v>90</v>
      </c>
      <c r="D26" s="367" t="s">
        <v>373</v>
      </c>
      <c r="E26" s="367">
        <v>62</v>
      </c>
      <c r="F26" s="368">
        <v>0</v>
      </c>
      <c r="G26" s="369">
        <v>0</v>
      </c>
      <c r="H26" s="366">
        <v>0</v>
      </c>
      <c r="I26" s="370"/>
      <c r="J26" s="368">
        <v>0</v>
      </c>
      <c r="K26" s="371">
        <v>0</v>
      </c>
      <c r="L26" s="372">
        <v>0</v>
      </c>
      <c r="N26" s="373">
        <f t="shared" ca="1" si="0"/>
        <v>0</v>
      </c>
      <c r="O26" s="373">
        <f t="shared" ca="1" si="1"/>
        <v>0</v>
      </c>
    </row>
    <row r="27" spans="1:15" hidden="1">
      <c r="A27" s="355" t="s">
        <v>107</v>
      </c>
      <c r="B27" s="355" t="s">
        <v>118</v>
      </c>
      <c r="C27" s="355" t="s">
        <v>90</v>
      </c>
      <c r="D27" s="367" t="s">
        <v>373</v>
      </c>
      <c r="E27" s="367">
        <v>64</v>
      </c>
      <c r="F27" s="368">
        <v>1</v>
      </c>
      <c r="G27" s="369">
        <v>1</v>
      </c>
      <c r="H27" s="366">
        <v>1</v>
      </c>
      <c r="I27" s="370"/>
      <c r="J27" s="368">
        <v>1</v>
      </c>
      <c r="K27" s="371">
        <v>0.9504632682404841</v>
      </c>
      <c r="L27" s="372">
        <v>0.99055637960520104</v>
      </c>
      <c r="N27" s="373">
        <f t="shared" ca="1" si="0"/>
        <v>1</v>
      </c>
      <c r="O27" s="373">
        <f t="shared" ca="1" si="1"/>
        <v>0.9504632682404841</v>
      </c>
    </row>
    <row r="28" spans="1:15" hidden="1">
      <c r="A28" s="355" t="s">
        <v>108</v>
      </c>
      <c r="B28" s="355" t="s">
        <v>118</v>
      </c>
      <c r="C28" s="355" t="s">
        <v>90</v>
      </c>
      <c r="D28" s="367" t="s">
        <v>373</v>
      </c>
      <c r="E28" s="367">
        <v>65</v>
      </c>
      <c r="F28" s="368">
        <v>0</v>
      </c>
      <c r="G28" s="369">
        <v>0</v>
      </c>
      <c r="H28" s="366">
        <v>0</v>
      </c>
      <c r="I28" s="370"/>
      <c r="J28" s="368">
        <v>0</v>
      </c>
      <c r="K28" s="371">
        <v>0</v>
      </c>
      <c r="L28" s="372">
        <v>0</v>
      </c>
      <c r="N28" s="373">
        <f t="shared" ca="1" si="0"/>
        <v>0</v>
      </c>
      <c r="O28" s="373">
        <f t="shared" ca="1" si="1"/>
        <v>0</v>
      </c>
    </row>
    <row r="29" spans="1:15" hidden="1">
      <c r="A29" s="355" t="s">
        <v>256</v>
      </c>
      <c r="B29" s="355" t="s">
        <v>118</v>
      </c>
      <c r="C29" s="355" t="s">
        <v>90</v>
      </c>
      <c r="D29" s="367" t="s">
        <v>373</v>
      </c>
      <c r="E29" s="367">
        <v>66</v>
      </c>
      <c r="F29" s="368">
        <v>0</v>
      </c>
      <c r="G29" s="369">
        <v>0</v>
      </c>
      <c r="H29" s="366">
        <v>0</v>
      </c>
      <c r="I29" s="370"/>
      <c r="J29" s="368">
        <v>0</v>
      </c>
      <c r="K29" s="371">
        <v>4.9536731759515895E-2</v>
      </c>
      <c r="L29" s="372">
        <v>9.4436203947989572E-3</v>
      </c>
      <c r="N29" s="373">
        <f t="shared" ca="1" si="0"/>
        <v>0</v>
      </c>
      <c r="O29" s="373">
        <f t="shared" ca="1" si="1"/>
        <v>4.9536731759515895E-2</v>
      </c>
    </row>
    <row r="30" spans="1:15" hidden="1">
      <c r="A30" s="355" t="s">
        <v>116</v>
      </c>
      <c r="B30" s="355" t="s">
        <v>118</v>
      </c>
      <c r="C30" s="355" t="s">
        <v>90</v>
      </c>
      <c r="D30" s="367" t="s">
        <v>373</v>
      </c>
      <c r="E30" s="367">
        <v>67</v>
      </c>
      <c r="F30" s="368">
        <v>0</v>
      </c>
      <c r="G30" s="369">
        <v>0</v>
      </c>
      <c r="H30" s="366">
        <v>0</v>
      </c>
      <c r="I30" s="370"/>
      <c r="J30" s="368">
        <v>0</v>
      </c>
      <c r="K30" s="371">
        <v>0</v>
      </c>
      <c r="L30" s="372">
        <v>0</v>
      </c>
      <c r="N30" s="373">
        <f t="shared" ca="1" si="0"/>
        <v>0</v>
      </c>
      <c r="O30" s="373">
        <f t="shared" ca="1" si="1"/>
        <v>0</v>
      </c>
    </row>
    <row r="31" spans="1:15" hidden="1">
      <c r="A31" s="355" t="s">
        <v>181</v>
      </c>
      <c r="B31" s="355" t="s">
        <v>85</v>
      </c>
      <c r="C31" s="355" t="s">
        <v>90</v>
      </c>
      <c r="D31" s="367" t="s">
        <v>374</v>
      </c>
      <c r="E31" s="367">
        <v>58</v>
      </c>
      <c r="F31" s="368">
        <v>0.75</v>
      </c>
      <c r="G31" s="369">
        <v>0.75</v>
      </c>
      <c r="H31" s="366">
        <v>0.75</v>
      </c>
      <c r="I31" s="370"/>
      <c r="J31" s="368">
        <v>0.75</v>
      </c>
      <c r="K31" s="371">
        <v>0.75</v>
      </c>
      <c r="L31" s="372">
        <v>0.75</v>
      </c>
      <c r="N31" s="373">
        <f t="shared" ca="1" si="0"/>
        <v>0.75</v>
      </c>
      <c r="O31" s="373">
        <f t="shared" ca="1" si="1"/>
        <v>0.75</v>
      </c>
    </row>
    <row r="32" spans="1:15" hidden="1">
      <c r="A32" s="355" t="s">
        <v>141</v>
      </c>
      <c r="B32" s="355" t="s">
        <v>85</v>
      </c>
      <c r="C32" s="355" t="s">
        <v>90</v>
      </c>
      <c r="D32" s="367" t="s">
        <v>374</v>
      </c>
      <c r="E32" s="367">
        <v>59</v>
      </c>
      <c r="F32" s="368">
        <v>0.626</v>
      </c>
      <c r="G32" s="369">
        <v>0.626</v>
      </c>
      <c r="H32" s="366">
        <v>0.626</v>
      </c>
      <c r="I32" s="370"/>
      <c r="J32" s="368">
        <v>0.626</v>
      </c>
      <c r="K32" s="371">
        <v>0.626</v>
      </c>
      <c r="L32" s="372">
        <v>0.626</v>
      </c>
      <c r="N32" s="373">
        <f t="shared" ca="1" si="0"/>
        <v>0.626</v>
      </c>
      <c r="O32" s="373">
        <f t="shared" ca="1" si="1"/>
        <v>0.626</v>
      </c>
    </row>
    <row r="33" spans="1:15" hidden="1">
      <c r="A33" s="355" t="s">
        <v>142</v>
      </c>
      <c r="B33" s="355" t="s">
        <v>85</v>
      </c>
      <c r="C33" s="355" t="s">
        <v>90</v>
      </c>
      <c r="D33" s="367" t="s">
        <v>374</v>
      </c>
      <c r="E33" s="367">
        <v>60</v>
      </c>
      <c r="F33" s="368">
        <v>0.374</v>
      </c>
      <c r="G33" s="369">
        <v>0.374</v>
      </c>
      <c r="H33" s="366">
        <v>0.374</v>
      </c>
      <c r="I33" s="370"/>
      <c r="J33" s="368">
        <v>0.374</v>
      </c>
      <c r="K33" s="371">
        <v>0.374</v>
      </c>
      <c r="L33" s="372">
        <v>0.374</v>
      </c>
      <c r="N33" s="373">
        <f t="shared" ca="1" si="0"/>
        <v>0.374</v>
      </c>
      <c r="O33" s="373">
        <f t="shared" ca="1" si="1"/>
        <v>0.374</v>
      </c>
    </row>
    <row r="34" spans="1:15" hidden="1">
      <c r="A34" s="355" t="s">
        <v>200</v>
      </c>
      <c r="B34" s="355" t="s">
        <v>85</v>
      </c>
      <c r="C34" s="355" t="s">
        <v>90</v>
      </c>
      <c r="D34" s="367" t="s">
        <v>374</v>
      </c>
      <c r="E34" s="367">
        <v>61</v>
      </c>
      <c r="F34" s="368">
        <v>0</v>
      </c>
      <c r="G34" s="369">
        <v>0</v>
      </c>
      <c r="H34" s="366">
        <v>0</v>
      </c>
      <c r="I34" s="370"/>
      <c r="J34" s="368">
        <v>0</v>
      </c>
      <c r="K34" s="371">
        <v>0</v>
      </c>
      <c r="L34" s="372">
        <v>0</v>
      </c>
      <c r="N34" s="373">
        <f t="shared" ca="1" si="0"/>
        <v>0</v>
      </c>
      <c r="O34" s="373">
        <f t="shared" ca="1" si="1"/>
        <v>0</v>
      </c>
    </row>
    <row r="35" spans="1:15" hidden="1">
      <c r="A35" s="355" t="s">
        <v>201</v>
      </c>
      <c r="B35" s="355" t="s">
        <v>85</v>
      </c>
      <c r="C35" s="355" t="s">
        <v>90</v>
      </c>
      <c r="D35" s="367" t="s">
        <v>374</v>
      </c>
      <c r="E35" s="367">
        <v>62</v>
      </c>
      <c r="F35" s="368">
        <v>0</v>
      </c>
      <c r="G35" s="369">
        <v>0</v>
      </c>
      <c r="H35" s="366">
        <v>0</v>
      </c>
      <c r="I35" s="370"/>
      <c r="J35" s="368">
        <v>0</v>
      </c>
      <c r="K35" s="371">
        <v>0</v>
      </c>
      <c r="L35" s="372">
        <v>0</v>
      </c>
      <c r="N35" s="373">
        <f t="shared" ca="1" si="0"/>
        <v>0</v>
      </c>
      <c r="O35" s="373">
        <f t="shared" ca="1" si="1"/>
        <v>0</v>
      </c>
    </row>
    <row r="36" spans="1:15" hidden="1">
      <c r="A36" s="355" t="s">
        <v>107</v>
      </c>
      <c r="B36" s="355" t="s">
        <v>85</v>
      </c>
      <c r="C36" s="355" t="s">
        <v>90</v>
      </c>
      <c r="D36" s="367" t="s">
        <v>374</v>
      </c>
      <c r="E36" s="367">
        <v>64</v>
      </c>
      <c r="F36" s="368">
        <v>0</v>
      </c>
      <c r="G36" s="369">
        <v>0.4</v>
      </c>
      <c r="H36" s="366">
        <v>0.4</v>
      </c>
      <c r="I36" s="370"/>
      <c r="J36" s="368">
        <v>0</v>
      </c>
      <c r="K36" s="371">
        <v>0.4</v>
      </c>
      <c r="L36" s="372">
        <v>0.4</v>
      </c>
      <c r="N36" s="373">
        <f t="shared" ref="N36:N67" ca="1" si="2">OFFSET($E36,0,RegIndex)</f>
        <v>0.4</v>
      </c>
      <c r="O36" s="373">
        <f t="shared" ref="O36:O67" ca="1" si="3">OFFSET($I36,0,RegIndex)</f>
        <v>0.4</v>
      </c>
    </row>
    <row r="37" spans="1:15" hidden="1">
      <c r="A37" s="355" t="s">
        <v>108</v>
      </c>
      <c r="B37" s="355" t="s">
        <v>85</v>
      </c>
      <c r="C37" s="355" t="s">
        <v>90</v>
      </c>
      <c r="D37" s="367" t="s">
        <v>374</v>
      </c>
      <c r="E37" s="367">
        <v>65</v>
      </c>
      <c r="F37" s="368">
        <v>0</v>
      </c>
      <c r="G37" s="369">
        <v>0</v>
      </c>
      <c r="H37" s="366">
        <v>0</v>
      </c>
      <c r="I37" s="370"/>
      <c r="J37" s="368">
        <v>0</v>
      </c>
      <c r="K37" s="371">
        <v>0</v>
      </c>
      <c r="L37" s="372">
        <v>0</v>
      </c>
      <c r="N37" s="373">
        <f t="shared" ca="1" si="2"/>
        <v>0</v>
      </c>
      <c r="O37" s="373">
        <f t="shared" ca="1" si="3"/>
        <v>0</v>
      </c>
    </row>
    <row r="38" spans="1:15" hidden="1">
      <c r="A38" s="355" t="s">
        <v>256</v>
      </c>
      <c r="B38" s="355" t="s">
        <v>85</v>
      </c>
      <c r="C38" s="355" t="s">
        <v>90</v>
      </c>
      <c r="D38" s="367" t="s">
        <v>374</v>
      </c>
      <c r="E38" s="367">
        <v>66</v>
      </c>
      <c r="F38" s="368">
        <v>0.3</v>
      </c>
      <c r="G38" s="369">
        <v>0.6</v>
      </c>
      <c r="H38" s="366">
        <v>0.6</v>
      </c>
      <c r="I38" s="370"/>
      <c r="J38" s="368">
        <v>0.3</v>
      </c>
      <c r="K38" s="371">
        <v>0.6</v>
      </c>
      <c r="L38" s="372">
        <v>0.6</v>
      </c>
      <c r="N38" s="373">
        <f t="shared" ca="1" si="2"/>
        <v>0.6</v>
      </c>
      <c r="O38" s="373">
        <f t="shared" ca="1" si="3"/>
        <v>0.6</v>
      </c>
    </row>
    <row r="39" spans="1:15" hidden="1">
      <c r="A39" s="355" t="s">
        <v>116</v>
      </c>
      <c r="B39" s="355" t="s">
        <v>85</v>
      </c>
      <c r="C39" s="355" t="s">
        <v>90</v>
      </c>
      <c r="D39" s="367" t="s">
        <v>374</v>
      </c>
      <c r="E39" s="367">
        <v>67</v>
      </c>
      <c r="F39" s="368">
        <v>0.7</v>
      </c>
      <c r="G39" s="369">
        <v>0</v>
      </c>
      <c r="H39" s="366">
        <v>0</v>
      </c>
      <c r="I39" s="370"/>
      <c r="J39" s="368">
        <v>0.7</v>
      </c>
      <c r="K39" s="371">
        <v>0</v>
      </c>
      <c r="L39" s="372">
        <v>0</v>
      </c>
      <c r="N39" s="373">
        <f t="shared" ca="1" si="2"/>
        <v>0</v>
      </c>
      <c r="O39" s="373">
        <f t="shared" ca="1" si="3"/>
        <v>0</v>
      </c>
    </row>
    <row r="40" spans="1:15" hidden="1">
      <c r="A40" s="355" t="s">
        <v>181</v>
      </c>
      <c r="B40" s="355" t="s">
        <v>114</v>
      </c>
      <c r="C40" s="355" t="s">
        <v>90</v>
      </c>
      <c r="D40" s="367" t="s">
        <v>375</v>
      </c>
      <c r="E40" s="367">
        <v>58</v>
      </c>
      <c r="F40" s="368">
        <v>0.97</v>
      </c>
      <c r="G40" s="369">
        <v>0.995</v>
      </c>
      <c r="H40" s="366">
        <v>1</v>
      </c>
      <c r="I40" s="370"/>
      <c r="J40" s="368">
        <v>0.97</v>
      </c>
      <c r="K40" s="371">
        <v>0.995</v>
      </c>
      <c r="L40" s="372">
        <v>1</v>
      </c>
      <c r="N40" s="373">
        <f t="shared" ca="1" si="2"/>
        <v>0.995</v>
      </c>
      <c r="O40" s="373">
        <f t="shared" ca="1" si="3"/>
        <v>0.995</v>
      </c>
    </row>
    <row r="41" spans="1:15" hidden="1">
      <c r="A41" s="355" t="s">
        <v>141</v>
      </c>
      <c r="B41" s="355" t="s">
        <v>114</v>
      </c>
      <c r="C41" s="355" t="s">
        <v>90</v>
      </c>
      <c r="D41" s="367" t="s">
        <v>375</v>
      </c>
      <c r="E41" s="367">
        <v>59</v>
      </c>
      <c r="F41" s="368">
        <v>0.64</v>
      </c>
      <c r="G41" s="369">
        <v>0.97154114712699091</v>
      </c>
      <c r="H41" s="366">
        <v>0.95021751448193847</v>
      </c>
      <c r="I41" s="370"/>
      <c r="J41" s="368">
        <v>0.64</v>
      </c>
      <c r="K41" s="371">
        <v>0.96822744390797022</v>
      </c>
      <c r="L41" s="372">
        <v>0.94157346581580337</v>
      </c>
      <c r="N41" s="373">
        <f t="shared" ca="1" si="2"/>
        <v>0.97154114712699091</v>
      </c>
      <c r="O41" s="373">
        <f t="shared" ca="1" si="3"/>
        <v>0.96822744390797022</v>
      </c>
    </row>
    <row r="42" spans="1:15" hidden="1">
      <c r="A42" s="355" t="s">
        <v>142</v>
      </c>
      <c r="B42" s="355" t="s">
        <v>114</v>
      </c>
      <c r="C42" s="355" t="s">
        <v>90</v>
      </c>
      <c r="D42" s="367" t="s">
        <v>375</v>
      </c>
      <c r="E42" s="367">
        <v>60</v>
      </c>
      <c r="F42" s="368">
        <v>0.35</v>
      </c>
      <c r="G42" s="369">
        <v>7.1764438941302969E-3</v>
      </c>
      <c r="H42" s="366">
        <v>7.6141752573607186E-3</v>
      </c>
      <c r="I42" s="370"/>
      <c r="J42" s="368">
        <v>0.35</v>
      </c>
      <c r="K42" s="371">
        <v>3.5798531340467468E-3</v>
      </c>
      <c r="L42" s="372">
        <v>6.611767931509983E-3</v>
      </c>
      <c r="N42" s="373">
        <f t="shared" ca="1" si="2"/>
        <v>7.1764438941302969E-3</v>
      </c>
      <c r="O42" s="373">
        <f t="shared" ca="1" si="3"/>
        <v>3.5798531340467468E-3</v>
      </c>
    </row>
    <row r="43" spans="1:15" hidden="1">
      <c r="A43" s="355" t="s">
        <v>200</v>
      </c>
      <c r="B43" s="355" t="s">
        <v>114</v>
      </c>
      <c r="C43" s="355" t="s">
        <v>90</v>
      </c>
      <c r="D43" s="367" t="s">
        <v>375</v>
      </c>
      <c r="E43" s="367">
        <v>61</v>
      </c>
      <c r="F43" s="368">
        <v>5.0000000000000001E-3</v>
      </c>
      <c r="G43" s="369">
        <v>0</v>
      </c>
      <c r="H43" s="366">
        <v>0</v>
      </c>
      <c r="I43" s="370"/>
      <c r="J43" s="368">
        <v>5.0000000000000001E-3</v>
      </c>
      <c r="K43" s="371">
        <v>0</v>
      </c>
      <c r="L43" s="372">
        <v>0</v>
      </c>
      <c r="N43" s="373">
        <f t="shared" ca="1" si="2"/>
        <v>0</v>
      </c>
      <c r="O43" s="373">
        <f t="shared" ca="1" si="3"/>
        <v>0</v>
      </c>
    </row>
    <row r="44" spans="1:15" hidden="1">
      <c r="A44" s="355" t="s">
        <v>201</v>
      </c>
      <c r="B44" s="355" t="s">
        <v>114</v>
      </c>
      <c r="C44" s="355" t="s">
        <v>90</v>
      </c>
      <c r="D44" s="367" t="s">
        <v>375</v>
      </c>
      <c r="E44" s="367">
        <v>62</v>
      </c>
      <c r="F44" s="368">
        <v>5.0000000000000001E-3</v>
      </c>
      <c r="G44" s="369">
        <v>2.1282408978878772E-2</v>
      </c>
      <c r="H44" s="366">
        <v>4.2168310260700899E-2</v>
      </c>
      <c r="I44" s="370"/>
      <c r="J44" s="368">
        <v>5.0000000000000001E-3</v>
      </c>
      <c r="K44" s="371">
        <v>2.8192702957982964E-2</v>
      </c>
      <c r="L44" s="372">
        <v>5.1814766252686585E-2</v>
      </c>
      <c r="N44" s="373">
        <f t="shared" ca="1" si="2"/>
        <v>2.1282408978878772E-2</v>
      </c>
      <c r="O44" s="373">
        <f t="shared" ca="1" si="3"/>
        <v>2.8192702957982964E-2</v>
      </c>
    </row>
    <row r="45" spans="1:15" hidden="1">
      <c r="A45" s="355" t="s">
        <v>107</v>
      </c>
      <c r="B45" s="355" t="s">
        <v>114</v>
      </c>
      <c r="C45" s="355" t="s">
        <v>90</v>
      </c>
      <c r="D45" s="367" t="s">
        <v>375</v>
      </c>
      <c r="E45" s="367">
        <v>64</v>
      </c>
      <c r="F45" s="368">
        <v>0.05</v>
      </c>
      <c r="G45" s="369">
        <v>0</v>
      </c>
      <c r="H45" s="366">
        <v>0</v>
      </c>
      <c r="I45" s="370"/>
      <c r="J45" s="368">
        <v>0.05</v>
      </c>
      <c r="K45" s="371">
        <v>0</v>
      </c>
      <c r="L45" s="372">
        <v>0</v>
      </c>
      <c r="N45" s="373">
        <f t="shared" ca="1" si="2"/>
        <v>0</v>
      </c>
      <c r="O45" s="373">
        <f t="shared" ca="1" si="3"/>
        <v>0</v>
      </c>
    </row>
    <row r="46" spans="1:15" hidden="1">
      <c r="A46" s="355" t="s">
        <v>108</v>
      </c>
      <c r="B46" s="355" t="s">
        <v>114</v>
      </c>
      <c r="C46" s="355" t="s">
        <v>90</v>
      </c>
      <c r="D46" s="367" t="s">
        <v>375</v>
      </c>
      <c r="E46" s="367">
        <v>65</v>
      </c>
      <c r="F46" s="368">
        <v>0</v>
      </c>
      <c r="G46" s="369">
        <v>0</v>
      </c>
      <c r="H46" s="366">
        <v>0</v>
      </c>
      <c r="I46" s="370"/>
      <c r="J46" s="368">
        <v>0</v>
      </c>
      <c r="K46" s="371">
        <v>0</v>
      </c>
      <c r="L46" s="372">
        <v>0</v>
      </c>
      <c r="N46" s="373">
        <f t="shared" ca="1" si="2"/>
        <v>0</v>
      </c>
      <c r="O46" s="373">
        <f t="shared" ca="1" si="3"/>
        <v>0</v>
      </c>
    </row>
    <row r="47" spans="1:15" hidden="1">
      <c r="A47" s="355" t="s">
        <v>256</v>
      </c>
      <c r="B47" s="355" t="s">
        <v>114</v>
      </c>
      <c r="C47" s="355" t="s">
        <v>90</v>
      </c>
      <c r="D47" s="367" t="s">
        <v>375</v>
      </c>
      <c r="E47" s="367">
        <v>66</v>
      </c>
      <c r="F47" s="368">
        <v>0</v>
      </c>
      <c r="G47" s="369">
        <v>1</v>
      </c>
      <c r="H47" s="366">
        <v>1</v>
      </c>
      <c r="I47" s="370"/>
      <c r="J47" s="368">
        <v>0</v>
      </c>
      <c r="K47" s="371">
        <v>1</v>
      </c>
      <c r="L47" s="372">
        <v>1</v>
      </c>
      <c r="N47" s="373">
        <f t="shared" ca="1" si="2"/>
        <v>1</v>
      </c>
      <c r="O47" s="373">
        <f t="shared" ca="1" si="3"/>
        <v>1</v>
      </c>
    </row>
    <row r="48" spans="1:15" hidden="1">
      <c r="A48" s="355" t="s">
        <v>116</v>
      </c>
      <c r="B48" s="355" t="s">
        <v>114</v>
      </c>
      <c r="C48" s="355" t="s">
        <v>90</v>
      </c>
      <c r="D48" s="367" t="s">
        <v>375</v>
      </c>
      <c r="E48" s="367">
        <v>67</v>
      </c>
      <c r="F48" s="368">
        <v>0.95</v>
      </c>
      <c r="G48" s="369">
        <v>0</v>
      </c>
      <c r="H48" s="366">
        <v>0</v>
      </c>
      <c r="I48" s="370"/>
      <c r="J48" s="368">
        <v>0.95</v>
      </c>
      <c r="K48" s="371">
        <v>0</v>
      </c>
      <c r="L48" s="372">
        <v>0</v>
      </c>
      <c r="N48" s="373">
        <f t="shared" ca="1" si="2"/>
        <v>0</v>
      </c>
      <c r="O48" s="373">
        <f t="shared" ca="1" si="3"/>
        <v>0</v>
      </c>
    </row>
    <row r="49" spans="1:15" hidden="1">
      <c r="A49" s="355" t="s">
        <v>181</v>
      </c>
      <c r="B49" s="355" t="s">
        <v>57</v>
      </c>
      <c r="C49" s="355" t="s">
        <v>90</v>
      </c>
      <c r="D49" s="367" t="s">
        <v>376</v>
      </c>
      <c r="E49" s="367">
        <v>58</v>
      </c>
      <c r="F49" s="368">
        <v>0.2</v>
      </c>
      <c r="G49" s="369">
        <v>0.41719797002125969</v>
      </c>
      <c r="H49" s="366">
        <v>0.52340288266832813</v>
      </c>
      <c r="I49" s="370"/>
      <c r="J49" s="368">
        <v>0.2</v>
      </c>
      <c r="K49" s="371">
        <v>0.44817560461512107</v>
      </c>
      <c r="L49" s="372">
        <v>0.48437083746683546</v>
      </c>
      <c r="N49" s="373">
        <f t="shared" ca="1" si="2"/>
        <v>0.41719797002125969</v>
      </c>
      <c r="O49" s="373">
        <f t="shared" ca="1" si="3"/>
        <v>0.44817560461512107</v>
      </c>
    </row>
    <row r="50" spans="1:15" hidden="1">
      <c r="A50" s="355" t="s">
        <v>141</v>
      </c>
      <c r="B50" s="355" t="s">
        <v>57</v>
      </c>
      <c r="C50" s="355" t="s">
        <v>90</v>
      </c>
      <c r="D50" s="367" t="s">
        <v>376</v>
      </c>
      <c r="E50" s="367">
        <v>59</v>
      </c>
      <c r="F50" s="368">
        <v>0.8</v>
      </c>
      <c r="G50" s="369">
        <v>0.62268969086656956</v>
      </c>
      <c r="H50" s="366">
        <v>0.6759706506751566</v>
      </c>
      <c r="I50" s="370"/>
      <c r="J50" s="368">
        <v>0.8</v>
      </c>
      <c r="K50" s="371">
        <v>0.71692355696421062</v>
      </c>
      <c r="L50" s="372">
        <v>0.69600428521803503</v>
      </c>
      <c r="N50" s="373">
        <f t="shared" ca="1" si="2"/>
        <v>0.62268969086656956</v>
      </c>
      <c r="O50" s="373">
        <f t="shared" ca="1" si="3"/>
        <v>0.71692355696421062</v>
      </c>
    </row>
    <row r="51" spans="1:15" hidden="1">
      <c r="A51" s="355" t="s">
        <v>142</v>
      </c>
      <c r="B51" s="355" t="s">
        <v>57</v>
      </c>
      <c r="C51" s="355" t="s">
        <v>90</v>
      </c>
      <c r="D51" s="367" t="s">
        <v>376</v>
      </c>
      <c r="E51" s="367">
        <v>60</v>
      </c>
      <c r="F51" s="368">
        <v>0.2</v>
      </c>
      <c r="G51" s="369">
        <v>0.3773103091334305</v>
      </c>
      <c r="H51" s="366">
        <v>0.32402934932484329</v>
      </c>
      <c r="I51" s="370"/>
      <c r="J51" s="368">
        <v>0.2</v>
      </c>
      <c r="K51" s="371">
        <v>0.28307644303578933</v>
      </c>
      <c r="L51" s="372">
        <v>0.30399571478196497</v>
      </c>
      <c r="N51" s="373">
        <f t="shared" ca="1" si="2"/>
        <v>0.3773103091334305</v>
      </c>
      <c r="O51" s="373">
        <f t="shared" ca="1" si="3"/>
        <v>0.28307644303578933</v>
      </c>
    </row>
    <row r="52" spans="1:15" hidden="1">
      <c r="A52" s="355" t="s">
        <v>200</v>
      </c>
      <c r="B52" s="355" t="s">
        <v>57</v>
      </c>
      <c r="C52" s="355" t="s">
        <v>90</v>
      </c>
      <c r="D52" s="367" t="s">
        <v>376</v>
      </c>
      <c r="E52" s="367">
        <v>61</v>
      </c>
      <c r="F52" s="368">
        <v>0</v>
      </c>
      <c r="G52" s="369">
        <v>0</v>
      </c>
      <c r="H52" s="366">
        <v>0</v>
      </c>
      <c r="I52" s="370"/>
      <c r="J52" s="368">
        <v>0</v>
      </c>
      <c r="K52" s="371">
        <v>0</v>
      </c>
      <c r="L52" s="372">
        <v>0</v>
      </c>
      <c r="N52" s="373">
        <f t="shared" ca="1" si="2"/>
        <v>0</v>
      </c>
      <c r="O52" s="373">
        <f t="shared" ca="1" si="3"/>
        <v>0</v>
      </c>
    </row>
    <row r="53" spans="1:15" hidden="1">
      <c r="A53" s="355" t="s">
        <v>201</v>
      </c>
      <c r="B53" s="355" t="s">
        <v>57</v>
      </c>
      <c r="C53" s="355" t="s">
        <v>90</v>
      </c>
      <c r="D53" s="367" t="s">
        <v>376</v>
      </c>
      <c r="E53" s="367">
        <v>62</v>
      </c>
      <c r="F53" s="368">
        <v>0</v>
      </c>
      <c r="G53" s="369">
        <v>0</v>
      </c>
      <c r="H53" s="366">
        <v>0</v>
      </c>
      <c r="I53" s="370"/>
      <c r="J53" s="368">
        <v>0</v>
      </c>
      <c r="K53" s="371">
        <v>0</v>
      </c>
      <c r="L53" s="372">
        <v>0</v>
      </c>
      <c r="N53" s="373">
        <f t="shared" ca="1" si="2"/>
        <v>0</v>
      </c>
      <c r="O53" s="373">
        <f t="shared" ca="1" si="3"/>
        <v>0</v>
      </c>
    </row>
    <row r="54" spans="1:15" hidden="1">
      <c r="A54" s="355" t="s">
        <v>107</v>
      </c>
      <c r="B54" s="355" t="s">
        <v>57</v>
      </c>
      <c r="C54" s="355" t="s">
        <v>90</v>
      </c>
      <c r="D54" s="367" t="s">
        <v>376</v>
      </c>
      <c r="E54" s="367">
        <v>64</v>
      </c>
      <c r="F54" s="368">
        <v>0.05</v>
      </c>
      <c r="G54" s="369">
        <v>0.11118235265783566</v>
      </c>
      <c r="H54" s="366">
        <v>0.28709627800375775</v>
      </c>
      <c r="I54" s="370"/>
      <c r="J54" s="368">
        <v>0.05</v>
      </c>
      <c r="K54" s="371">
        <v>0.12373421365983385</v>
      </c>
      <c r="L54" s="372">
        <v>0.24473033977883984</v>
      </c>
      <c r="N54" s="373">
        <f t="shared" ca="1" si="2"/>
        <v>0.11118235265783566</v>
      </c>
      <c r="O54" s="373">
        <f t="shared" ca="1" si="3"/>
        <v>0.12373421365983385</v>
      </c>
    </row>
    <row r="55" spans="1:15" hidden="1">
      <c r="A55" s="355" t="s">
        <v>108</v>
      </c>
      <c r="B55" s="355" t="s">
        <v>57</v>
      </c>
      <c r="C55" s="355" t="s">
        <v>90</v>
      </c>
      <c r="D55" s="367" t="s">
        <v>376</v>
      </c>
      <c r="E55" s="367">
        <v>65</v>
      </c>
      <c r="F55" s="368">
        <v>0.5</v>
      </c>
      <c r="G55" s="369">
        <v>0.58209965122844032</v>
      </c>
      <c r="H55" s="366">
        <v>0.30938599288779284</v>
      </c>
      <c r="I55" s="370"/>
      <c r="J55" s="368">
        <v>0.5</v>
      </c>
      <c r="K55" s="371">
        <v>0.56767356992329399</v>
      </c>
      <c r="L55" s="372">
        <v>0.31227240380626642</v>
      </c>
      <c r="N55" s="373">
        <f t="shared" ca="1" si="2"/>
        <v>0.58209965122844032</v>
      </c>
      <c r="O55" s="374">
        <f t="shared" ca="1" si="3"/>
        <v>0.56767356992329399</v>
      </c>
    </row>
    <row r="56" spans="1:15" hidden="1">
      <c r="A56" s="355" t="s">
        <v>256</v>
      </c>
      <c r="B56" s="355" t="s">
        <v>57</v>
      </c>
      <c r="C56" s="355" t="s">
        <v>90</v>
      </c>
      <c r="D56" s="367" t="s">
        <v>376</v>
      </c>
      <c r="E56" s="367">
        <v>66</v>
      </c>
      <c r="F56" s="368">
        <v>0.3</v>
      </c>
      <c r="G56" s="369">
        <v>0.30671799611372408</v>
      </c>
      <c r="H56" s="366">
        <v>0.40351772910844941</v>
      </c>
      <c r="I56" s="370"/>
      <c r="J56" s="368">
        <v>0.3</v>
      </c>
      <c r="K56" s="371">
        <v>0.30859221641687218</v>
      </c>
      <c r="L56" s="372">
        <v>0.44299725641489374</v>
      </c>
      <c r="N56" s="373">
        <f t="shared" ca="1" si="2"/>
        <v>0.30671799611372408</v>
      </c>
      <c r="O56" s="374">
        <f t="shared" ca="1" si="3"/>
        <v>0.30859221641687218</v>
      </c>
    </row>
    <row r="57" spans="1:15" hidden="1">
      <c r="A57" s="355" t="s">
        <v>116</v>
      </c>
      <c r="B57" s="355" t="s">
        <v>57</v>
      </c>
      <c r="C57" s="355" t="s">
        <v>90</v>
      </c>
      <c r="D57" s="367" t="s">
        <v>376</v>
      </c>
      <c r="E57" s="367">
        <v>67</v>
      </c>
      <c r="F57" s="368">
        <v>0.15</v>
      </c>
      <c r="G57" s="369">
        <v>0</v>
      </c>
      <c r="H57" s="366">
        <v>0</v>
      </c>
      <c r="I57" s="370"/>
      <c r="J57" s="368">
        <v>0.15</v>
      </c>
      <c r="K57" s="371">
        <v>0</v>
      </c>
      <c r="L57" s="372">
        <v>0</v>
      </c>
      <c r="N57" s="373">
        <f t="shared" ca="1" si="2"/>
        <v>0</v>
      </c>
      <c r="O57" s="374">
        <f t="shared" ca="1" si="3"/>
        <v>0</v>
      </c>
    </row>
    <row r="58" spans="1:15" hidden="1">
      <c r="A58" s="355" t="s">
        <v>181</v>
      </c>
      <c r="B58" s="355" t="s">
        <v>62</v>
      </c>
      <c r="C58" s="355" t="s">
        <v>90</v>
      </c>
      <c r="D58" s="367" t="s">
        <v>377</v>
      </c>
      <c r="E58" s="367">
        <v>58</v>
      </c>
      <c r="F58" s="368">
        <v>1</v>
      </c>
      <c r="G58" s="369">
        <v>1</v>
      </c>
      <c r="H58" s="366">
        <v>1</v>
      </c>
      <c r="I58" s="370"/>
      <c r="J58" s="368">
        <v>1</v>
      </c>
      <c r="K58" s="371">
        <v>0.96084545536687138</v>
      </c>
      <c r="L58" s="372">
        <v>0.92055614393758034</v>
      </c>
      <c r="N58" s="373">
        <f t="shared" ca="1" si="2"/>
        <v>1</v>
      </c>
      <c r="O58" s="374">
        <f t="shared" ca="1" si="3"/>
        <v>0.96084545536687138</v>
      </c>
    </row>
    <row r="59" spans="1:15" hidden="1">
      <c r="A59" s="355" t="s">
        <v>141</v>
      </c>
      <c r="B59" s="355" t="s">
        <v>62</v>
      </c>
      <c r="C59" s="355" t="s">
        <v>90</v>
      </c>
      <c r="D59" s="367" t="s">
        <v>377</v>
      </c>
      <c r="E59" s="367">
        <v>59</v>
      </c>
      <c r="F59" s="368">
        <v>0.66</v>
      </c>
      <c r="G59" s="369">
        <v>0.79</v>
      </c>
      <c r="H59" s="369">
        <v>0.79</v>
      </c>
      <c r="I59" s="370"/>
      <c r="J59" s="368">
        <v>0.66</v>
      </c>
      <c r="K59" s="371">
        <v>0.88844388559260856</v>
      </c>
      <c r="L59" s="371">
        <v>0.83440562555137976</v>
      </c>
      <c r="N59" s="373">
        <f t="shared" ca="1" si="2"/>
        <v>0.79</v>
      </c>
      <c r="O59" s="374">
        <f t="shared" ca="1" si="3"/>
        <v>0.88844388559260856</v>
      </c>
    </row>
    <row r="60" spans="1:15" hidden="1">
      <c r="A60" s="355" t="s">
        <v>142</v>
      </c>
      <c r="B60" s="355" t="s">
        <v>62</v>
      </c>
      <c r="C60" s="355" t="s">
        <v>90</v>
      </c>
      <c r="D60" s="367" t="s">
        <v>377</v>
      </c>
      <c r="E60" s="367">
        <v>60</v>
      </c>
      <c r="F60" s="368">
        <v>0.34</v>
      </c>
      <c r="G60" s="369">
        <v>0.21</v>
      </c>
      <c r="H60" s="369">
        <v>0.21</v>
      </c>
      <c r="I60" s="370"/>
      <c r="J60" s="368">
        <v>0.34</v>
      </c>
      <c r="K60" s="371">
        <v>9.1556114407391434E-2</v>
      </c>
      <c r="L60" s="371">
        <v>0.13059437444862024</v>
      </c>
      <c r="N60" s="373">
        <f t="shared" ca="1" si="2"/>
        <v>0.21</v>
      </c>
      <c r="O60" s="374">
        <f t="shared" ca="1" si="3"/>
        <v>9.1556114407391434E-2</v>
      </c>
    </row>
    <row r="61" spans="1:15" hidden="1">
      <c r="A61" s="355" t="s">
        <v>200</v>
      </c>
      <c r="B61" s="355" t="s">
        <v>62</v>
      </c>
      <c r="C61" s="355" t="s">
        <v>90</v>
      </c>
      <c r="D61" s="367" t="s">
        <v>377</v>
      </c>
      <c r="E61" s="367">
        <v>61</v>
      </c>
      <c r="F61" s="368">
        <v>0</v>
      </c>
      <c r="G61" s="369">
        <v>0</v>
      </c>
      <c r="H61" s="366">
        <v>0</v>
      </c>
      <c r="I61" s="370"/>
      <c r="J61" s="368">
        <v>0</v>
      </c>
      <c r="K61" s="371">
        <v>0</v>
      </c>
      <c r="L61" s="372">
        <v>0</v>
      </c>
      <c r="N61" s="373">
        <f t="shared" ca="1" si="2"/>
        <v>0</v>
      </c>
      <c r="O61" s="374">
        <f t="shared" ca="1" si="3"/>
        <v>0</v>
      </c>
    </row>
    <row r="62" spans="1:15" hidden="1">
      <c r="A62" s="355" t="s">
        <v>201</v>
      </c>
      <c r="B62" s="355" t="s">
        <v>62</v>
      </c>
      <c r="C62" s="355" t="s">
        <v>90</v>
      </c>
      <c r="D62" s="367" t="s">
        <v>377</v>
      </c>
      <c r="E62" s="367">
        <v>62</v>
      </c>
      <c r="F62" s="368">
        <v>0</v>
      </c>
      <c r="G62" s="369">
        <v>0</v>
      </c>
      <c r="H62" s="366">
        <v>0</v>
      </c>
      <c r="I62" s="370"/>
      <c r="J62" s="368">
        <v>0</v>
      </c>
      <c r="K62" s="371">
        <v>0.02</v>
      </c>
      <c r="L62" s="372">
        <v>3.5000000000000003E-2</v>
      </c>
      <c r="N62" s="373">
        <f t="shared" ca="1" si="2"/>
        <v>0</v>
      </c>
      <c r="O62" s="374">
        <f t="shared" ca="1" si="3"/>
        <v>0.02</v>
      </c>
    </row>
    <row r="63" spans="1:15" hidden="1">
      <c r="A63" s="355" t="s">
        <v>107</v>
      </c>
      <c r="B63" s="355" t="s">
        <v>62</v>
      </c>
      <c r="C63" s="355" t="s">
        <v>90</v>
      </c>
      <c r="D63" s="367" t="s">
        <v>377</v>
      </c>
      <c r="E63" s="367">
        <v>64</v>
      </c>
      <c r="F63" s="368">
        <v>0</v>
      </c>
      <c r="G63" s="369">
        <v>0</v>
      </c>
      <c r="H63" s="366">
        <v>0</v>
      </c>
      <c r="I63" s="370"/>
      <c r="J63" s="368">
        <v>0</v>
      </c>
      <c r="K63" s="371">
        <v>0.21642705676224011</v>
      </c>
      <c r="L63" s="372">
        <v>0.56432145521791766</v>
      </c>
      <c r="N63" s="373">
        <f t="shared" ca="1" si="2"/>
        <v>0</v>
      </c>
      <c r="O63" s="374">
        <f t="shared" ca="1" si="3"/>
        <v>0.21642705676224011</v>
      </c>
    </row>
    <row r="64" spans="1:15" hidden="1">
      <c r="A64" s="355" t="s">
        <v>108</v>
      </c>
      <c r="B64" s="355" t="s">
        <v>62</v>
      </c>
      <c r="C64" s="355" t="s">
        <v>90</v>
      </c>
      <c r="D64" s="367" t="s">
        <v>377</v>
      </c>
      <c r="E64" s="367">
        <v>65</v>
      </c>
      <c r="F64" s="368">
        <v>0</v>
      </c>
      <c r="G64" s="369">
        <v>0</v>
      </c>
      <c r="H64" s="366">
        <v>0</v>
      </c>
      <c r="I64" s="370"/>
      <c r="J64" s="368">
        <v>0</v>
      </c>
      <c r="K64" s="371">
        <v>0</v>
      </c>
      <c r="L64" s="372">
        <v>0</v>
      </c>
      <c r="N64" s="373">
        <f t="shared" ca="1" si="2"/>
        <v>0</v>
      </c>
      <c r="O64" s="374">
        <f t="shared" ca="1" si="3"/>
        <v>0</v>
      </c>
    </row>
    <row r="65" spans="1:15" hidden="1">
      <c r="A65" s="355" t="s">
        <v>256</v>
      </c>
      <c r="B65" s="355" t="s">
        <v>62</v>
      </c>
      <c r="C65" s="355" t="s">
        <v>90</v>
      </c>
      <c r="D65" s="367" t="s">
        <v>377</v>
      </c>
      <c r="E65" s="367">
        <v>66</v>
      </c>
      <c r="F65" s="368">
        <v>0</v>
      </c>
      <c r="G65" s="369">
        <v>0</v>
      </c>
      <c r="H65" s="366">
        <v>0</v>
      </c>
      <c r="I65" s="370"/>
      <c r="J65" s="368">
        <v>0</v>
      </c>
      <c r="K65" s="371">
        <v>0.78357294323775994</v>
      </c>
      <c r="L65" s="372">
        <v>0.43567854478208229</v>
      </c>
      <c r="N65" s="373">
        <f t="shared" ca="1" si="2"/>
        <v>0</v>
      </c>
      <c r="O65" s="374">
        <f t="shared" ca="1" si="3"/>
        <v>0.78357294323775994</v>
      </c>
    </row>
    <row r="66" spans="1:15" hidden="1">
      <c r="A66" s="355" t="s">
        <v>116</v>
      </c>
      <c r="B66" s="355" t="s">
        <v>62</v>
      </c>
      <c r="C66" s="355" t="s">
        <v>90</v>
      </c>
      <c r="D66" s="367" t="s">
        <v>377</v>
      </c>
      <c r="E66" s="367">
        <v>67</v>
      </c>
      <c r="F66" s="368">
        <v>0</v>
      </c>
      <c r="G66" s="369">
        <v>0</v>
      </c>
      <c r="H66" s="366">
        <v>0</v>
      </c>
      <c r="I66" s="370"/>
      <c r="J66" s="368">
        <v>0</v>
      </c>
      <c r="K66" s="371">
        <v>0</v>
      </c>
      <c r="L66" s="372">
        <v>0</v>
      </c>
      <c r="N66" s="373">
        <f t="shared" ca="1" si="2"/>
        <v>0</v>
      </c>
      <c r="O66" s="374">
        <f t="shared" ca="1" si="3"/>
        <v>0</v>
      </c>
    </row>
    <row r="67" spans="1:15" hidden="1">
      <c r="A67" s="355" t="s">
        <v>109</v>
      </c>
      <c r="B67" s="355" t="s">
        <v>97</v>
      </c>
      <c r="C67" s="355" t="s">
        <v>90</v>
      </c>
      <c r="D67" s="367" t="s">
        <v>378</v>
      </c>
      <c r="E67" s="367">
        <v>69</v>
      </c>
      <c r="F67" s="368">
        <v>0</v>
      </c>
      <c r="G67" s="369">
        <v>0</v>
      </c>
      <c r="H67" s="366">
        <v>0</v>
      </c>
      <c r="I67" s="370"/>
      <c r="J67" s="368">
        <v>0</v>
      </c>
      <c r="K67" s="371">
        <v>0</v>
      </c>
      <c r="L67" s="372">
        <v>0</v>
      </c>
      <c r="N67" s="373">
        <f t="shared" ca="1" si="2"/>
        <v>0</v>
      </c>
      <c r="O67" s="374">
        <f t="shared" ca="1" si="3"/>
        <v>0</v>
      </c>
    </row>
    <row r="68" spans="1:15" hidden="1">
      <c r="A68" s="355" t="s">
        <v>109</v>
      </c>
      <c r="B68" s="355" t="s">
        <v>118</v>
      </c>
      <c r="C68" s="355" t="s">
        <v>90</v>
      </c>
      <c r="D68" s="367" t="s">
        <v>373</v>
      </c>
      <c r="E68" s="367">
        <v>69</v>
      </c>
      <c r="F68" s="368">
        <v>0</v>
      </c>
      <c r="G68" s="369">
        <v>0</v>
      </c>
      <c r="H68" s="366">
        <v>0</v>
      </c>
      <c r="I68" s="370"/>
      <c r="J68" s="368">
        <v>0</v>
      </c>
      <c r="K68" s="371">
        <v>0</v>
      </c>
      <c r="L68" s="372">
        <v>0</v>
      </c>
      <c r="N68" s="373">
        <f t="shared" ref="N68:N99" ca="1" si="4">OFFSET($E68,0,RegIndex)</f>
        <v>0</v>
      </c>
      <c r="O68" s="374">
        <f t="shared" ref="O68:O99" ca="1" si="5">OFFSET($I68,0,RegIndex)</f>
        <v>0</v>
      </c>
    </row>
    <row r="69" spans="1:15" hidden="1">
      <c r="A69" s="355" t="s">
        <v>109</v>
      </c>
      <c r="B69" s="355" t="s">
        <v>85</v>
      </c>
      <c r="C69" s="355" t="s">
        <v>90</v>
      </c>
      <c r="D69" s="367" t="s">
        <v>374</v>
      </c>
      <c r="E69" s="367">
        <v>69</v>
      </c>
      <c r="F69" s="368">
        <v>0</v>
      </c>
      <c r="G69" s="369">
        <v>0</v>
      </c>
      <c r="H69" s="366">
        <v>0</v>
      </c>
      <c r="I69" s="370"/>
      <c r="J69" s="368">
        <v>0</v>
      </c>
      <c r="K69" s="371">
        <v>0</v>
      </c>
      <c r="L69" s="372">
        <v>0</v>
      </c>
      <c r="N69" s="373">
        <f t="shared" ca="1" si="4"/>
        <v>0</v>
      </c>
      <c r="O69" s="374">
        <f t="shared" ca="1" si="5"/>
        <v>0</v>
      </c>
    </row>
    <row r="70" spans="1:15" hidden="1">
      <c r="A70" s="355" t="s">
        <v>109</v>
      </c>
      <c r="B70" s="355" t="s">
        <v>114</v>
      </c>
      <c r="C70" s="355" t="s">
        <v>90</v>
      </c>
      <c r="D70" s="367" t="s">
        <v>375</v>
      </c>
      <c r="E70" s="367">
        <v>69</v>
      </c>
      <c r="F70" s="368">
        <v>0</v>
      </c>
      <c r="G70" s="369">
        <v>0</v>
      </c>
      <c r="H70" s="366">
        <v>0</v>
      </c>
      <c r="I70" s="370"/>
      <c r="J70" s="368">
        <v>0</v>
      </c>
      <c r="K70" s="371">
        <v>0</v>
      </c>
      <c r="L70" s="372">
        <v>0</v>
      </c>
      <c r="N70" s="373">
        <f t="shared" ca="1" si="4"/>
        <v>0</v>
      </c>
      <c r="O70" s="374">
        <f t="shared" ca="1" si="5"/>
        <v>0</v>
      </c>
    </row>
    <row r="71" spans="1:15" hidden="1">
      <c r="A71" s="355" t="s">
        <v>109</v>
      </c>
      <c r="B71" s="355" t="s">
        <v>57</v>
      </c>
      <c r="C71" s="355" t="s">
        <v>90</v>
      </c>
      <c r="D71" s="367" t="s">
        <v>376</v>
      </c>
      <c r="E71" s="367">
        <v>69</v>
      </c>
      <c r="F71" s="368">
        <v>0.9</v>
      </c>
      <c r="G71" s="369">
        <v>0.85</v>
      </c>
      <c r="H71" s="366">
        <v>0.85</v>
      </c>
      <c r="I71" s="370"/>
      <c r="J71" s="368">
        <v>0.9</v>
      </c>
      <c r="K71" s="371">
        <v>0.89</v>
      </c>
      <c r="L71" s="372">
        <v>0.89</v>
      </c>
      <c r="N71" s="373">
        <f t="shared" ca="1" si="4"/>
        <v>0.85</v>
      </c>
      <c r="O71" s="374">
        <f t="shared" ca="1" si="5"/>
        <v>0.89</v>
      </c>
    </row>
    <row r="72" spans="1:15" hidden="1">
      <c r="A72" s="355" t="s">
        <v>109</v>
      </c>
      <c r="B72" s="355" t="s">
        <v>68</v>
      </c>
      <c r="C72" s="355" t="s">
        <v>90</v>
      </c>
      <c r="D72" s="367" t="s">
        <v>379</v>
      </c>
      <c r="E72" s="367">
        <v>69</v>
      </c>
      <c r="F72" s="368">
        <v>0</v>
      </c>
      <c r="G72" s="369">
        <v>0</v>
      </c>
      <c r="H72" s="366">
        <v>0</v>
      </c>
      <c r="I72" s="370"/>
      <c r="J72" s="368">
        <v>0</v>
      </c>
      <c r="K72" s="371">
        <v>0</v>
      </c>
      <c r="L72" s="372">
        <v>0</v>
      </c>
      <c r="N72" s="373">
        <f t="shared" ca="1" si="4"/>
        <v>0</v>
      </c>
      <c r="O72" s="374">
        <f t="shared" ca="1" si="5"/>
        <v>0</v>
      </c>
    </row>
    <row r="73" spans="1:15" hidden="1">
      <c r="A73" s="355" t="s">
        <v>109</v>
      </c>
      <c r="B73" s="355" t="s">
        <v>62</v>
      </c>
      <c r="C73" s="355" t="s">
        <v>90</v>
      </c>
      <c r="D73" s="367" t="s">
        <v>377</v>
      </c>
      <c r="E73" s="367">
        <v>69</v>
      </c>
      <c r="F73" s="368">
        <v>0.2</v>
      </c>
      <c r="G73" s="369">
        <v>0.4</v>
      </c>
      <c r="H73" s="366">
        <v>0.1</v>
      </c>
      <c r="I73" s="370"/>
      <c r="J73" s="368">
        <v>0.2</v>
      </c>
      <c r="K73" s="371">
        <v>0.38</v>
      </c>
      <c r="L73" s="372">
        <v>0.1</v>
      </c>
      <c r="N73" s="373">
        <f t="shared" ca="1" si="4"/>
        <v>0.4</v>
      </c>
      <c r="O73" s="374">
        <f t="shared" ca="1" si="5"/>
        <v>0.38</v>
      </c>
    </row>
    <row r="74" spans="1:15" hidden="1">
      <c r="A74" s="355" t="s">
        <v>380</v>
      </c>
      <c r="B74" s="355" t="s">
        <v>172</v>
      </c>
      <c r="C74" s="355" t="s">
        <v>179</v>
      </c>
      <c r="D74" s="367" t="s">
        <v>374</v>
      </c>
      <c r="E74" s="367">
        <v>6</v>
      </c>
      <c r="F74" s="375">
        <v>0.41670196424331618</v>
      </c>
      <c r="G74" s="375">
        <v>0.45303082453804822</v>
      </c>
      <c r="H74" s="375">
        <v>0.45303082453804822</v>
      </c>
      <c r="I74" s="370"/>
      <c r="J74" s="375">
        <v>0.41670196424331618</v>
      </c>
      <c r="K74" s="376">
        <v>0.44333287248200542</v>
      </c>
      <c r="L74" s="376">
        <v>0.48081611008253872</v>
      </c>
      <c r="N74" s="374">
        <f t="shared" ca="1" si="4"/>
        <v>0.45303082453804822</v>
      </c>
      <c r="O74" s="374">
        <f t="shared" ca="1" si="5"/>
        <v>0.44333287248200542</v>
      </c>
    </row>
    <row r="75" spans="1:15" hidden="1">
      <c r="A75" s="355" t="s">
        <v>380</v>
      </c>
      <c r="B75" s="355" t="s">
        <v>104</v>
      </c>
      <c r="C75" s="355" t="s">
        <v>179</v>
      </c>
      <c r="D75" s="367" t="s">
        <v>374</v>
      </c>
      <c r="E75" s="367">
        <v>7</v>
      </c>
      <c r="F75" s="375">
        <v>0.44894128207549289</v>
      </c>
      <c r="G75" s="375">
        <v>0.43817438218466587</v>
      </c>
      <c r="H75" s="375">
        <v>0.43817438218466587</v>
      </c>
      <c r="I75" s="370"/>
      <c r="J75" s="375">
        <v>0.44894128207549289</v>
      </c>
      <c r="K75" s="376">
        <v>0.47895154569318799</v>
      </c>
      <c r="L75" s="376">
        <v>0.45129371387545469</v>
      </c>
      <c r="N75" s="374">
        <f t="shared" ca="1" si="4"/>
        <v>0.43817438218466587</v>
      </c>
      <c r="O75" s="374">
        <f t="shared" ca="1" si="5"/>
        <v>0.47895154569318799</v>
      </c>
    </row>
    <row r="76" spans="1:15" hidden="1">
      <c r="A76" s="355" t="s">
        <v>380</v>
      </c>
      <c r="B76" s="355" t="s">
        <v>101</v>
      </c>
      <c r="C76" s="355" t="s">
        <v>179</v>
      </c>
      <c r="D76" s="367" t="s">
        <v>374</v>
      </c>
      <c r="E76" s="367">
        <v>8</v>
      </c>
      <c r="F76" s="375">
        <v>0.41670196424331618</v>
      </c>
      <c r="G76" s="375">
        <v>0.45303082453804822</v>
      </c>
      <c r="H76" s="375">
        <v>0.45303082453804822</v>
      </c>
      <c r="I76" s="370"/>
      <c r="J76" s="375">
        <v>0.41670196424331618</v>
      </c>
      <c r="K76" s="376">
        <v>0.44333287248200542</v>
      </c>
      <c r="L76" s="376">
        <v>0.48081611008253872</v>
      </c>
      <c r="N76" s="374">
        <f t="shared" ca="1" si="4"/>
        <v>0.45303082453804822</v>
      </c>
      <c r="O76" s="374">
        <f t="shared" ca="1" si="5"/>
        <v>0.44333287248200542</v>
      </c>
    </row>
    <row r="77" spans="1:15" hidden="1">
      <c r="A77" s="355" t="s">
        <v>380</v>
      </c>
      <c r="B77" s="355" t="s">
        <v>100</v>
      </c>
      <c r="C77" s="355" t="s">
        <v>179</v>
      </c>
      <c r="D77" s="367" t="s">
        <v>374</v>
      </c>
      <c r="E77" s="367">
        <v>9</v>
      </c>
      <c r="F77" s="375">
        <v>0.41670196424331618</v>
      </c>
      <c r="G77" s="375">
        <v>0.45303082453804822</v>
      </c>
      <c r="H77" s="375">
        <v>0.45303082453804822</v>
      </c>
      <c r="I77" s="370"/>
      <c r="J77" s="375">
        <v>0.41670196424331618</v>
      </c>
      <c r="K77" s="376">
        <v>0.44333287248200542</v>
      </c>
      <c r="L77" s="376">
        <v>0.48081611008253872</v>
      </c>
      <c r="N77" s="374">
        <f t="shared" ca="1" si="4"/>
        <v>0.45303082453804822</v>
      </c>
      <c r="O77" s="374">
        <f t="shared" ca="1" si="5"/>
        <v>0.44333287248200542</v>
      </c>
    </row>
    <row r="78" spans="1:15" hidden="1">
      <c r="A78" s="355" t="s">
        <v>380</v>
      </c>
      <c r="B78" s="355" t="s">
        <v>397</v>
      </c>
      <c r="C78" s="355" t="s">
        <v>179</v>
      </c>
      <c r="D78" s="367" t="s">
        <v>374</v>
      </c>
      <c r="E78" s="367">
        <v>10</v>
      </c>
      <c r="F78" s="375">
        <v>1.3888888888888886</v>
      </c>
      <c r="G78" s="375">
        <v>1.3888888888888886</v>
      </c>
      <c r="H78" s="375">
        <v>1.3888888888888886</v>
      </c>
      <c r="I78" s="370"/>
      <c r="J78" s="375">
        <v>1.3888888888888886</v>
      </c>
      <c r="K78" s="376">
        <v>1.2161054729603733</v>
      </c>
      <c r="L78" s="376">
        <v>1.3227135330269097</v>
      </c>
      <c r="N78" s="374">
        <f t="shared" ca="1" si="4"/>
        <v>1.3888888888888886</v>
      </c>
      <c r="O78" s="374">
        <f t="shared" ca="1" si="5"/>
        <v>1.2161054729603733</v>
      </c>
    </row>
    <row r="79" spans="1:15" hidden="1">
      <c r="A79" s="355" t="s">
        <v>380</v>
      </c>
      <c r="B79" s="355" t="s">
        <v>162</v>
      </c>
      <c r="C79" s="355" t="s">
        <v>179</v>
      </c>
      <c r="D79" s="367" t="s">
        <v>374</v>
      </c>
      <c r="E79" s="367">
        <v>11</v>
      </c>
      <c r="F79" s="375">
        <v>0.44894128207549289</v>
      </c>
      <c r="G79" s="375">
        <v>0.45303082453804822</v>
      </c>
      <c r="H79" s="375">
        <v>0.45303082453804822</v>
      </c>
      <c r="I79" s="370"/>
      <c r="J79" s="375">
        <v>0.44894128207549289</v>
      </c>
      <c r="K79" s="376">
        <v>0.44333287248200542</v>
      </c>
      <c r="L79" s="376">
        <v>0.48081611008253872</v>
      </c>
      <c r="N79" s="374">
        <f t="shared" ca="1" si="4"/>
        <v>0.45303082453804822</v>
      </c>
      <c r="O79" s="374">
        <f t="shared" ca="1" si="5"/>
        <v>0.44333287248200542</v>
      </c>
    </row>
    <row r="80" spans="1:15" hidden="1">
      <c r="A80" s="355" t="s">
        <v>380</v>
      </c>
      <c r="B80" s="355" t="s">
        <v>163</v>
      </c>
      <c r="C80" s="355" t="s">
        <v>179</v>
      </c>
      <c r="D80" s="367" t="s">
        <v>374</v>
      </c>
      <c r="E80" s="367">
        <v>12</v>
      </c>
      <c r="F80" s="375">
        <v>0.41670196424331618</v>
      </c>
      <c r="G80" s="375">
        <v>0.45303082453804822</v>
      </c>
      <c r="H80" s="375">
        <v>0.45303082453804822</v>
      </c>
      <c r="I80" s="370"/>
      <c r="J80" s="375">
        <v>0.41670196424331618</v>
      </c>
      <c r="K80" s="376">
        <v>0.44333287248200542</v>
      </c>
      <c r="L80" s="376">
        <v>0.48081611008253872</v>
      </c>
      <c r="N80" s="374">
        <f t="shared" ca="1" si="4"/>
        <v>0.45303082453804822</v>
      </c>
      <c r="O80" s="374">
        <f t="shared" ca="1" si="5"/>
        <v>0.44333287248200542</v>
      </c>
    </row>
    <row r="81" spans="1:15" hidden="1">
      <c r="A81" s="355" t="s">
        <v>107</v>
      </c>
      <c r="B81" s="355" t="s">
        <v>172</v>
      </c>
      <c r="C81" s="355" t="s">
        <v>51</v>
      </c>
      <c r="D81" s="367" t="s">
        <v>374</v>
      </c>
      <c r="E81" s="367">
        <v>6</v>
      </c>
      <c r="F81" s="375">
        <v>8.5834194905819644E-2</v>
      </c>
      <c r="G81" s="375">
        <v>8.6104845926598741E-2</v>
      </c>
      <c r="H81" s="375">
        <v>8.6104845926598741E-2</v>
      </c>
      <c r="I81" s="370"/>
      <c r="J81" s="375">
        <v>8.5834194905819644E-2</v>
      </c>
      <c r="K81" s="376">
        <v>7.9611883401826414E-2</v>
      </c>
      <c r="L81" s="376">
        <v>7.041980234215553E-2</v>
      </c>
      <c r="N81" s="374">
        <f t="shared" ca="1" si="4"/>
        <v>8.6104845926598741E-2</v>
      </c>
      <c r="O81" s="374">
        <f t="shared" ca="1" si="5"/>
        <v>7.9611883401826414E-2</v>
      </c>
    </row>
    <row r="82" spans="1:15" hidden="1">
      <c r="A82" s="355" t="s">
        <v>107</v>
      </c>
      <c r="B82" s="355" t="s">
        <v>104</v>
      </c>
      <c r="C82" s="355" t="s">
        <v>51</v>
      </c>
      <c r="D82" s="367" t="s">
        <v>374</v>
      </c>
      <c r="E82" s="367">
        <v>7</v>
      </c>
      <c r="F82" s="375">
        <v>8.5834194905819644E-2</v>
      </c>
      <c r="G82" s="375">
        <v>8.6104845926598741E-2</v>
      </c>
      <c r="H82" s="375">
        <v>8.6104845926598741E-2</v>
      </c>
      <c r="I82" s="370"/>
      <c r="J82" s="375">
        <v>8.5834194905819644E-2</v>
      </c>
      <c r="K82" s="376">
        <v>7.9611883401826414E-2</v>
      </c>
      <c r="L82" s="376">
        <v>7.041980234215553E-2</v>
      </c>
      <c r="N82" s="374">
        <f t="shared" ca="1" si="4"/>
        <v>8.6104845926598741E-2</v>
      </c>
      <c r="O82" s="374">
        <f t="shared" ca="1" si="5"/>
        <v>7.9611883401826414E-2</v>
      </c>
    </row>
    <row r="83" spans="1:15" hidden="1">
      <c r="A83" s="355" t="s">
        <v>107</v>
      </c>
      <c r="B83" s="355" t="s">
        <v>101</v>
      </c>
      <c r="C83" s="355" t="s">
        <v>51</v>
      </c>
      <c r="D83" s="367" t="s">
        <v>374</v>
      </c>
      <c r="E83" s="367">
        <v>8</v>
      </c>
      <c r="F83" s="375">
        <v>8.5834194905819644E-2</v>
      </c>
      <c r="G83" s="375">
        <v>8.6104845926598741E-2</v>
      </c>
      <c r="H83" s="375">
        <v>8.6104845926598741E-2</v>
      </c>
      <c r="I83" s="370"/>
      <c r="J83" s="375">
        <v>8.5834194905819644E-2</v>
      </c>
      <c r="K83" s="376">
        <v>7.9611883401826414E-2</v>
      </c>
      <c r="L83" s="376">
        <v>7.041980234215553E-2</v>
      </c>
      <c r="N83" s="374">
        <f t="shared" ca="1" si="4"/>
        <v>8.6104845926598741E-2</v>
      </c>
      <c r="O83" s="374">
        <f t="shared" ca="1" si="5"/>
        <v>7.9611883401826414E-2</v>
      </c>
    </row>
    <row r="84" spans="1:15" hidden="1">
      <c r="A84" s="355" t="s">
        <v>107</v>
      </c>
      <c r="B84" s="355" t="s">
        <v>100</v>
      </c>
      <c r="C84" s="355" t="s">
        <v>51</v>
      </c>
      <c r="D84" s="367" t="s">
        <v>374</v>
      </c>
      <c r="E84" s="367">
        <v>9</v>
      </c>
      <c r="F84" s="375">
        <v>8.5834194905819644E-2</v>
      </c>
      <c r="G84" s="375">
        <v>8.6104845926598741E-2</v>
      </c>
      <c r="H84" s="375">
        <v>8.6104845926598741E-2</v>
      </c>
      <c r="I84" s="370"/>
      <c r="J84" s="375">
        <v>8.5834194905819644E-2</v>
      </c>
      <c r="K84" s="376">
        <v>7.9611883401826414E-2</v>
      </c>
      <c r="L84" s="376">
        <v>7.041980234215553E-2</v>
      </c>
      <c r="N84" s="374">
        <f t="shared" ca="1" si="4"/>
        <v>8.6104845926598741E-2</v>
      </c>
      <c r="O84" s="374">
        <f t="shared" ca="1" si="5"/>
        <v>7.9611883401826414E-2</v>
      </c>
    </row>
    <row r="85" spans="1:15" hidden="1">
      <c r="A85" s="355" t="s">
        <v>107</v>
      </c>
      <c r="B85" s="355" t="s">
        <v>397</v>
      </c>
      <c r="C85" s="355" t="s">
        <v>51</v>
      </c>
      <c r="D85" s="367" t="s">
        <v>374</v>
      </c>
      <c r="E85" s="367">
        <v>10</v>
      </c>
      <c r="F85" s="375">
        <v>0.30632519518898255</v>
      </c>
      <c r="G85" s="375">
        <v>0.30632519518898255</v>
      </c>
      <c r="H85" s="375">
        <v>0.30632519518898255</v>
      </c>
      <c r="I85" s="370"/>
      <c r="J85" s="375">
        <v>0.30632519518898255</v>
      </c>
      <c r="K85" s="376">
        <v>0.20735701310626153</v>
      </c>
      <c r="L85" s="376">
        <v>0.19018682451601901</v>
      </c>
      <c r="N85" s="374">
        <f t="shared" ca="1" si="4"/>
        <v>0.30632519518898255</v>
      </c>
      <c r="O85" s="374">
        <f t="shared" ca="1" si="5"/>
        <v>0.20735701310626153</v>
      </c>
    </row>
    <row r="86" spans="1:15" hidden="1">
      <c r="A86" s="355" t="s">
        <v>107</v>
      </c>
      <c r="B86" s="355" t="s">
        <v>162</v>
      </c>
      <c r="C86" s="355" t="s">
        <v>51</v>
      </c>
      <c r="D86" s="367" t="s">
        <v>374</v>
      </c>
      <c r="E86" s="367">
        <v>11</v>
      </c>
      <c r="F86" s="375">
        <v>8.5834194905819644E-2</v>
      </c>
      <c r="G86" s="375">
        <v>8.6104845926598741E-2</v>
      </c>
      <c r="H86" s="375">
        <v>8.6104845926598741E-2</v>
      </c>
      <c r="I86" s="370"/>
      <c r="J86" s="375">
        <v>8.5834194905819644E-2</v>
      </c>
      <c r="K86" s="376">
        <v>7.9611883401826414E-2</v>
      </c>
      <c r="L86" s="376">
        <v>7.041980234215553E-2</v>
      </c>
      <c r="N86" s="374">
        <f t="shared" ca="1" si="4"/>
        <v>8.6104845926598741E-2</v>
      </c>
      <c r="O86" s="374">
        <f t="shared" ca="1" si="5"/>
        <v>7.9611883401826414E-2</v>
      </c>
    </row>
    <row r="87" spans="1:15" hidden="1">
      <c r="A87" s="355" t="s">
        <v>107</v>
      </c>
      <c r="B87" s="355" t="s">
        <v>163</v>
      </c>
      <c r="C87" s="355" t="s">
        <v>51</v>
      </c>
      <c r="D87" s="367" t="s">
        <v>374</v>
      </c>
      <c r="E87" s="367">
        <v>12</v>
      </c>
      <c r="F87" s="375">
        <v>8.5834194905819644E-2</v>
      </c>
      <c r="G87" s="375">
        <v>8.6104845926598741E-2</v>
      </c>
      <c r="H87" s="375">
        <v>8.6104845926598741E-2</v>
      </c>
      <c r="I87" s="370"/>
      <c r="J87" s="375">
        <v>8.5834194905819644E-2</v>
      </c>
      <c r="K87" s="376">
        <v>7.9611883401826414E-2</v>
      </c>
      <c r="L87" s="376">
        <v>7.041980234215553E-2</v>
      </c>
      <c r="N87" s="374">
        <f t="shared" ca="1" si="4"/>
        <v>8.6104845926598741E-2</v>
      </c>
      <c r="O87" s="374">
        <f t="shared" ca="1" si="5"/>
        <v>7.9611883401826414E-2</v>
      </c>
    </row>
    <row r="88" spans="1:15" hidden="1">
      <c r="A88" s="355" t="s">
        <v>381</v>
      </c>
      <c r="B88" s="355" t="s">
        <v>172</v>
      </c>
      <c r="C88" s="355" t="s">
        <v>50</v>
      </c>
      <c r="D88" s="367" t="s">
        <v>374</v>
      </c>
      <c r="E88" s="367">
        <v>6</v>
      </c>
      <c r="F88" s="375">
        <v>0.3206592754703671</v>
      </c>
      <c r="G88" s="375">
        <v>0.36236518444162885</v>
      </c>
      <c r="H88" s="375">
        <v>0.36236518444162885</v>
      </c>
      <c r="I88" s="370"/>
      <c r="J88" s="375">
        <v>0.3206592754703671</v>
      </c>
      <c r="K88" s="376">
        <v>0.34718112011675695</v>
      </c>
      <c r="L88" s="376">
        <v>0.37488786694812859</v>
      </c>
      <c r="N88" s="374">
        <f t="shared" ca="1" si="4"/>
        <v>0.36236518444162885</v>
      </c>
      <c r="O88" s="374">
        <f t="shared" ca="1" si="5"/>
        <v>0.34718112011675695</v>
      </c>
    </row>
    <row r="89" spans="1:15" hidden="1">
      <c r="A89" s="355" t="s">
        <v>381</v>
      </c>
      <c r="B89" s="355" t="s">
        <v>104</v>
      </c>
      <c r="C89" s="355" t="s">
        <v>50</v>
      </c>
      <c r="D89" s="367" t="s">
        <v>374</v>
      </c>
      <c r="E89" s="367">
        <v>7</v>
      </c>
      <c r="F89" s="375">
        <v>0.25945011263355566</v>
      </c>
      <c r="G89" s="375">
        <v>0.30422782301794299</v>
      </c>
      <c r="H89" s="375">
        <v>0.30422782301794299</v>
      </c>
      <c r="I89" s="370"/>
      <c r="J89" s="375">
        <v>0.25945011263355566</v>
      </c>
      <c r="K89" s="376">
        <v>0.39490903632549257</v>
      </c>
      <c r="L89" s="376">
        <v>0.39655784617440437</v>
      </c>
      <c r="N89" s="374">
        <f t="shared" ca="1" si="4"/>
        <v>0.30422782301794299</v>
      </c>
      <c r="O89" s="374">
        <f t="shared" ca="1" si="5"/>
        <v>0.39490903632549257</v>
      </c>
    </row>
    <row r="90" spans="1:15" hidden="1">
      <c r="A90" s="355" t="s">
        <v>381</v>
      </c>
      <c r="B90" s="355" t="s">
        <v>101</v>
      </c>
      <c r="C90" s="355" t="s">
        <v>50</v>
      </c>
      <c r="D90" s="367" t="s">
        <v>374</v>
      </c>
      <c r="E90" s="367">
        <v>8</v>
      </c>
      <c r="F90" s="375">
        <v>0.3206592754703671</v>
      </c>
      <c r="G90" s="375">
        <v>0.36236518444162885</v>
      </c>
      <c r="H90" s="375">
        <v>0.36236518444162885</v>
      </c>
      <c r="I90" s="370"/>
      <c r="J90" s="375">
        <v>0.3206592754703671</v>
      </c>
      <c r="K90" s="376">
        <v>0.34718112011675695</v>
      </c>
      <c r="L90" s="376">
        <v>0.37488786694812859</v>
      </c>
      <c r="N90" s="374">
        <f t="shared" ca="1" si="4"/>
        <v>0.36236518444162885</v>
      </c>
      <c r="O90" s="374">
        <f t="shared" ca="1" si="5"/>
        <v>0.34718112011675695</v>
      </c>
    </row>
    <row r="91" spans="1:15" hidden="1">
      <c r="A91" s="355" t="s">
        <v>381</v>
      </c>
      <c r="B91" s="355" t="s">
        <v>100</v>
      </c>
      <c r="C91" s="355" t="s">
        <v>50</v>
      </c>
      <c r="D91" s="367" t="s">
        <v>374</v>
      </c>
      <c r="E91" s="367">
        <v>9</v>
      </c>
      <c r="F91" s="375">
        <v>0.3206592754703671</v>
      </c>
      <c r="G91" s="375">
        <v>0.36236518444162885</v>
      </c>
      <c r="H91" s="375">
        <v>0.36236518444162885</v>
      </c>
      <c r="I91" s="370"/>
      <c r="J91" s="375">
        <v>0.3206592754703671</v>
      </c>
      <c r="K91" s="376">
        <v>0.34718112011675695</v>
      </c>
      <c r="L91" s="376">
        <v>0.37488786694812859</v>
      </c>
      <c r="N91" s="374">
        <f t="shared" ca="1" si="4"/>
        <v>0.36236518444162885</v>
      </c>
      <c r="O91" s="374">
        <f t="shared" ca="1" si="5"/>
        <v>0.34718112011675695</v>
      </c>
    </row>
    <row r="92" spans="1:15" hidden="1">
      <c r="A92" s="355" t="s">
        <v>381</v>
      </c>
      <c r="B92" s="355" t="s">
        <v>397</v>
      </c>
      <c r="C92" s="355" t="s">
        <v>50</v>
      </c>
      <c r="D92" s="367" t="s">
        <v>374</v>
      </c>
      <c r="E92" s="367">
        <v>10</v>
      </c>
      <c r="F92" s="375">
        <v>0.92592592592592582</v>
      </c>
      <c r="G92" s="375">
        <v>0.92592592592592582</v>
      </c>
      <c r="H92" s="375">
        <v>0.92592592592592582</v>
      </c>
      <c r="I92" s="370"/>
      <c r="J92" s="375">
        <v>0.92592592592592582</v>
      </c>
      <c r="K92" s="376">
        <v>1.043463334787226</v>
      </c>
      <c r="L92" s="376">
        <v>1.0478199649605535</v>
      </c>
      <c r="N92" s="374">
        <f t="shared" ca="1" si="4"/>
        <v>0.92592592592592582</v>
      </c>
      <c r="O92" s="374">
        <f t="shared" ca="1" si="5"/>
        <v>1.043463334787226</v>
      </c>
    </row>
    <row r="93" spans="1:15" hidden="1">
      <c r="A93" s="355" t="s">
        <v>381</v>
      </c>
      <c r="B93" s="355" t="s">
        <v>162</v>
      </c>
      <c r="C93" s="355" t="s">
        <v>50</v>
      </c>
      <c r="D93" s="367" t="s">
        <v>374</v>
      </c>
      <c r="E93" s="367">
        <v>11</v>
      </c>
      <c r="F93" s="375">
        <v>0.25945011263355566</v>
      </c>
      <c r="G93" s="375">
        <v>0.36236518444162885</v>
      </c>
      <c r="H93" s="375">
        <v>0.36236518444162885</v>
      </c>
      <c r="I93" s="370"/>
      <c r="J93" s="375">
        <v>0.25945011263355566</v>
      </c>
      <c r="K93" s="376">
        <v>0.34718112011675695</v>
      </c>
      <c r="L93" s="376">
        <v>0.37488786694812859</v>
      </c>
      <c r="N93" s="374">
        <f t="shared" ca="1" si="4"/>
        <v>0.36236518444162885</v>
      </c>
      <c r="O93" s="374">
        <f t="shared" ca="1" si="5"/>
        <v>0.34718112011675695</v>
      </c>
    </row>
    <row r="94" spans="1:15" hidden="1">
      <c r="A94" s="355" t="s">
        <v>381</v>
      </c>
      <c r="B94" s="355" t="s">
        <v>163</v>
      </c>
      <c r="C94" s="355" t="s">
        <v>50</v>
      </c>
      <c r="D94" s="367" t="s">
        <v>374</v>
      </c>
      <c r="E94" s="367">
        <v>12</v>
      </c>
      <c r="F94" s="375">
        <v>0.3206592754703671</v>
      </c>
      <c r="G94" s="375">
        <v>0.36236518444162885</v>
      </c>
      <c r="H94" s="375">
        <v>0.36236518444162885</v>
      </c>
      <c r="I94" s="370"/>
      <c r="J94" s="375">
        <v>0.3206592754703671</v>
      </c>
      <c r="K94" s="376">
        <v>0.34718112011675695</v>
      </c>
      <c r="L94" s="376">
        <v>0.37488786694812859</v>
      </c>
      <c r="N94" s="374">
        <f t="shared" ca="1" si="4"/>
        <v>0.36236518444162885</v>
      </c>
      <c r="O94" s="374">
        <f t="shared" ca="1" si="5"/>
        <v>0.34718112011675695</v>
      </c>
    </row>
    <row r="95" spans="1:15" hidden="1">
      <c r="A95" s="355" t="s">
        <v>383</v>
      </c>
      <c r="B95" s="355" t="s">
        <v>172</v>
      </c>
      <c r="C95" s="355" t="s">
        <v>257</v>
      </c>
      <c r="D95" s="367" t="s">
        <v>374</v>
      </c>
      <c r="E95" s="367">
        <v>6</v>
      </c>
      <c r="F95" s="375">
        <v>8.3803083783843449E-2</v>
      </c>
      <c r="G95" s="375">
        <v>8.6858330707681244E-2</v>
      </c>
      <c r="H95" s="375">
        <v>8.6858330707681244E-2</v>
      </c>
      <c r="I95" s="370"/>
      <c r="J95" s="375">
        <v>8.3803083783843449E-2</v>
      </c>
      <c r="K95" s="376">
        <v>8.09023362403236E-2</v>
      </c>
      <c r="L95" s="376">
        <v>6.819604068741246E-2</v>
      </c>
      <c r="N95" s="374">
        <f t="shared" ca="1" si="4"/>
        <v>8.6858330707681244E-2</v>
      </c>
      <c r="O95" s="374">
        <f t="shared" ca="1" si="5"/>
        <v>8.09023362403236E-2</v>
      </c>
    </row>
    <row r="96" spans="1:15" hidden="1">
      <c r="A96" s="355" t="s">
        <v>383</v>
      </c>
      <c r="B96" s="355" t="s">
        <v>104</v>
      </c>
      <c r="C96" s="355" t="s">
        <v>257</v>
      </c>
      <c r="D96" s="367" t="s">
        <v>374</v>
      </c>
      <c r="E96" s="367">
        <v>7</v>
      </c>
      <c r="F96" s="375">
        <v>8.9033512036649221E-2</v>
      </c>
      <c r="G96" s="375">
        <v>8.6858330707681244E-2</v>
      </c>
      <c r="H96" s="375">
        <v>8.6858330707681244E-2</v>
      </c>
      <c r="I96" s="370"/>
      <c r="J96" s="375">
        <v>8.9033512036649221E-2</v>
      </c>
      <c r="K96" s="376">
        <v>8.09023362403236E-2</v>
      </c>
      <c r="L96" s="376">
        <v>6.819604068741246E-2</v>
      </c>
      <c r="N96" s="374">
        <f t="shared" ca="1" si="4"/>
        <v>8.6858330707681244E-2</v>
      </c>
      <c r="O96" s="374">
        <f t="shared" ca="1" si="5"/>
        <v>8.09023362403236E-2</v>
      </c>
    </row>
    <row r="97" spans="1:15" hidden="1">
      <c r="A97" s="355" t="s">
        <v>383</v>
      </c>
      <c r="B97" s="355" t="s">
        <v>101</v>
      </c>
      <c r="C97" s="355" t="s">
        <v>257</v>
      </c>
      <c r="D97" s="367" t="s">
        <v>374</v>
      </c>
      <c r="E97" s="367">
        <v>8</v>
      </c>
      <c r="F97" s="375">
        <v>7.8572655531037677E-2</v>
      </c>
      <c r="G97" s="375">
        <v>8.6858330707681244E-2</v>
      </c>
      <c r="H97" s="375">
        <v>8.6858330707681244E-2</v>
      </c>
      <c r="I97" s="370"/>
      <c r="J97" s="375">
        <v>7.8572655531037677E-2</v>
      </c>
      <c r="K97" s="376">
        <v>8.09023362403236E-2</v>
      </c>
      <c r="L97" s="376">
        <v>6.819604068741246E-2</v>
      </c>
      <c r="N97" s="374">
        <f t="shared" ca="1" si="4"/>
        <v>8.6858330707681244E-2</v>
      </c>
      <c r="O97" s="374">
        <f t="shared" ca="1" si="5"/>
        <v>8.09023362403236E-2</v>
      </c>
    </row>
    <row r="98" spans="1:15" hidden="1">
      <c r="A98" s="355" t="s">
        <v>383</v>
      </c>
      <c r="B98" s="355" t="s">
        <v>100</v>
      </c>
      <c r="C98" s="355" t="s">
        <v>257</v>
      </c>
      <c r="D98" s="367" t="s">
        <v>374</v>
      </c>
      <c r="E98" s="367">
        <v>9</v>
      </c>
      <c r="F98" s="375">
        <v>7.8572655531037677E-2</v>
      </c>
      <c r="G98" s="375">
        <v>8.6858330707681244E-2</v>
      </c>
      <c r="H98" s="375">
        <v>8.6858330707681244E-2</v>
      </c>
      <c r="I98" s="370"/>
      <c r="J98" s="375">
        <v>7.8572655531037677E-2</v>
      </c>
      <c r="K98" s="376">
        <v>6.8141782809551299E-2</v>
      </c>
      <c r="L98" s="376">
        <v>5.7439624230243312E-2</v>
      </c>
      <c r="N98" s="374">
        <f t="shared" ca="1" si="4"/>
        <v>8.6858330707681244E-2</v>
      </c>
      <c r="O98" s="374">
        <f t="shared" ca="1" si="5"/>
        <v>6.8141782809551299E-2</v>
      </c>
    </row>
    <row r="99" spans="1:15" hidden="1">
      <c r="A99" s="355" t="s">
        <v>383</v>
      </c>
      <c r="B99" s="355" t="s">
        <v>397</v>
      </c>
      <c r="C99" s="355" t="s">
        <v>257</v>
      </c>
      <c r="D99" s="367" t="s">
        <v>374</v>
      </c>
      <c r="F99" s="355">
        <v>0.17035445702387825</v>
      </c>
      <c r="G99" s="355">
        <v>0.17035445702387825</v>
      </c>
      <c r="H99" s="355">
        <v>0.17035445702387825</v>
      </c>
      <c r="I99" s="370"/>
      <c r="J99" s="355">
        <v>0.17035445702387825</v>
      </c>
      <c r="K99" s="377">
        <v>0.17035445702387825</v>
      </c>
      <c r="L99" s="377">
        <v>0.14359906057560826</v>
      </c>
      <c r="N99" s="374">
        <f t="shared" ca="1" si="4"/>
        <v>0.17035445702387825</v>
      </c>
      <c r="O99" s="374">
        <f t="shared" ca="1" si="5"/>
        <v>0.17035445702387825</v>
      </c>
    </row>
    <row r="100" spans="1:15" hidden="1">
      <c r="A100" s="355" t="s">
        <v>383</v>
      </c>
      <c r="B100" s="355" t="s">
        <v>162</v>
      </c>
      <c r="C100" s="355" t="s">
        <v>257</v>
      </c>
      <c r="D100" s="367" t="s">
        <v>374</v>
      </c>
      <c r="E100" s="367">
        <v>10</v>
      </c>
      <c r="F100" s="375">
        <v>7.8572655531037677E-2</v>
      </c>
      <c r="G100" s="375">
        <v>8.6858330707681244E-2</v>
      </c>
      <c r="H100" s="375">
        <v>8.6858330707681244E-2</v>
      </c>
      <c r="I100" s="370"/>
      <c r="J100" s="375">
        <v>7.8572655531037677E-2</v>
      </c>
      <c r="K100" s="376">
        <v>8.09023362403236E-2</v>
      </c>
      <c r="L100" s="376">
        <v>6.819604068741246E-2</v>
      </c>
      <c r="N100" s="374">
        <f t="shared" ref="N100:N114" ca="1" si="6">OFFSET($E100,0,RegIndex)</f>
        <v>8.6858330707681244E-2</v>
      </c>
      <c r="O100" s="374">
        <f t="shared" ref="O100:O114" ca="1" si="7">OFFSET($I100,0,RegIndex)</f>
        <v>8.09023362403236E-2</v>
      </c>
    </row>
    <row r="101" spans="1:15" hidden="1">
      <c r="A101" s="355" t="s">
        <v>383</v>
      </c>
      <c r="B101" s="355" t="s">
        <v>163</v>
      </c>
      <c r="C101" s="355" t="s">
        <v>257</v>
      </c>
      <c r="D101" s="367" t="s">
        <v>374</v>
      </c>
      <c r="E101" s="367">
        <v>11</v>
      </c>
      <c r="F101" s="375">
        <v>7.8572655531037677E-2</v>
      </c>
      <c r="G101" s="375">
        <v>8.6858330707681244E-2</v>
      </c>
      <c r="H101" s="375">
        <v>8.6858330707681244E-2</v>
      </c>
      <c r="I101" s="370"/>
      <c r="J101" s="375">
        <v>7.8572655531037677E-2</v>
      </c>
      <c r="K101" s="376">
        <v>8.09023362403236E-2</v>
      </c>
      <c r="L101" s="376">
        <v>6.819604068741246E-2</v>
      </c>
      <c r="N101" s="374">
        <f t="shared" ca="1" si="6"/>
        <v>8.6858330707681244E-2</v>
      </c>
      <c r="O101" s="374">
        <f t="shared" ca="1" si="7"/>
        <v>8.09023362403236E-2</v>
      </c>
    </row>
    <row r="102" spans="1:15" hidden="1">
      <c r="A102" s="355" t="s">
        <v>382</v>
      </c>
      <c r="B102" s="355" t="s">
        <v>104</v>
      </c>
      <c r="C102" s="355" t="s">
        <v>52</v>
      </c>
      <c r="D102" s="367" t="s">
        <v>374</v>
      </c>
      <c r="E102" s="367">
        <v>6</v>
      </c>
      <c r="F102" s="375">
        <v>5.3790338508890874E-2</v>
      </c>
      <c r="G102" s="375">
        <v>7.0908882599273027E-2</v>
      </c>
      <c r="H102" s="375">
        <v>7.0908882599273027E-2</v>
      </c>
      <c r="I102" s="370"/>
      <c r="J102" s="375">
        <v>5.3790338508890874E-2</v>
      </c>
      <c r="K102" s="376">
        <v>5.7605243889022911E-2</v>
      </c>
      <c r="L102" s="376">
        <v>5.780143143107163E-2</v>
      </c>
      <c r="N102" s="374">
        <f t="shared" ca="1" si="6"/>
        <v>7.0908882599273027E-2</v>
      </c>
      <c r="O102" s="374">
        <f t="shared" ca="1" si="7"/>
        <v>5.7605243889022911E-2</v>
      </c>
    </row>
    <row r="103" spans="1:15" hidden="1">
      <c r="A103" s="355" t="s">
        <v>382</v>
      </c>
      <c r="B103" s="355" t="s">
        <v>172</v>
      </c>
      <c r="C103" s="355" t="s">
        <v>52</v>
      </c>
      <c r="D103" s="367" t="s">
        <v>374</v>
      </c>
      <c r="E103" s="367">
        <v>7</v>
      </c>
      <c r="F103" s="375">
        <v>5.2135251170155772E-2</v>
      </c>
      <c r="G103" s="375">
        <v>7.0908882599273027E-2</v>
      </c>
      <c r="H103" s="375">
        <v>7.0908882599273027E-2</v>
      </c>
      <c r="I103" s="370"/>
      <c r="J103" s="375">
        <v>5.2135251170155772E-2</v>
      </c>
      <c r="K103" s="376">
        <v>5.7605243889022911E-2</v>
      </c>
      <c r="L103" s="376">
        <v>5.780143143107163E-2</v>
      </c>
      <c r="N103" s="374">
        <f t="shared" ca="1" si="6"/>
        <v>7.0908882599273027E-2</v>
      </c>
      <c r="O103" s="374">
        <f t="shared" ca="1" si="7"/>
        <v>5.7605243889022911E-2</v>
      </c>
    </row>
    <row r="104" spans="1:15" hidden="1">
      <c r="A104" s="355" t="s">
        <v>382</v>
      </c>
      <c r="B104" s="355" t="s">
        <v>101</v>
      </c>
      <c r="C104" s="355" t="s">
        <v>52</v>
      </c>
      <c r="D104" s="367" t="s">
        <v>374</v>
      </c>
      <c r="E104" s="367">
        <v>8</v>
      </c>
      <c r="F104" s="375">
        <v>4.7997532823318013E-2</v>
      </c>
      <c r="G104" s="375">
        <v>7.0908882599273027E-2</v>
      </c>
      <c r="H104" s="375">
        <v>7.0908882599273027E-2</v>
      </c>
      <c r="I104" s="370"/>
      <c r="J104" s="375">
        <v>4.7997532823318013E-2</v>
      </c>
      <c r="K104" s="376">
        <v>5.7605243889022911E-2</v>
      </c>
      <c r="L104" s="376">
        <v>5.780143143107163E-2</v>
      </c>
      <c r="N104" s="374">
        <f t="shared" ca="1" si="6"/>
        <v>7.0908882599273027E-2</v>
      </c>
      <c r="O104" s="374">
        <f t="shared" ca="1" si="7"/>
        <v>5.7605243889022911E-2</v>
      </c>
    </row>
    <row r="105" spans="1:15" hidden="1">
      <c r="A105" s="355" t="s">
        <v>382</v>
      </c>
      <c r="B105" s="355" t="s">
        <v>100</v>
      </c>
      <c r="C105" s="355" t="s">
        <v>52</v>
      </c>
      <c r="D105" s="367" t="s">
        <v>374</v>
      </c>
      <c r="E105" s="367">
        <v>9</v>
      </c>
      <c r="F105" s="375">
        <v>4.7997532823318013E-2</v>
      </c>
      <c r="G105" s="375">
        <v>7.0908882599273027E-2</v>
      </c>
      <c r="H105" s="375">
        <v>7.0908882599273027E-2</v>
      </c>
      <c r="I105" s="370"/>
      <c r="J105" s="375">
        <v>4.7997532823318013E-2</v>
      </c>
      <c r="K105" s="376">
        <v>5.7605243889022911E-2</v>
      </c>
      <c r="L105" s="376">
        <v>5.780143143107163E-2</v>
      </c>
      <c r="N105" s="374">
        <f t="shared" ca="1" si="6"/>
        <v>7.0908882599273027E-2</v>
      </c>
      <c r="O105" s="374">
        <f t="shared" ca="1" si="7"/>
        <v>5.7605243889022911E-2</v>
      </c>
    </row>
    <row r="106" spans="1:15" hidden="1">
      <c r="A106" s="355" t="s">
        <v>382</v>
      </c>
      <c r="B106" s="355" t="s">
        <v>162</v>
      </c>
      <c r="C106" s="355" t="s">
        <v>52</v>
      </c>
      <c r="D106" s="367" t="s">
        <v>374</v>
      </c>
      <c r="E106" s="367">
        <v>10</v>
      </c>
      <c r="F106" s="375">
        <v>4.7997532823318013E-2</v>
      </c>
      <c r="G106" s="375">
        <v>7.0908882599273027E-2</v>
      </c>
      <c r="H106" s="375">
        <v>7.0908882599273027E-2</v>
      </c>
      <c r="I106" s="370"/>
      <c r="J106" s="375">
        <v>4.7997532823318013E-2</v>
      </c>
      <c r="K106" s="376">
        <v>5.7605243889022911E-2</v>
      </c>
      <c r="L106" s="376">
        <v>5.780143143107163E-2</v>
      </c>
      <c r="N106" s="374">
        <f t="shared" ca="1" si="6"/>
        <v>7.0908882599273027E-2</v>
      </c>
      <c r="O106" s="374">
        <f t="shared" ca="1" si="7"/>
        <v>5.7605243889022911E-2</v>
      </c>
    </row>
    <row r="107" spans="1:15" hidden="1">
      <c r="A107" s="355" t="s">
        <v>382</v>
      </c>
      <c r="B107" s="355" t="s">
        <v>163</v>
      </c>
      <c r="C107" s="355" t="s">
        <v>52</v>
      </c>
      <c r="D107" s="367" t="s">
        <v>374</v>
      </c>
      <c r="E107" s="367">
        <v>11</v>
      </c>
      <c r="F107" s="375">
        <v>4.7997532823318013E-2</v>
      </c>
      <c r="G107" s="375">
        <v>7.0908882599273027E-2</v>
      </c>
      <c r="H107" s="375">
        <v>7.0908882599273027E-2</v>
      </c>
      <c r="I107" s="370"/>
      <c r="J107" s="375">
        <v>4.7997532823318013E-2</v>
      </c>
      <c r="K107" s="376">
        <v>5.7605243889022911E-2</v>
      </c>
      <c r="L107" s="376">
        <v>5.780143143107163E-2</v>
      </c>
      <c r="N107" s="374">
        <f t="shared" ca="1" si="6"/>
        <v>7.0908882599273027E-2</v>
      </c>
      <c r="O107" s="374">
        <f t="shared" ca="1" si="7"/>
        <v>5.7605243889022911E-2</v>
      </c>
    </row>
    <row r="108" spans="1:15" hidden="1">
      <c r="A108" s="355" t="s">
        <v>384</v>
      </c>
      <c r="B108" s="355" t="s">
        <v>172</v>
      </c>
      <c r="C108" s="355" t="s">
        <v>140</v>
      </c>
      <c r="D108" s="367" t="s">
        <v>385</v>
      </c>
      <c r="E108" s="367">
        <v>6</v>
      </c>
      <c r="F108" s="375">
        <v>0.1</v>
      </c>
      <c r="G108" s="375">
        <v>0.82302098709771365</v>
      </c>
      <c r="H108" s="375">
        <v>0.82302098709771365</v>
      </c>
      <c r="I108" s="370"/>
      <c r="J108" s="375">
        <v>0.1</v>
      </c>
      <c r="K108" s="376">
        <v>0.64531583675354298</v>
      </c>
      <c r="L108" s="376">
        <v>0.64961813588500472</v>
      </c>
      <c r="N108" s="374">
        <f t="shared" ca="1" si="6"/>
        <v>0.82302098709771365</v>
      </c>
      <c r="O108" s="374">
        <f t="shared" ca="1" si="7"/>
        <v>0.64531583675354298</v>
      </c>
    </row>
    <row r="109" spans="1:15" hidden="1">
      <c r="A109" s="355" t="s">
        <v>384</v>
      </c>
      <c r="B109" s="355" t="s">
        <v>172</v>
      </c>
      <c r="C109" s="355" t="s">
        <v>140</v>
      </c>
      <c r="D109" s="367" t="s">
        <v>374</v>
      </c>
      <c r="E109" s="367">
        <v>6</v>
      </c>
      <c r="F109" s="375">
        <v>1.4</v>
      </c>
      <c r="G109" s="375">
        <v>1.4382345456768275</v>
      </c>
      <c r="H109" s="375">
        <v>1.4382345456768275</v>
      </c>
      <c r="I109" s="370"/>
      <c r="J109" s="375">
        <v>1.4</v>
      </c>
      <c r="K109" s="376">
        <v>0.97398236096874136</v>
      </c>
      <c r="L109" s="376">
        <v>1.0535061868831577</v>
      </c>
      <c r="N109" s="374">
        <f t="shared" ca="1" si="6"/>
        <v>1.4382345456768275</v>
      </c>
      <c r="O109" s="374">
        <f t="shared" ca="1" si="7"/>
        <v>0.97398236096874136</v>
      </c>
    </row>
    <row r="110" spans="1:15" hidden="1">
      <c r="A110" s="355" t="s">
        <v>384</v>
      </c>
      <c r="B110" s="355" t="s">
        <v>172</v>
      </c>
      <c r="C110" s="355" t="s">
        <v>140</v>
      </c>
      <c r="D110" s="367" t="s">
        <v>374</v>
      </c>
      <c r="E110" s="367">
        <v>7</v>
      </c>
      <c r="F110" s="375">
        <v>1</v>
      </c>
      <c r="G110" s="375">
        <v>0.82302098709771365</v>
      </c>
      <c r="H110" s="375">
        <v>0.82302098709771365</v>
      </c>
      <c r="I110" s="370"/>
      <c r="J110" s="375">
        <v>1</v>
      </c>
      <c r="K110" s="376">
        <v>0.64531583675354298</v>
      </c>
      <c r="L110" s="376">
        <v>0.64961813588500472</v>
      </c>
      <c r="N110" s="374">
        <f t="shared" ca="1" si="6"/>
        <v>0.82302098709771365</v>
      </c>
      <c r="O110" s="374">
        <f t="shared" ca="1" si="7"/>
        <v>0.64531583675354298</v>
      </c>
    </row>
    <row r="111" spans="1:15" hidden="1">
      <c r="A111" s="355" t="s">
        <v>384</v>
      </c>
      <c r="B111" s="355" t="s">
        <v>397</v>
      </c>
      <c r="C111" s="355" t="s">
        <v>140</v>
      </c>
      <c r="D111" s="367" t="s">
        <v>374</v>
      </c>
      <c r="E111" s="367">
        <v>8</v>
      </c>
      <c r="F111" s="375">
        <v>2</v>
      </c>
      <c r="G111" s="375">
        <v>2</v>
      </c>
      <c r="H111" s="375">
        <v>2</v>
      </c>
      <c r="I111" s="370"/>
      <c r="J111" s="375">
        <v>2</v>
      </c>
      <c r="K111" s="376">
        <v>2.0001174362026868</v>
      </c>
      <c r="L111" s="376">
        <v>2.0001174362026868</v>
      </c>
      <c r="N111" s="374">
        <f t="shared" ca="1" si="6"/>
        <v>2</v>
      </c>
      <c r="O111" s="374">
        <f t="shared" ca="1" si="7"/>
        <v>2.0001174362026868</v>
      </c>
    </row>
    <row r="112" spans="1:15" hidden="1">
      <c r="A112" s="355" t="s">
        <v>386</v>
      </c>
      <c r="B112" s="355" t="s">
        <v>172</v>
      </c>
      <c r="C112" s="355" t="s">
        <v>202</v>
      </c>
      <c r="D112" s="367" t="s">
        <v>374</v>
      </c>
      <c r="E112" s="367">
        <v>6</v>
      </c>
      <c r="F112" s="375">
        <v>0.35</v>
      </c>
      <c r="G112" s="375">
        <v>0.82302098709771365</v>
      </c>
      <c r="H112" s="375">
        <v>0.82302098709771365</v>
      </c>
      <c r="I112" s="370"/>
      <c r="J112" s="375">
        <v>0.35</v>
      </c>
      <c r="K112" s="376">
        <v>0.64531583675354298</v>
      </c>
      <c r="L112" s="376">
        <v>0.64961813588500472</v>
      </c>
      <c r="N112" s="374">
        <f t="shared" ca="1" si="6"/>
        <v>0.82302098709771365</v>
      </c>
      <c r="O112" s="374">
        <f t="shared" ca="1" si="7"/>
        <v>0.64531583675354298</v>
      </c>
    </row>
    <row r="113" spans="1:17" hidden="1">
      <c r="A113" s="355" t="s">
        <v>386</v>
      </c>
      <c r="B113" s="355" t="s">
        <v>104</v>
      </c>
      <c r="C113" s="355" t="s">
        <v>202</v>
      </c>
      <c r="D113" s="367" t="s">
        <v>374</v>
      </c>
      <c r="E113" s="367">
        <v>7</v>
      </c>
      <c r="F113" s="375">
        <v>0.28000000000000003</v>
      </c>
      <c r="G113" s="375">
        <v>0.82302098709771365</v>
      </c>
      <c r="H113" s="375">
        <v>0.82302098709771365</v>
      </c>
      <c r="I113" s="370"/>
      <c r="J113" s="375">
        <v>0.28000000000000003</v>
      </c>
      <c r="K113" s="376">
        <v>0.64531583675354298</v>
      </c>
      <c r="L113" s="376">
        <v>0.64961813588500472</v>
      </c>
      <c r="N113" s="374">
        <f t="shared" ca="1" si="6"/>
        <v>0.82302098709771365</v>
      </c>
      <c r="O113" s="374">
        <f t="shared" ca="1" si="7"/>
        <v>0.64531583675354298</v>
      </c>
    </row>
    <row r="114" spans="1:17" hidden="1">
      <c r="A114" s="355" t="s">
        <v>515</v>
      </c>
      <c r="B114" s="355" t="s">
        <v>420</v>
      </c>
      <c r="C114" s="355" t="s">
        <v>155</v>
      </c>
      <c r="F114" s="355">
        <v>0</v>
      </c>
      <c r="G114" s="355">
        <v>0</v>
      </c>
      <c r="H114" s="355">
        <v>0.55000000000000004</v>
      </c>
      <c r="J114" s="355">
        <v>0</v>
      </c>
      <c r="K114" s="355">
        <v>0.01</v>
      </c>
      <c r="L114" s="355">
        <v>0.55000000000000004</v>
      </c>
      <c r="N114" s="374">
        <f t="shared" ca="1" si="6"/>
        <v>0</v>
      </c>
      <c r="O114" s="374">
        <f t="shared" ca="1" si="7"/>
        <v>0.01</v>
      </c>
    </row>
    <row r="115" spans="1:17" hidden="1"/>
    <row r="116" spans="1:17" hidden="1"/>
    <row r="117" spans="1:17" hidden="1">
      <c r="B117" s="378" t="s">
        <v>395</v>
      </c>
      <c r="C117" s="378" t="s">
        <v>484</v>
      </c>
      <c r="D117" s="378" t="s">
        <v>482</v>
      </c>
      <c r="E117" s="378" t="s">
        <v>483</v>
      </c>
      <c r="F117" s="363" t="s">
        <v>364</v>
      </c>
      <c r="G117" s="363" t="s">
        <v>396</v>
      </c>
      <c r="H117" s="364" t="s">
        <v>458</v>
      </c>
      <c r="J117" s="363" t="s">
        <v>364</v>
      </c>
      <c r="K117" s="363" t="s">
        <v>396</v>
      </c>
      <c r="L117" s="364" t="s">
        <v>458</v>
      </c>
    </row>
    <row r="118" spans="1:17" hidden="1">
      <c r="B118" s="355" t="s">
        <v>179</v>
      </c>
      <c r="C118" s="355">
        <v>1.6</v>
      </c>
      <c r="D118" s="355">
        <v>15</v>
      </c>
      <c r="E118" s="355">
        <v>17.5</v>
      </c>
      <c r="F118" s="379">
        <v>0.78</v>
      </c>
      <c r="G118" s="379">
        <v>1</v>
      </c>
      <c r="H118" s="379">
        <v>1</v>
      </c>
      <c r="J118" s="379">
        <v>0.78</v>
      </c>
      <c r="K118" s="379">
        <v>1.0009999999999999</v>
      </c>
      <c r="L118" s="379">
        <v>1.0009999999999999</v>
      </c>
      <c r="M118" s="367" t="s">
        <v>179</v>
      </c>
      <c r="N118" s="374">
        <f t="shared" ref="N118:N125" ca="1" si="8">OFFSET($E118,0,RegIndex)</f>
        <v>1</v>
      </c>
      <c r="O118" s="374">
        <f t="shared" ref="O118:O125" ca="1" si="9">OFFSET($I118,0,RegIndex)</f>
        <v>1.0009999999999999</v>
      </c>
    </row>
    <row r="119" spans="1:17" hidden="1">
      <c r="B119" s="355" t="s">
        <v>50</v>
      </c>
      <c r="C119" s="355">
        <v>0.2</v>
      </c>
      <c r="D119" s="355">
        <v>12</v>
      </c>
      <c r="E119" s="355">
        <v>19</v>
      </c>
      <c r="F119" s="379">
        <v>0.87</v>
      </c>
      <c r="G119" s="379">
        <v>1</v>
      </c>
      <c r="H119" s="379">
        <v>1</v>
      </c>
      <c r="J119" s="379">
        <v>0.87</v>
      </c>
      <c r="K119" s="379">
        <v>1</v>
      </c>
      <c r="L119" s="379">
        <v>1</v>
      </c>
      <c r="M119" s="367" t="s">
        <v>50</v>
      </c>
      <c r="N119" s="374">
        <f t="shared" ca="1" si="8"/>
        <v>1</v>
      </c>
      <c r="O119" s="374">
        <f t="shared" ca="1" si="9"/>
        <v>1</v>
      </c>
      <c r="Q119" s="355">
        <v>0.17522682138546009</v>
      </c>
    </row>
    <row r="120" spans="1:17" hidden="1">
      <c r="B120" s="355" t="s">
        <v>51</v>
      </c>
      <c r="C120" s="355">
        <v>13</v>
      </c>
      <c r="D120" s="355">
        <v>15</v>
      </c>
      <c r="E120" s="355">
        <v>65</v>
      </c>
      <c r="F120" s="379">
        <v>1</v>
      </c>
      <c r="G120" s="379">
        <v>1</v>
      </c>
      <c r="H120" s="379">
        <v>1</v>
      </c>
      <c r="J120" s="379">
        <v>1</v>
      </c>
      <c r="K120" s="379">
        <v>1</v>
      </c>
      <c r="L120" s="379">
        <v>1</v>
      </c>
      <c r="M120" s="367" t="s">
        <v>51</v>
      </c>
      <c r="N120" s="374">
        <f t="shared" ca="1" si="8"/>
        <v>1</v>
      </c>
      <c r="O120" s="374">
        <f t="shared" ca="1" si="9"/>
        <v>1</v>
      </c>
      <c r="Q120" s="355">
        <v>12.994675469954574</v>
      </c>
    </row>
    <row r="121" spans="1:17" hidden="1">
      <c r="B121" s="355" t="s">
        <v>52</v>
      </c>
      <c r="C121" s="355">
        <v>12.2</v>
      </c>
      <c r="D121" s="355">
        <v>15</v>
      </c>
      <c r="E121" s="355">
        <v>60</v>
      </c>
      <c r="F121" s="379">
        <v>1</v>
      </c>
      <c r="G121" s="379">
        <v>1</v>
      </c>
      <c r="H121" s="379">
        <v>1</v>
      </c>
      <c r="J121" s="379">
        <v>1</v>
      </c>
      <c r="K121" s="379">
        <v>1</v>
      </c>
      <c r="L121" s="379">
        <v>1</v>
      </c>
      <c r="M121" s="367" t="s">
        <v>52</v>
      </c>
      <c r="N121" s="374">
        <f t="shared" ca="1" si="8"/>
        <v>1</v>
      </c>
      <c r="O121" s="374">
        <f t="shared" ca="1" si="9"/>
        <v>1</v>
      </c>
      <c r="Q121" s="355">
        <v>1.627359777740879</v>
      </c>
    </row>
    <row r="122" spans="1:17" hidden="1">
      <c r="B122" s="355" t="s">
        <v>257</v>
      </c>
      <c r="C122" s="355">
        <v>2.4</v>
      </c>
      <c r="D122" s="355">
        <v>15</v>
      </c>
      <c r="E122" s="355">
        <v>40</v>
      </c>
      <c r="F122" s="379">
        <v>1</v>
      </c>
      <c r="G122" s="379">
        <v>1</v>
      </c>
      <c r="H122" s="379">
        <v>1</v>
      </c>
      <c r="J122" s="379">
        <v>1</v>
      </c>
      <c r="K122" s="379">
        <v>1</v>
      </c>
      <c r="L122" s="379">
        <v>1</v>
      </c>
      <c r="M122" s="367" t="s">
        <v>257</v>
      </c>
      <c r="N122" s="374">
        <f t="shared" ca="1" si="8"/>
        <v>1</v>
      </c>
      <c r="O122" s="374">
        <f t="shared" ca="1" si="9"/>
        <v>1</v>
      </c>
      <c r="Q122" s="355">
        <v>12.340425531914894</v>
      </c>
    </row>
    <row r="123" spans="1:17" hidden="1">
      <c r="B123" s="355" t="s">
        <v>53</v>
      </c>
      <c r="C123" s="355">
        <v>1</v>
      </c>
      <c r="D123" s="355">
        <v>15</v>
      </c>
      <c r="E123" s="355">
        <v>30</v>
      </c>
      <c r="F123" s="379">
        <v>1</v>
      </c>
      <c r="G123" s="379">
        <v>1</v>
      </c>
      <c r="H123" s="379">
        <v>1</v>
      </c>
      <c r="J123" s="379">
        <v>1</v>
      </c>
      <c r="K123" s="379">
        <v>1</v>
      </c>
      <c r="L123" s="379">
        <v>1</v>
      </c>
      <c r="M123" s="367" t="s">
        <v>53</v>
      </c>
      <c r="N123" s="374">
        <f t="shared" ca="1" si="8"/>
        <v>1</v>
      </c>
      <c r="O123" s="374">
        <f t="shared" ca="1" si="9"/>
        <v>1</v>
      </c>
    </row>
    <row r="124" spans="1:17" hidden="1">
      <c r="B124" s="355" t="s">
        <v>140</v>
      </c>
      <c r="C124" s="355">
        <v>1</v>
      </c>
      <c r="D124" s="355">
        <v>10</v>
      </c>
      <c r="E124" s="355">
        <v>1</v>
      </c>
      <c r="F124" s="379">
        <v>1</v>
      </c>
      <c r="G124" s="379">
        <v>1</v>
      </c>
      <c r="H124" s="379">
        <v>1</v>
      </c>
      <c r="J124" s="379">
        <v>1</v>
      </c>
      <c r="K124" s="379">
        <v>1</v>
      </c>
      <c r="L124" s="379">
        <v>1</v>
      </c>
      <c r="M124" s="367" t="s">
        <v>140</v>
      </c>
      <c r="N124" s="374">
        <f t="shared" ca="1" si="8"/>
        <v>1</v>
      </c>
      <c r="O124" s="374">
        <f t="shared" ca="1" si="9"/>
        <v>1</v>
      </c>
    </row>
    <row r="125" spans="1:17" hidden="1">
      <c r="B125" s="355" t="s">
        <v>202</v>
      </c>
      <c r="C125" s="355">
        <v>1</v>
      </c>
      <c r="D125" s="355">
        <v>10</v>
      </c>
      <c r="E125" s="355">
        <v>1</v>
      </c>
      <c r="F125" s="379">
        <v>1</v>
      </c>
      <c r="G125" s="379">
        <v>1</v>
      </c>
      <c r="H125" s="379">
        <v>1</v>
      </c>
      <c r="J125" s="379">
        <v>1</v>
      </c>
      <c r="K125" s="379">
        <v>1</v>
      </c>
      <c r="L125" s="379">
        <v>1</v>
      </c>
      <c r="M125" s="367" t="s">
        <v>202</v>
      </c>
      <c r="N125" s="374">
        <f t="shared" ca="1" si="8"/>
        <v>1</v>
      </c>
      <c r="O125" s="374">
        <f t="shared" ca="1" si="9"/>
        <v>1</v>
      </c>
    </row>
    <row r="126" spans="1:17" hidden="1">
      <c r="B126" s="355" t="s">
        <v>523</v>
      </c>
      <c r="G126" s="380">
        <v>0.18649229879050955</v>
      </c>
      <c r="H126" s="380">
        <v>0.18649229879050955</v>
      </c>
      <c r="K126" s="380">
        <v>0.25617937432618071</v>
      </c>
      <c r="L126" s="380">
        <v>0.25617937432618071</v>
      </c>
      <c r="M126" s="367" t="s">
        <v>523</v>
      </c>
    </row>
    <row r="127" spans="1:17" hidden="1">
      <c r="B127" s="355" t="s">
        <v>521</v>
      </c>
      <c r="G127" s="380">
        <v>0.51136589289973822</v>
      </c>
      <c r="H127" s="380">
        <v>0.51136589289973822</v>
      </c>
      <c r="K127" s="380">
        <v>0.51728470220144429</v>
      </c>
      <c r="L127" s="380">
        <v>0.51728470220144429</v>
      </c>
      <c r="M127" s="367" t="s">
        <v>521</v>
      </c>
    </row>
  </sheetData>
  <sheetProtection password="DBAA" sheet="1" objects="1" selectLockedCells="1" selectUnlockedCells="1"/>
  <phoneticPr fontId="35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B2:I59"/>
  <sheetViews>
    <sheetView tabSelected="1" topLeftCell="A6" zoomScale="90" workbookViewId="0">
      <selection activeCell="A17" sqref="A17"/>
    </sheetView>
  </sheetViews>
  <sheetFormatPr defaultRowHeight="12.75"/>
  <cols>
    <col min="3" max="3" width="10" customWidth="1"/>
    <col min="4" max="4" width="28.140625" customWidth="1"/>
  </cols>
  <sheetData>
    <row r="2" spans="2:9">
      <c r="B2" s="188" t="s">
        <v>290</v>
      </c>
    </row>
    <row r="3" spans="2:9">
      <c r="B3" s="300" t="s">
        <v>291</v>
      </c>
      <c r="C3" s="300" t="s">
        <v>292</v>
      </c>
      <c r="D3" s="300" t="s">
        <v>293</v>
      </c>
      <c r="E3" s="300" t="s">
        <v>294</v>
      </c>
      <c r="F3" s="301" t="s">
        <v>251</v>
      </c>
      <c r="G3" s="301" t="s">
        <v>309</v>
      </c>
      <c r="H3" s="301" t="s">
        <v>310</v>
      </c>
      <c r="I3" s="301" t="s">
        <v>311</v>
      </c>
    </row>
    <row r="4" spans="2:9">
      <c r="B4" s="296" t="s">
        <v>466</v>
      </c>
      <c r="C4" s="17" t="s">
        <v>48</v>
      </c>
      <c r="D4" s="17" t="s">
        <v>46</v>
      </c>
      <c r="E4" s="17" t="s">
        <v>64</v>
      </c>
      <c r="F4" s="17"/>
      <c r="G4" s="17"/>
      <c r="H4" s="17"/>
      <c r="I4" s="17"/>
    </row>
    <row r="5" spans="2:9">
      <c r="B5" s="296" t="s">
        <v>466</v>
      </c>
      <c r="C5" s="17" t="s">
        <v>523</v>
      </c>
      <c r="D5" s="17" t="s">
        <v>147</v>
      </c>
      <c r="E5" s="17" t="s">
        <v>64</v>
      </c>
      <c r="F5" s="17"/>
      <c r="G5" s="17"/>
      <c r="H5" s="17"/>
      <c r="I5" s="17"/>
    </row>
    <row r="6" spans="2:9">
      <c r="B6" s="296" t="s">
        <v>466</v>
      </c>
      <c r="C6" s="17" t="s">
        <v>524</v>
      </c>
      <c r="D6" s="17" t="s">
        <v>128</v>
      </c>
      <c r="E6" s="17" t="s">
        <v>64</v>
      </c>
      <c r="F6" s="17"/>
      <c r="G6" s="17"/>
      <c r="H6" s="17"/>
      <c r="I6" s="17"/>
    </row>
    <row r="7" spans="2:9">
      <c r="B7" s="296" t="s">
        <v>466</v>
      </c>
      <c r="C7" s="17" t="s">
        <v>51</v>
      </c>
      <c r="D7" s="17" t="s">
        <v>127</v>
      </c>
      <c r="E7" s="17" t="s">
        <v>518</v>
      </c>
      <c r="F7" s="17"/>
      <c r="G7" s="17"/>
      <c r="H7" s="17"/>
      <c r="I7" s="17"/>
    </row>
    <row r="8" spans="2:9">
      <c r="B8" s="296" t="s">
        <v>466</v>
      </c>
      <c r="C8" s="17" t="s">
        <v>202</v>
      </c>
      <c r="D8" s="17" t="s">
        <v>210</v>
      </c>
      <c r="E8" s="17" t="s">
        <v>518</v>
      </c>
      <c r="F8" s="17"/>
      <c r="G8" s="17"/>
      <c r="H8" s="17"/>
      <c r="I8" s="17"/>
    </row>
    <row r="9" spans="2:9">
      <c r="B9" s="296" t="s">
        <v>466</v>
      </c>
      <c r="C9" s="17" t="s">
        <v>52</v>
      </c>
      <c r="D9" s="17" t="s">
        <v>139</v>
      </c>
      <c r="E9" s="17" t="s">
        <v>518</v>
      </c>
      <c r="F9" s="17"/>
      <c r="G9" s="17"/>
      <c r="H9" s="17"/>
      <c r="I9" s="17"/>
    </row>
    <row r="10" spans="2:9">
      <c r="B10" s="296" t="s">
        <v>466</v>
      </c>
      <c r="C10" s="17" t="s">
        <v>50</v>
      </c>
      <c r="D10" s="17" t="s">
        <v>137</v>
      </c>
      <c r="E10" s="17" t="s">
        <v>518</v>
      </c>
      <c r="F10" s="17"/>
      <c r="G10" s="17"/>
      <c r="H10" s="17"/>
      <c r="I10" s="17"/>
    </row>
    <row r="11" spans="2:9">
      <c r="B11" s="296" t="s">
        <v>466</v>
      </c>
      <c r="C11" s="17" t="s">
        <v>257</v>
      </c>
      <c r="D11" s="17" t="s">
        <v>266</v>
      </c>
      <c r="E11" s="17" t="s">
        <v>518</v>
      </c>
      <c r="F11" s="17"/>
      <c r="G11" s="17"/>
      <c r="H11" s="17"/>
      <c r="I11" s="17"/>
    </row>
    <row r="12" spans="2:9">
      <c r="B12" s="296" t="s">
        <v>466</v>
      </c>
      <c r="C12" s="17" t="s">
        <v>179</v>
      </c>
      <c r="D12" s="17" t="s">
        <v>143</v>
      </c>
      <c r="E12" s="17" t="s">
        <v>518</v>
      </c>
      <c r="F12" s="17"/>
      <c r="G12" s="17"/>
      <c r="H12" s="17"/>
      <c r="I12" s="17"/>
    </row>
    <row r="13" spans="2:9">
      <c r="B13" s="296" t="s">
        <v>466</v>
      </c>
      <c r="C13" s="17" t="s">
        <v>140</v>
      </c>
      <c r="D13" s="17" t="s">
        <v>205</v>
      </c>
      <c r="E13" s="17" t="s">
        <v>518</v>
      </c>
      <c r="F13" s="17"/>
      <c r="G13" s="17"/>
      <c r="H13" s="17"/>
      <c r="I13" s="17"/>
    </row>
    <row r="14" spans="2:9">
      <c r="B14" s="296" t="s">
        <v>466</v>
      </c>
      <c r="C14" s="17" t="s">
        <v>151</v>
      </c>
      <c r="D14" s="17" t="s">
        <v>156</v>
      </c>
      <c r="E14" s="17" t="s">
        <v>64</v>
      </c>
      <c r="F14" s="17"/>
      <c r="G14" s="17"/>
      <c r="H14" s="17"/>
      <c r="I14" s="17"/>
    </row>
    <row r="15" spans="2:9">
      <c r="B15" s="296" t="s">
        <v>466</v>
      </c>
      <c r="C15" s="17" t="s">
        <v>155</v>
      </c>
      <c r="D15" s="17" t="s">
        <v>157</v>
      </c>
      <c r="E15" s="17" t="s">
        <v>64</v>
      </c>
      <c r="F15" s="17"/>
      <c r="G15" s="17"/>
      <c r="H15" s="17"/>
      <c r="I15" s="17"/>
    </row>
    <row r="16" spans="2:9">
      <c r="B16" s="296" t="s">
        <v>466</v>
      </c>
      <c r="C16" s="17" t="s">
        <v>513</v>
      </c>
      <c r="D16" s="17" t="s">
        <v>157</v>
      </c>
      <c r="E16" s="17" t="s">
        <v>64</v>
      </c>
      <c r="F16" s="17"/>
      <c r="G16" s="17"/>
      <c r="H16" s="17"/>
      <c r="I16" s="17"/>
    </row>
    <row r="17" spans="2:9">
      <c r="B17" s="296" t="s">
        <v>466</v>
      </c>
      <c r="C17" s="17" t="s">
        <v>521</v>
      </c>
      <c r="D17" s="17" t="s">
        <v>230</v>
      </c>
      <c r="E17" s="17" t="s">
        <v>64</v>
      </c>
      <c r="F17" s="17"/>
      <c r="G17" s="17"/>
      <c r="H17" s="17"/>
      <c r="I17" s="17"/>
    </row>
    <row r="18" spans="2:9">
      <c r="B18" s="296" t="s">
        <v>466</v>
      </c>
      <c r="C18" s="17" t="s">
        <v>522</v>
      </c>
      <c r="D18" s="17" t="s">
        <v>158</v>
      </c>
      <c r="E18" s="17" t="s">
        <v>64</v>
      </c>
      <c r="F18" s="17"/>
      <c r="G18" s="17"/>
      <c r="H18" s="17"/>
      <c r="I18" s="17"/>
    </row>
    <row r="19" spans="2:9">
      <c r="B19" s="296" t="s">
        <v>466</v>
      </c>
      <c r="C19" s="17" t="s">
        <v>533</v>
      </c>
      <c r="D19" s="17" t="s">
        <v>535</v>
      </c>
      <c r="E19" s="17" t="s">
        <v>519</v>
      </c>
      <c r="F19" s="17"/>
      <c r="G19" s="17"/>
      <c r="H19" s="17"/>
      <c r="I19" s="17"/>
    </row>
    <row r="20" spans="2:9">
      <c r="B20" s="296" t="s">
        <v>466</v>
      </c>
      <c r="C20" s="17" t="s">
        <v>502</v>
      </c>
      <c r="D20" s="17" t="s">
        <v>127</v>
      </c>
      <c r="E20" s="17" t="s">
        <v>519</v>
      </c>
      <c r="F20" s="17"/>
      <c r="G20" s="17"/>
      <c r="H20" s="17"/>
      <c r="I20" s="17"/>
    </row>
    <row r="21" spans="2:9">
      <c r="B21" s="296" t="s">
        <v>466</v>
      </c>
      <c r="C21" s="17" t="s">
        <v>536</v>
      </c>
      <c r="D21" s="17" t="s">
        <v>137</v>
      </c>
      <c r="E21" s="17" t="s">
        <v>520</v>
      </c>
      <c r="F21" s="17"/>
      <c r="G21" s="17"/>
      <c r="H21" s="17"/>
      <c r="I21" s="17"/>
    </row>
    <row r="22" spans="2:9">
      <c r="B22" s="296" t="s">
        <v>466</v>
      </c>
      <c r="C22" s="17" t="s">
        <v>505</v>
      </c>
      <c r="D22" s="17" t="s">
        <v>266</v>
      </c>
      <c r="E22" s="17" t="s">
        <v>520</v>
      </c>
      <c r="F22" s="17"/>
      <c r="G22" s="17"/>
      <c r="H22" s="17"/>
      <c r="I22" s="17"/>
    </row>
    <row r="23" spans="2:9">
      <c r="B23" s="296" t="s">
        <v>466</v>
      </c>
      <c r="C23" s="17" t="s">
        <v>506</v>
      </c>
      <c r="D23" s="17" t="s">
        <v>139</v>
      </c>
      <c r="E23" s="17" t="s">
        <v>520</v>
      </c>
      <c r="F23" s="17"/>
      <c r="G23" s="17"/>
      <c r="H23" s="17"/>
      <c r="I23" s="17"/>
    </row>
    <row r="24" spans="2:9">
      <c r="B24" s="296" t="s">
        <v>466</v>
      </c>
      <c r="C24" s="17" t="s">
        <v>503</v>
      </c>
      <c r="D24" s="17" t="s">
        <v>205</v>
      </c>
      <c r="E24" s="17" t="s">
        <v>519</v>
      </c>
      <c r="F24" s="17"/>
      <c r="G24" s="17"/>
      <c r="H24" s="17"/>
      <c r="I24" s="17"/>
    </row>
    <row r="25" spans="2:9">
      <c r="B25" s="296" t="s">
        <v>466</v>
      </c>
      <c r="C25" s="17" t="s">
        <v>530</v>
      </c>
      <c r="D25" s="17" t="s">
        <v>157</v>
      </c>
      <c r="E25" s="17" t="s">
        <v>519</v>
      </c>
      <c r="F25" s="17"/>
      <c r="G25" s="17"/>
      <c r="H25" s="17"/>
      <c r="I25" s="17"/>
    </row>
    <row r="26" spans="2:9">
      <c r="B26" s="296" t="s">
        <v>466</v>
      </c>
      <c r="C26" s="17" t="s">
        <v>531</v>
      </c>
      <c r="D26" s="17" t="s">
        <v>514</v>
      </c>
      <c r="E26" s="17" t="s">
        <v>519</v>
      </c>
      <c r="F26" s="17"/>
      <c r="G26" s="17"/>
      <c r="H26" s="17"/>
      <c r="I26" s="17"/>
    </row>
    <row r="27" spans="2:9">
      <c r="B27" s="296" t="s">
        <v>466</v>
      </c>
      <c r="C27" s="17" t="s">
        <v>532</v>
      </c>
      <c r="D27" s="17" t="s">
        <v>156</v>
      </c>
      <c r="E27" s="17" t="s">
        <v>520</v>
      </c>
      <c r="F27" s="17"/>
      <c r="G27" s="17"/>
      <c r="H27" s="17"/>
      <c r="I27" s="17"/>
    </row>
    <row r="28" spans="2:9">
      <c r="B28" s="297" t="s">
        <v>467</v>
      </c>
      <c r="C28" s="17" t="s">
        <v>272</v>
      </c>
      <c r="D28" s="17" t="s">
        <v>425</v>
      </c>
      <c r="E28" s="234" t="s">
        <v>64</v>
      </c>
      <c r="F28" s="17"/>
      <c r="G28" s="273" t="s">
        <v>423</v>
      </c>
      <c r="H28" s="273"/>
      <c r="I28" s="273" t="s">
        <v>60</v>
      </c>
    </row>
    <row r="29" spans="2:9">
      <c r="B29" s="296" t="s">
        <v>467</v>
      </c>
      <c r="C29" s="17" t="s">
        <v>99</v>
      </c>
      <c r="D29" s="17" t="s">
        <v>45</v>
      </c>
      <c r="E29" s="17" t="s">
        <v>64</v>
      </c>
      <c r="F29" s="17"/>
      <c r="G29" s="273" t="s">
        <v>423</v>
      </c>
      <c r="H29" s="273"/>
      <c r="I29" s="273" t="s">
        <v>60</v>
      </c>
    </row>
    <row r="30" spans="2:9">
      <c r="B30" s="296" t="s">
        <v>467</v>
      </c>
      <c r="C30" s="17" t="s">
        <v>397</v>
      </c>
      <c r="D30" s="17" t="s">
        <v>398</v>
      </c>
      <c r="E30" s="17" t="s">
        <v>64</v>
      </c>
      <c r="F30" s="17"/>
      <c r="G30" s="273" t="s">
        <v>399</v>
      </c>
      <c r="H30" s="273"/>
      <c r="I30" s="273" t="s">
        <v>60</v>
      </c>
    </row>
    <row r="31" spans="2:9">
      <c r="B31" s="296" t="s">
        <v>467</v>
      </c>
      <c r="C31" s="17" t="s">
        <v>420</v>
      </c>
      <c r="D31" s="17" t="s">
        <v>421</v>
      </c>
      <c r="E31" s="17" t="s">
        <v>64</v>
      </c>
      <c r="F31" s="17"/>
      <c r="G31" s="273" t="s">
        <v>399</v>
      </c>
      <c r="H31" s="273"/>
      <c r="I31" s="273" t="s">
        <v>60</v>
      </c>
    </row>
    <row r="32" spans="2:9">
      <c r="B32" s="296" t="s">
        <v>467</v>
      </c>
      <c r="C32" s="17" t="s">
        <v>100</v>
      </c>
      <c r="D32" s="17" t="s">
        <v>36</v>
      </c>
      <c r="E32" s="17" t="s">
        <v>64</v>
      </c>
      <c r="F32" s="17"/>
      <c r="G32" s="17"/>
      <c r="H32" s="17"/>
      <c r="I32" s="17"/>
    </row>
    <row r="33" spans="2:9">
      <c r="B33" s="296" t="s">
        <v>467</v>
      </c>
      <c r="C33" s="17" t="s">
        <v>130</v>
      </c>
      <c r="D33" s="17" t="s">
        <v>39</v>
      </c>
      <c r="E33" s="17" t="s">
        <v>64</v>
      </c>
      <c r="F33" s="17"/>
      <c r="G33" s="17"/>
      <c r="H33" s="17"/>
      <c r="I33" s="17"/>
    </row>
    <row r="34" spans="2:9">
      <c r="B34" s="296" t="s">
        <v>467</v>
      </c>
      <c r="C34" s="17" t="s">
        <v>104</v>
      </c>
      <c r="D34" s="17" t="s">
        <v>41</v>
      </c>
      <c r="E34" s="17" t="s">
        <v>64</v>
      </c>
      <c r="F34" s="17"/>
      <c r="G34" s="17"/>
      <c r="H34" s="17"/>
      <c r="I34" s="17"/>
    </row>
    <row r="35" spans="2:9">
      <c r="B35" s="296" t="s">
        <v>467</v>
      </c>
      <c r="C35" s="17" t="s">
        <v>426</v>
      </c>
      <c r="D35" s="17" t="s">
        <v>428</v>
      </c>
      <c r="E35" s="17" t="s">
        <v>64</v>
      </c>
      <c r="F35" s="17"/>
      <c r="G35" s="17"/>
      <c r="H35" s="17"/>
      <c r="I35" s="17"/>
    </row>
    <row r="36" spans="2:9">
      <c r="B36" s="296" t="s">
        <v>467</v>
      </c>
      <c r="C36" s="17" t="s">
        <v>172</v>
      </c>
      <c r="D36" s="17" t="s">
        <v>38</v>
      </c>
      <c r="E36" s="17" t="s">
        <v>64</v>
      </c>
      <c r="F36" s="17"/>
      <c r="G36" s="17"/>
      <c r="H36" s="17"/>
      <c r="I36" s="17"/>
    </row>
    <row r="37" spans="2:9">
      <c r="B37" s="296" t="s">
        <v>467</v>
      </c>
      <c r="C37" s="17" t="s">
        <v>103</v>
      </c>
      <c r="D37" s="17" t="s">
        <v>42</v>
      </c>
      <c r="E37" s="17" t="s">
        <v>64</v>
      </c>
      <c r="F37" s="17"/>
      <c r="G37" s="17"/>
      <c r="H37" s="17"/>
      <c r="I37" s="17"/>
    </row>
    <row r="38" spans="2:9">
      <c r="B38" s="296" t="s">
        <v>467</v>
      </c>
      <c r="C38" s="17" t="s">
        <v>440</v>
      </c>
      <c r="D38" s="17" t="s">
        <v>40</v>
      </c>
      <c r="E38" s="17" t="s">
        <v>64</v>
      </c>
      <c r="F38" s="17"/>
      <c r="G38" s="17"/>
      <c r="H38" s="17"/>
      <c r="I38" s="17"/>
    </row>
    <row r="39" spans="2:9">
      <c r="B39" s="296" t="s">
        <v>467</v>
      </c>
      <c r="C39" s="17" t="s">
        <v>135</v>
      </c>
      <c r="D39" s="17" t="s">
        <v>40</v>
      </c>
      <c r="E39" s="17" t="s">
        <v>64</v>
      </c>
      <c r="F39" s="17"/>
      <c r="G39" s="17"/>
      <c r="H39" s="17"/>
      <c r="I39" s="17"/>
    </row>
    <row r="40" spans="2:9">
      <c r="B40" s="296" t="s">
        <v>467</v>
      </c>
      <c r="C40" s="17" t="s">
        <v>573</v>
      </c>
      <c r="D40" s="17" t="s">
        <v>582</v>
      </c>
      <c r="E40" s="17" t="s">
        <v>64</v>
      </c>
      <c r="F40" s="17"/>
      <c r="G40" s="17"/>
      <c r="H40" s="17"/>
      <c r="I40" s="17"/>
    </row>
    <row r="41" spans="2:9">
      <c r="B41" s="296" t="s">
        <v>467</v>
      </c>
      <c r="C41" s="17" t="s">
        <v>101</v>
      </c>
      <c r="D41" s="17" t="s">
        <v>37</v>
      </c>
      <c r="E41" s="17" t="s">
        <v>64</v>
      </c>
      <c r="F41" s="17"/>
      <c r="G41" s="17"/>
      <c r="H41" s="17"/>
      <c r="I41" s="17"/>
    </row>
    <row r="42" spans="2:9">
      <c r="B42" s="296" t="s">
        <v>467</v>
      </c>
      <c r="C42" s="17" t="s">
        <v>102</v>
      </c>
      <c r="D42" s="17" t="s">
        <v>35</v>
      </c>
      <c r="E42" s="17" t="s">
        <v>64</v>
      </c>
      <c r="F42" s="17"/>
      <c r="G42" s="17"/>
      <c r="H42" s="17"/>
      <c r="I42" s="17"/>
    </row>
    <row r="43" spans="2:9">
      <c r="B43" s="296" t="s">
        <v>467</v>
      </c>
      <c r="C43" s="17" t="s">
        <v>163</v>
      </c>
      <c r="D43" s="17" t="s">
        <v>44</v>
      </c>
      <c r="E43" s="17" t="s">
        <v>64</v>
      </c>
      <c r="F43" s="17"/>
      <c r="G43" s="17"/>
      <c r="H43" s="17"/>
      <c r="I43" s="17"/>
    </row>
    <row r="44" spans="2:9">
      <c r="B44" s="296" t="s">
        <v>467</v>
      </c>
      <c r="C44" s="17" t="s">
        <v>162</v>
      </c>
      <c r="D44" s="17" t="s">
        <v>43</v>
      </c>
      <c r="E44" s="17" t="s">
        <v>64</v>
      </c>
      <c r="F44" s="17"/>
      <c r="G44" s="17"/>
      <c r="H44" s="17"/>
      <c r="I44" s="17"/>
    </row>
    <row r="45" spans="2:9">
      <c r="B45" s="296" t="s">
        <v>467</v>
      </c>
      <c r="C45" s="17" t="s">
        <v>442</v>
      </c>
      <c r="D45" s="17" t="s">
        <v>447</v>
      </c>
      <c r="E45" s="17" t="s">
        <v>64</v>
      </c>
      <c r="F45" s="17"/>
      <c r="G45" s="17"/>
      <c r="H45" s="17"/>
      <c r="I45" s="17"/>
    </row>
    <row r="46" spans="2:9">
      <c r="B46" s="296" t="s">
        <v>467</v>
      </c>
      <c r="C46" s="338" t="s">
        <v>542</v>
      </c>
      <c r="D46" s="338" t="s">
        <v>543</v>
      </c>
      <c r="E46" s="338" t="s">
        <v>64</v>
      </c>
      <c r="F46" s="17"/>
      <c r="G46" s="17"/>
      <c r="H46" s="17"/>
      <c r="I46" s="17"/>
    </row>
    <row r="47" spans="2:9">
      <c r="B47" s="296" t="s">
        <v>467</v>
      </c>
      <c r="C47" s="17" t="s">
        <v>387</v>
      </c>
      <c r="D47" s="17" t="s">
        <v>160</v>
      </c>
      <c r="E47" s="17" t="s">
        <v>64</v>
      </c>
      <c r="F47" s="17"/>
      <c r="G47" s="17"/>
      <c r="H47" s="17"/>
      <c r="I47" s="17"/>
    </row>
    <row r="48" spans="2:9">
      <c r="B48" s="296" t="s">
        <v>467</v>
      </c>
      <c r="C48" s="17" t="s">
        <v>388</v>
      </c>
      <c r="D48" s="17" t="s">
        <v>44</v>
      </c>
      <c r="E48" s="17" t="s">
        <v>64</v>
      </c>
      <c r="F48" s="17"/>
      <c r="G48" s="17"/>
      <c r="H48" s="17"/>
      <c r="I48" s="17"/>
    </row>
    <row r="49" spans="2:9">
      <c r="B49" s="296" t="s">
        <v>467</v>
      </c>
      <c r="C49" s="17" t="s">
        <v>451</v>
      </c>
      <c r="D49" s="17" t="s">
        <v>452</v>
      </c>
      <c r="E49" s="17" t="s">
        <v>64</v>
      </c>
      <c r="F49" s="17"/>
      <c r="G49" s="17"/>
      <c r="H49" s="17"/>
      <c r="I49" s="17"/>
    </row>
    <row r="50" spans="2:9">
      <c r="B50" s="296" t="s">
        <v>467</v>
      </c>
      <c r="C50" s="17" t="s">
        <v>541</v>
      </c>
      <c r="D50" s="17" t="s">
        <v>544</v>
      </c>
      <c r="E50" s="17" t="s">
        <v>64</v>
      </c>
      <c r="F50" s="17"/>
      <c r="G50" s="273" t="s">
        <v>572</v>
      </c>
      <c r="H50" s="17"/>
      <c r="I50" s="17"/>
    </row>
    <row r="51" spans="2:9">
      <c r="B51" s="296" t="s">
        <v>467</v>
      </c>
      <c r="C51" s="17" t="s">
        <v>540</v>
      </c>
      <c r="D51" s="17" t="s">
        <v>571</v>
      </c>
      <c r="E51" s="17" t="s">
        <v>64</v>
      </c>
      <c r="F51" s="17"/>
      <c r="G51" s="17"/>
      <c r="H51" s="17"/>
      <c r="I51" s="17"/>
    </row>
    <row r="52" spans="2:9">
      <c r="B52" s="296" t="s">
        <v>467</v>
      </c>
      <c r="C52" s="17" t="s">
        <v>569</v>
      </c>
      <c r="D52" s="17" t="s">
        <v>570</v>
      </c>
      <c r="E52" s="17" t="s">
        <v>64</v>
      </c>
      <c r="F52" s="17"/>
      <c r="G52" s="273" t="s">
        <v>572</v>
      </c>
      <c r="H52" s="17"/>
      <c r="I52" s="17"/>
    </row>
    <row r="53" spans="2:9">
      <c r="B53" s="296" t="s">
        <v>467</v>
      </c>
      <c r="C53" s="17" t="s">
        <v>360</v>
      </c>
      <c r="D53" s="17" t="s">
        <v>361</v>
      </c>
      <c r="E53" s="17" t="s">
        <v>64</v>
      </c>
      <c r="F53" s="17"/>
      <c r="G53" s="17"/>
      <c r="H53" s="17"/>
      <c r="I53" s="17"/>
    </row>
    <row r="54" spans="2:9">
      <c r="B54" s="296" t="s">
        <v>467</v>
      </c>
      <c r="C54" s="17" t="s">
        <v>433</v>
      </c>
      <c r="D54" s="17" t="s">
        <v>434</v>
      </c>
      <c r="E54" s="17" t="s">
        <v>64</v>
      </c>
      <c r="F54" s="17"/>
      <c r="G54" s="17"/>
      <c r="H54" s="17"/>
      <c r="I54" s="17"/>
    </row>
    <row r="55" spans="2:9">
      <c r="B55" s="296" t="s">
        <v>467</v>
      </c>
      <c r="C55" s="17" t="s">
        <v>454</v>
      </c>
      <c r="D55" s="17" t="s">
        <v>457</v>
      </c>
      <c r="E55" s="17" t="s">
        <v>64</v>
      </c>
      <c r="F55" s="17"/>
      <c r="G55" s="17"/>
      <c r="H55" s="17"/>
      <c r="I55" s="17"/>
    </row>
    <row r="56" spans="2:9">
      <c r="B56" s="298" t="s">
        <v>295</v>
      </c>
      <c r="C56" s="299" t="s">
        <v>228</v>
      </c>
      <c r="D56" s="299" t="s">
        <v>233</v>
      </c>
      <c r="E56" s="299" t="s">
        <v>235</v>
      </c>
      <c r="F56" s="299"/>
      <c r="G56" s="299"/>
      <c r="H56" s="299"/>
      <c r="I56" s="299"/>
    </row>
    <row r="57" spans="2:9">
      <c r="B57" s="298" t="s">
        <v>295</v>
      </c>
      <c r="C57" s="299" t="s">
        <v>227</v>
      </c>
      <c r="D57" s="299" t="s">
        <v>232</v>
      </c>
      <c r="E57" s="299" t="s">
        <v>495</v>
      </c>
      <c r="F57" s="299"/>
      <c r="G57" s="299"/>
      <c r="H57" s="299"/>
      <c r="I57" s="299"/>
    </row>
    <row r="58" spans="2:9">
      <c r="B58" s="298" t="s">
        <v>295</v>
      </c>
      <c r="C58" s="299" t="s">
        <v>229</v>
      </c>
      <c r="D58" s="299" t="s">
        <v>234</v>
      </c>
      <c r="E58" s="299" t="s">
        <v>235</v>
      </c>
      <c r="F58" s="299"/>
      <c r="G58" s="299"/>
      <c r="H58" s="299"/>
      <c r="I58" s="299"/>
    </row>
    <row r="59" spans="2:9">
      <c r="B59" s="298" t="s">
        <v>295</v>
      </c>
      <c r="C59" s="299" t="s">
        <v>575</v>
      </c>
      <c r="D59" s="299" t="s">
        <v>579</v>
      </c>
      <c r="E59" s="299" t="s">
        <v>495</v>
      </c>
      <c r="F59" s="299"/>
      <c r="G59" s="299"/>
      <c r="H59" s="299"/>
      <c r="I59" s="299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B3:I78"/>
  <sheetViews>
    <sheetView zoomScale="90" workbookViewId="0">
      <selection activeCell="A17" sqref="A17"/>
    </sheetView>
  </sheetViews>
  <sheetFormatPr defaultRowHeight="12.75"/>
  <cols>
    <col min="2" max="2" width="12.42578125" customWidth="1"/>
    <col min="3" max="3" width="13.140625" customWidth="1"/>
    <col min="4" max="4" width="40.5703125" customWidth="1"/>
  </cols>
  <sheetData>
    <row r="3" spans="2:9">
      <c r="B3" s="188" t="s">
        <v>349</v>
      </c>
    </row>
    <row r="4" spans="2:9">
      <c r="B4" s="218" t="s">
        <v>350</v>
      </c>
      <c r="C4" s="219" t="s">
        <v>297</v>
      </c>
      <c r="D4" s="219" t="s">
        <v>298</v>
      </c>
      <c r="E4" s="219" t="s">
        <v>351</v>
      </c>
      <c r="F4" s="219" t="s">
        <v>352</v>
      </c>
      <c r="G4" s="219" t="s">
        <v>353</v>
      </c>
      <c r="H4" s="219" t="s">
        <v>354</v>
      </c>
      <c r="I4" s="220" t="s">
        <v>355</v>
      </c>
    </row>
    <row r="5" spans="2:9">
      <c r="B5" s="26" t="s">
        <v>494</v>
      </c>
      <c r="C5" s="26" t="s">
        <v>545</v>
      </c>
      <c r="D5" s="26" t="s">
        <v>424</v>
      </c>
      <c r="E5" s="26" t="s">
        <v>64</v>
      </c>
      <c r="F5" s="26" t="s">
        <v>356</v>
      </c>
      <c r="G5" s="26" t="s">
        <v>399</v>
      </c>
      <c r="H5" s="26"/>
      <c r="I5" s="26" t="s">
        <v>357</v>
      </c>
    </row>
    <row r="6" spans="2:9">
      <c r="B6" s="26" t="s">
        <v>494</v>
      </c>
      <c r="C6" s="26" t="s">
        <v>546</v>
      </c>
      <c r="D6" s="26" t="s">
        <v>403</v>
      </c>
      <c r="E6" s="26" t="s">
        <v>64</v>
      </c>
      <c r="F6" s="26" t="s">
        <v>356</v>
      </c>
      <c r="G6" s="26" t="s">
        <v>399</v>
      </c>
      <c r="H6" s="26" t="s">
        <v>397</v>
      </c>
      <c r="I6" s="26" t="s">
        <v>357</v>
      </c>
    </row>
    <row r="7" spans="2:9">
      <c r="B7" s="26" t="s">
        <v>493</v>
      </c>
      <c r="C7" s="26" t="s">
        <v>547</v>
      </c>
      <c r="D7" s="26" t="s">
        <v>322</v>
      </c>
      <c r="E7" s="26" t="s">
        <v>64</v>
      </c>
      <c r="F7" s="26" t="s">
        <v>356</v>
      </c>
      <c r="G7" s="26"/>
      <c r="H7" s="26"/>
      <c r="I7" s="26" t="s">
        <v>357</v>
      </c>
    </row>
    <row r="8" spans="2:9">
      <c r="B8" s="26" t="s">
        <v>493</v>
      </c>
      <c r="C8" s="26" t="s">
        <v>548</v>
      </c>
      <c r="D8" s="26" t="s">
        <v>318</v>
      </c>
      <c r="E8" s="26" t="s">
        <v>64</v>
      </c>
      <c r="F8" s="26" t="s">
        <v>356</v>
      </c>
      <c r="G8" s="26"/>
      <c r="H8" s="26"/>
      <c r="I8" s="26" t="s">
        <v>357</v>
      </c>
    </row>
    <row r="9" spans="2:9">
      <c r="B9" s="26" t="s">
        <v>493</v>
      </c>
      <c r="C9" s="26" t="s">
        <v>549</v>
      </c>
      <c r="D9" s="26" t="s">
        <v>324</v>
      </c>
      <c r="E9" s="26" t="s">
        <v>64</v>
      </c>
      <c r="F9" s="26" t="s">
        <v>356</v>
      </c>
      <c r="G9" s="26"/>
      <c r="H9" s="26"/>
      <c r="I9" s="26" t="s">
        <v>357</v>
      </c>
    </row>
    <row r="10" spans="2:9">
      <c r="B10" s="26" t="s">
        <v>493</v>
      </c>
      <c r="C10" s="26" t="s">
        <v>550</v>
      </c>
      <c r="D10" s="26" t="s">
        <v>329</v>
      </c>
      <c r="E10" s="26" t="s">
        <v>64</v>
      </c>
      <c r="F10" s="26" t="s">
        <v>356</v>
      </c>
      <c r="G10" s="26"/>
      <c r="H10" s="26"/>
      <c r="I10" s="26" t="s">
        <v>357</v>
      </c>
    </row>
    <row r="11" spans="2:9">
      <c r="B11" s="26" t="s">
        <v>493</v>
      </c>
      <c r="C11" s="26" t="s">
        <v>551</v>
      </c>
      <c r="D11" s="26" t="s">
        <v>329</v>
      </c>
      <c r="E11" s="26" t="s">
        <v>64</v>
      </c>
      <c r="F11" s="26" t="s">
        <v>356</v>
      </c>
      <c r="G11" s="26"/>
      <c r="H11" s="26"/>
      <c r="I11" s="26" t="s">
        <v>357</v>
      </c>
    </row>
    <row r="12" spans="2:9">
      <c r="B12" s="26" t="s">
        <v>493</v>
      </c>
      <c r="C12" s="26" t="s">
        <v>552</v>
      </c>
      <c r="D12" s="26" t="s">
        <v>332</v>
      </c>
      <c r="E12" s="26" t="s">
        <v>64</v>
      </c>
      <c r="F12" s="26" t="s">
        <v>356</v>
      </c>
      <c r="G12" s="26"/>
      <c r="H12" s="26"/>
      <c r="I12" s="26" t="s">
        <v>357</v>
      </c>
    </row>
    <row r="13" spans="2:9">
      <c r="B13" s="26" t="s">
        <v>493</v>
      </c>
      <c r="C13" s="26" t="s">
        <v>553</v>
      </c>
      <c r="D13" s="26" t="s">
        <v>321</v>
      </c>
      <c r="E13" s="26" t="s">
        <v>64</v>
      </c>
      <c r="F13" s="26" t="s">
        <v>356</v>
      </c>
      <c r="G13" s="26"/>
      <c r="H13" s="26"/>
      <c r="I13" s="26" t="s">
        <v>357</v>
      </c>
    </row>
    <row r="14" spans="2:9">
      <c r="B14" s="26" t="s">
        <v>493</v>
      </c>
      <c r="C14" s="26" t="s">
        <v>554</v>
      </c>
      <c r="D14" s="26" t="s">
        <v>432</v>
      </c>
      <c r="E14" s="26" t="s">
        <v>64</v>
      </c>
      <c r="F14" s="26" t="s">
        <v>356</v>
      </c>
      <c r="G14" s="26"/>
      <c r="H14" s="26"/>
      <c r="I14" s="26" t="s">
        <v>357</v>
      </c>
    </row>
    <row r="15" spans="2:9">
      <c r="B15" s="26" t="s">
        <v>493</v>
      </c>
      <c r="C15" s="26" t="s">
        <v>555</v>
      </c>
      <c r="D15" s="26" t="s">
        <v>325</v>
      </c>
      <c r="E15" s="26" t="s">
        <v>64</v>
      </c>
      <c r="F15" s="26" t="s">
        <v>356</v>
      </c>
      <c r="G15" s="26"/>
      <c r="H15" s="26"/>
      <c r="I15" s="26" t="s">
        <v>357</v>
      </c>
    </row>
    <row r="16" spans="2:9">
      <c r="B16" s="26" t="s">
        <v>493</v>
      </c>
      <c r="C16" s="26" t="s">
        <v>556</v>
      </c>
      <c r="D16" s="26" t="s">
        <v>330</v>
      </c>
      <c r="E16" s="26" t="s">
        <v>64</v>
      </c>
      <c r="F16" s="26" t="s">
        <v>356</v>
      </c>
      <c r="G16" s="26"/>
      <c r="H16" s="26"/>
      <c r="I16" s="26" t="s">
        <v>357</v>
      </c>
    </row>
    <row r="17" spans="2:9">
      <c r="B17" s="26" t="s">
        <v>493</v>
      </c>
      <c r="C17" s="26" t="s">
        <v>557</v>
      </c>
      <c r="D17" s="26" t="s">
        <v>323</v>
      </c>
      <c r="E17" s="26" t="s">
        <v>64</v>
      </c>
      <c r="F17" s="26" t="s">
        <v>356</v>
      </c>
      <c r="G17" s="26"/>
      <c r="H17" s="26"/>
      <c r="I17" s="26" t="s">
        <v>357</v>
      </c>
    </row>
    <row r="18" spans="2:9">
      <c r="B18" s="26" t="s">
        <v>493</v>
      </c>
      <c r="C18" s="26" t="s">
        <v>558</v>
      </c>
      <c r="D18" s="26" t="s">
        <v>323</v>
      </c>
      <c r="E18" s="26" t="s">
        <v>64</v>
      </c>
      <c r="F18" s="26" t="s">
        <v>356</v>
      </c>
      <c r="G18" s="26"/>
      <c r="H18" s="26"/>
      <c r="I18" s="26" t="s">
        <v>357</v>
      </c>
    </row>
    <row r="19" spans="2:9">
      <c r="B19" s="26" t="s">
        <v>493</v>
      </c>
      <c r="C19" s="26" t="s">
        <v>559</v>
      </c>
      <c r="D19" s="26" t="s">
        <v>328</v>
      </c>
      <c r="E19" s="26" t="s">
        <v>64</v>
      </c>
      <c r="F19" s="26" t="s">
        <v>356</v>
      </c>
      <c r="G19" s="26"/>
      <c r="H19" s="26"/>
      <c r="I19" s="26" t="s">
        <v>357</v>
      </c>
    </row>
    <row r="20" spans="2:9">
      <c r="B20" s="26" t="s">
        <v>493</v>
      </c>
      <c r="C20" s="26" t="s">
        <v>560</v>
      </c>
      <c r="D20" s="26" t="s">
        <v>320</v>
      </c>
      <c r="E20" s="26" t="s">
        <v>64</v>
      </c>
      <c r="F20" s="26" t="s">
        <v>356</v>
      </c>
      <c r="G20" s="26"/>
      <c r="H20" s="26"/>
      <c r="I20" s="26" t="s">
        <v>357</v>
      </c>
    </row>
    <row r="21" spans="2:9">
      <c r="B21" s="26" t="s">
        <v>493</v>
      </c>
      <c r="C21" s="26" t="s">
        <v>561</v>
      </c>
      <c r="D21" s="26" t="s">
        <v>327</v>
      </c>
      <c r="E21" s="26" t="s">
        <v>64</v>
      </c>
      <c r="F21" s="26" t="s">
        <v>356</v>
      </c>
      <c r="G21" s="26"/>
      <c r="H21" s="26"/>
      <c r="I21" s="26" t="s">
        <v>357</v>
      </c>
    </row>
    <row r="22" spans="2:9">
      <c r="B22" s="26" t="s">
        <v>493</v>
      </c>
      <c r="C22" s="26" t="s">
        <v>562</v>
      </c>
      <c r="D22" s="26" t="s">
        <v>331</v>
      </c>
      <c r="E22" s="26" t="s">
        <v>64</v>
      </c>
      <c r="F22" s="26" t="s">
        <v>356</v>
      </c>
      <c r="G22" s="26"/>
      <c r="H22" s="26"/>
      <c r="I22" s="26" t="s">
        <v>357</v>
      </c>
    </row>
    <row r="23" spans="2:9">
      <c r="B23" s="26" t="s">
        <v>493</v>
      </c>
      <c r="C23" s="26" t="s">
        <v>563</v>
      </c>
      <c r="D23" s="26" t="s">
        <v>319</v>
      </c>
      <c r="E23" s="26" t="s">
        <v>64</v>
      </c>
      <c r="F23" s="26" t="s">
        <v>356</v>
      </c>
      <c r="G23" s="26"/>
      <c r="H23" s="26"/>
      <c r="I23" s="26" t="s">
        <v>357</v>
      </c>
    </row>
    <row r="24" spans="2:9">
      <c r="B24" s="26" t="s">
        <v>493</v>
      </c>
      <c r="C24" s="26" t="s">
        <v>564</v>
      </c>
      <c r="D24" s="26" t="s">
        <v>326</v>
      </c>
      <c r="E24" s="26" t="s">
        <v>64</v>
      </c>
      <c r="F24" s="26" t="s">
        <v>356</v>
      </c>
      <c r="G24" s="26"/>
      <c r="H24" s="26"/>
      <c r="I24" s="26" t="s">
        <v>357</v>
      </c>
    </row>
    <row r="25" spans="2:9">
      <c r="B25" s="26" t="s">
        <v>493</v>
      </c>
      <c r="C25" s="26" t="s">
        <v>565</v>
      </c>
      <c r="D25" s="26" t="s">
        <v>453</v>
      </c>
      <c r="E25" s="26" t="s">
        <v>64</v>
      </c>
      <c r="F25" s="26" t="s">
        <v>356</v>
      </c>
      <c r="G25" s="26"/>
      <c r="H25" s="26"/>
      <c r="I25" s="26" t="s">
        <v>357</v>
      </c>
    </row>
    <row r="26" spans="2:9">
      <c r="B26" s="26" t="s">
        <v>493</v>
      </c>
      <c r="C26" s="26" t="s">
        <v>566</v>
      </c>
      <c r="D26" s="26" t="s">
        <v>445</v>
      </c>
      <c r="E26" s="26" t="s">
        <v>64</v>
      </c>
      <c r="F26" s="26" t="s">
        <v>356</v>
      </c>
      <c r="G26" s="26"/>
      <c r="H26" s="26"/>
      <c r="I26" s="26" t="s">
        <v>357</v>
      </c>
    </row>
    <row r="27" spans="2:9">
      <c r="B27" s="26" t="s">
        <v>493</v>
      </c>
      <c r="C27" s="26" t="s">
        <v>567</v>
      </c>
      <c r="D27" s="26" t="s">
        <v>446</v>
      </c>
      <c r="E27" s="26" t="s">
        <v>64</v>
      </c>
      <c r="F27" s="26" t="s">
        <v>356</v>
      </c>
      <c r="G27" s="26"/>
      <c r="H27" s="26"/>
      <c r="I27" s="26" t="s">
        <v>357</v>
      </c>
    </row>
    <row r="28" spans="2:9">
      <c r="B28" s="26" t="s">
        <v>493</v>
      </c>
      <c r="C28" s="26" t="s">
        <v>580</v>
      </c>
      <c r="D28" s="26" t="s">
        <v>578</v>
      </c>
      <c r="E28" s="26" t="s">
        <v>64</v>
      </c>
      <c r="F28" s="26" t="s">
        <v>356</v>
      </c>
      <c r="G28" s="26"/>
      <c r="H28" s="26"/>
      <c r="I28" s="26" t="s">
        <v>357</v>
      </c>
    </row>
    <row r="29" spans="2:9">
      <c r="B29" s="26" t="s">
        <v>493</v>
      </c>
      <c r="C29" s="26" t="s">
        <v>568</v>
      </c>
      <c r="D29" s="26" t="s">
        <v>539</v>
      </c>
      <c r="E29" s="26" t="s">
        <v>64</v>
      </c>
      <c r="F29" s="26" t="s">
        <v>356</v>
      </c>
      <c r="G29" s="26"/>
      <c r="H29" s="26"/>
      <c r="I29" s="26" t="s">
        <v>357</v>
      </c>
    </row>
    <row r="30" spans="2:9">
      <c r="B30" s="26" t="s">
        <v>490</v>
      </c>
      <c r="C30" s="26" t="s">
        <v>47</v>
      </c>
      <c r="D30" s="26" t="s">
        <v>46</v>
      </c>
      <c r="E30" s="26" t="s">
        <v>64</v>
      </c>
      <c r="F30" s="26" t="s">
        <v>356</v>
      </c>
      <c r="G30" s="26"/>
      <c r="H30" s="26"/>
      <c r="I30" s="26" t="s">
        <v>357</v>
      </c>
    </row>
    <row r="31" spans="2:9">
      <c r="B31" s="26" t="s">
        <v>490</v>
      </c>
      <c r="C31" s="26" t="s">
        <v>525</v>
      </c>
      <c r="D31" s="26" t="s">
        <v>129</v>
      </c>
      <c r="E31" s="26" t="s">
        <v>64</v>
      </c>
      <c r="F31" s="26" t="s">
        <v>356</v>
      </c>
      <c r="G31" s="26"/>
      <c r="H31" s="26"/>
      <c r="I31" s="26" t="s">
        <v>357</v>
      </c>
    </row>
    <row r="32" spans="2:9">
      <c r="B32" s="26" t="s">
        <v>490</v>
      </c>
      <c r="C32" s="26" t="s">
        <v>526</v>
      </c>
      <c r="D32" s="26" t="s">
        <v>148</v>
      </c>
      <c r="E32" s="26" t="s">
        <v>64</v>
      </c>
      <c r="F32" s="26" t="s">
        <v>356</v>
      </c>
      <c r="G32" s="26"/>
      <c r="H32" s="26"/>
      <c r="I32" s="26" t="s">
        <v>357</v>
      </c>
    </row>
    <row r="33" spans="2:9">
      <c r="B33" s="26" t="s">
        <v>490</v>
      </c>
      <c r="C33" s="26" t="s">
        <v>120</v>
      </c>
      <c r="D33" s="26" t="s">
        <v>15</v>
      </c>
      <c r="E33" s="26" t="s">
        <v>518</v>
      </c>
      <c r="F33" s="26" t="s">
        <v>538</v>
      </c>
      <c r="G33" s="26"/>
      <c r="H33" s="26"/>
      <c r="I33" s="26" t="s">
        <v>357</v>
      </c>
    </row>
    <row r="34" spans="2:9">
      <c r="B34" s="26" t="s">
        <v>490</v>
      </c>
      <c r="C34" s="26" t="s">
        <v>123</v>
      </c>
      <c r="D34" s="26" t="s">
        <v>18</v>
      </c>
      <c r="E34" s="26" t="s">
        <v>518</v>
      </c>
      <c r="F34" s="26" t="s">
        <v>538</v>
      </c>
      <c r="G34" s="26"/>
      <c r="H34" s="26"/>
      <c r="I34" s="26" t="s">
        <v>357</v>
      </c>
    </row>
    <row r="35" spans="2:9">
      <c r="B35" s="26" t="s">
        <v>490</v>
      </c>
      <c r="C35" s="26" t="s">
        <v>167</v>
      </c>
      <c r="D35" s="26" t="s">
        <v>20</v>
      </c>
      <c r="E35" s="26" t="s">
        <v>518</v>
      </c>
      <c r="F35" s="26" t="s">
        <v>538</v>
      </c>
      <c r="G35" s="26"/>
      <c r="H35" s="26"/>
      <c r="I35" s="26" t="s">
        <v>357</v>
      </c>
    </row>
    <row r="36" spans="2:9">
      <c r="B36" s="26" t="s">
        <v>490</v>
      </c>
      <c r="C36" s="26" t="s">
        <v>119</v>
      </c>
      <c r="D36" s="26" t="s">
        <v>14</v>
      </c>
      <c r="E36" s="26" t="s">
        <v>518</v>
      </c>
      <c r="F36" s="26" t="s">
        <v>538</v>
      </c>
      <c r="G36" s="26"/>
      <c r="H36" s="26"/>
      <c r="I36" s="26" t="s">
        <v>357</v>
      </c>
    </row>
    <row r="37" spans="2:9">
      <c r="B37" s="26" t="s">
        <v>490</v>
      </c>
      <c r="C37" s="26" t="s">
        <v>121</v>
      </c>
      <c r="D37" s="26" t="s">
        <v>16</v>
      </c>
      <c r="E37" s="26" t="s">
        <v>518</v>
      </c>
      <c r="F37" s="26" t="s">
        <v>538</v>
      </c>
      <c r="G37" s="26"/>
      <c r="H37" s="26"/>
      <c r="I37" s="26" t="s">
        <v>357</v>
      </c>
    </row>
    <row r="38" spans="2:9">
      <c r="B38" s="26" t="s">
        <v>490</v>
      </c>
      <c r="C38" s="26" t="s">
        <v>166</v>
      </c>
      <c r="D38" s="26" t="s">
        <v>19</v>
      </c>
      <c r="E38" s="26" t="s">
        <v>518</v>
      </c>
      <c r="F38" s="26" t="s">
        <v>538</v>
      </c>
      <c r="G38" s="26"/>
      <c r="H38" s="26"/>
      <c r="I38" s="26" t="s">
        <v>357</v>
      </c>
    </row>
    <row r="39" spans="2:9">
      <c r="B39" s="26" t="s">
        <v>490</v>
      </c>
      <c r="C39" s="26" t="s">
        <v>122</v>
      </c>
      <c r="D39" s="26" t="s">
        <v>17</v>
      </c>
      <c r="E39" s="26" t="s">
        <v>518</v>
      </c>
      <c r="F39" s="26" t="s">
        <v>538</v>
      </c>
      <c r="G39" s="26"/>
      <c r="H39" s="26"/>
      <c r="I39" s="26" t="s">
        <v>357</v>
      </c>
    </row>
    <row r="40" spans="2:9">
      <c r="B40" s="26" t="s">
        <v>490</v>
      </c>
      <c r="C40" s="26" t="s">
        <v>208</v>
      </c>
      <c r="D40" s="26" t="s">
        <v>209</v>
      </c>
      <c r="E40" s="26" t="s">
        <v>518</v>
      </c>
      <c r="F40" s="26" t="s">
        <v>538</v>
      </c>
      <c r="G40" s="26"/>
      <c r="H40" s="26"/>
      <c r="I40" s="26" t="s">
        <v>357</v>
      </c>
    </row>
    <row r="41" spans="2:9">
      <c r="B41" s="26" t="s">
        <v>490</v>
      </c>
      <c r="C41" s="26" t="s">
        <v>206</v>
      </c>
      <c r="D41" s="26" t="s">
        <v>207</v>
      </c>
      <c r="E41" s="26" t="s">
        <v>518</v>
      </c>
      <c r="F41" s="26" t="s">
        <v>538</v>
      </c>
      <c r="G41" s="26"/>
      <c r="H41" s="26"/>
      <c r="I41" s="26" t="s">
        <v>357</v>
      </c>
    </row>
    <row r="42" spans="2:9">
      <c r="B42" s="26" t="s">
        <v>490</v>
      </c>
      <c r="C42" s="26" t="s">
        <v>138</v>
      </c>
      <c r="D42" s="26" t="s">
        <v>22</v>
      </c>
      <c r="E42" s="26" t="s">
        <v>518</v>
      </c>
      <c r="F42" s="26" t="s">
        <v>538</v>
      </c>
      <c r="G42" s="26"/>
      <c r="H42" s="26"/>
      <c r="I42" s="26" t="s">
        <v>357</v>
      </c>
    </row>
    <row r="43" spans="2:9">
      <c r="B43" s="26" t="s">
        <v>490</v>
      </c>
      <c r="C43" s="26" t="s">
        <v>169</v>
      </c>
      <c r="D43" s="26" t="s">
        <v>26</v>
      </c>
      <c r="E43" s="26" t="s">
        <v>518</v>
      </c>
      <c r="F43" s="26" t="s">
        <v>538</v>
      </c>
      <c r="G43" s="26"/>
      <c r="H43" s="26"/>
      <c r="I43" s="26" t="s">
        <v>357</v>
      </c>
    </row>
    <row r="44" spans="2:9">
      <c r="B44" s="26" t="s">
        <v>490</v>
      </c>
      <c r="C44" s="26" t="s">
        <v>182</v>
      </c>
      <c r="D44" s="26" t="s">
        <v>21</v>
      </c>
      <c r="E44" s="26" t="s">
        <v>518</v>
      </c>
      <c r="F44" s="26" t="s">
        <v>538</v>
      </c>
      <c r="G44" s="26"/>
      <c r="H44" s="26"/>
      <c r="I44" s="26" t="s">
        <v>357</v>
      </c>
    </row>
    <row r="45" spans="2:9">
      <c r="B45" s="26" t="s">
        <v>490</v>
      </c>
      <c r="C45" s="26" t="s">
        <v>258</v>
      </c>
      <c r="D45" s="26" t="s">
        <v>23</v>
      </c>
      <c r="E45" s="26" t="s">
        <v>518</v>
      </c>
      <c r="F45" s="26" t="s">
        <v>538</v>
      </c>
      <c r="G45" s="26"/>
      <c r="H45" s="26"/>
      <c r="I45" s="26" t="s">
        <v>357</v>
      </c>
    </row>
    <row r="46" spans="2:9">
      <c r="B46" s="26" t="s">
        <v>490</v>
      </c>
      <c r="C46" s="26" t="s">
        <v>168</v>
      </c>
      <c r="D46" s="26" t="s">
        <v>25</v>
      </c>
      <c r="E46" s="26" t="s">
        <v>518</v>
      </c>
      <c r="F46" s="26" t="s">
        <v>538</v>
      </c>
      <c r="G46" s="26"/>
      <c r="H46" s="26"/>
      <c r="I46" s="26" t="s">
        <v>357</v>
      </c>
    </row>
    <row r="47" spans="2:9">
      <c r="B47" s="26" t="s">
        <v>490</v>
      </c>
      <c r="C47" s="26" t="s">
        <v>259</v>
      </c>
      <c r="D47" s="26" t="s">
        <v>24</v>
      </c>
      <c r="E47" s="26" t="s">
        <v>518</v>
      </c>
      <c r="F47" s="26" t="s">
        <v>538</v>
      </c>
      <c r="G47" s="26"/>
      <c r="H47" s="26"/>
      <c r="I47" s="26" t="s">
        <v>357</v>
      </c>
    </row>
    <row r="48" spans="2:9">
      <c r="B48" s="26" t="s">
        <v>490</v>
      </c>
      <c r="C48" s="26" t="s">
        <v>144</v>
      </c>
      <c r="D48" s="26" t="s">
        <v>8</v>
      </c>
      <c r="E48" s="26" t="s">
        <v>518</v>
      </c>
      <c r="F48" s="26" t="s">
        <v>538</v>
      </c>
      <c r="G48" s="26"/>
      <c r="H48" s="26"/>
      <c r="I48" s="26" t="s">
        <v>357</v>
      </c>
    </row>
    <row r="49" spans="2:9">
      <c r="B49" s="26" t="s">
        <v>490</v>
      </c>
      <c r="C49" s="26" t="s">
        <v>238</v>
      </c>
      <c r="D49" s="26" t="s">
        <v>11</v>
      </c>
      <c r="E49" s="26" t="s">
        <v>518</v>
      </c>
      <c r="F49" s="26" t="s">
        <v>538</v>
      </c>
      <c r="G49" s="26"/>
      <c r="H49" s="26"/>
      <c r="I49" s="26" t="s">
        <v>357</v>
      </c>
    </row>
    <row r="50" spans="2:9">
      <c r="B50" s="26" t="s">
        <v>490</v>
      </c>
      <c r="C50" s="26" t="s">
        <v>165</v>
      </c>
      <c r="D50" s="26" t="s">
        <v>13</v>
      </c>
      <c r="E50" s="26" t="s">
        <v>518</v>
      </c>
      <c r="F50" s="26" t="s">
        <v>538</v>
      </c>
      <c r="G50" s="26"/>
      <c r="H50" s="26"/>
      <c r="I50" s="26" t="s">
        <v>357</v>
      </c>
    </row>
    <row r="51" spans="2:9">
      <c r="B51" s="26" t="s">
        <v>490</v>
      </c>
      <c r="C51" s="26" t="s">
        <v>136</v>
      </c>
      <c r="D51" s="26" t="s">
        <v>7</v>
      </c>
      <c r="E51" s="26" t="s">
        <v>518</v>
      </c>
      <c r="F51" s="26" t="s">
        <v>538</v>
      </c>
      <c r="G51" s="26"/>
      <c r="H51" s="26"/>
      <c r="I51" s="26" t="s">
        <v>357</v>
      </c>
    </row>
    <row r="52" spans="2:9">
      <c r="B52" s="26" t="s">
        <v>490</v>
      </c>
      <c r="C52" s="26" t="s">
        <v>145</v>
      </c>
      <c r="D52" s="26" t="s">
        <v>9</v>
      </c>
      <c r="E52" s="26" t="s">
        <v>518</v>
      </c>
      <c r="F52" s="26" t="s">
        <v>538</v>
      </c>
      <c r="G52" s="26"/>
      <c r="H52" s="26"/>
      <c r="I52" s="26" t="s">
        <v>357</v>
      </c>
    </row>
    <row r="53" spans="2:9">
      <c r="B53" s="26" t="s">
        <v>490</v>
      </c>
      <c r="C53" s="26" t="s">
        <v>164</v>
      </c>
      <c r="D53" s="26" t="s">
        <v>12</v>
      </c>
      <c r="E53" s="26" t="s">
        <v>518</v>
      </c>
      <c r="F53" s="26" t="s">
        <v>538</v>
      </c>
      <c r="G53" s="26"/>
      <c r="H53" s="26"/>
      <c r="I53" s="26" t="s">
        <v>357</v>
      </c>
    </row>
    <row r="54" spans="2:9">
      <c r="B54" s="26" t="s">
        <v>490</v>
      </c>
      <c r="C54" s="26" t="s">
        <v>146</v>
      </c>
      <c r="D54" s="26" t="s">
        <v>10</v>
      </c>
      <c r="E54" s="26" t="s">
        <v>518</v>
      </c>
      <c r="F54" s="26" t="s">
        <v>538</v>
      </c>
      <c r="G54" s="26"/>
      <c r="H54" s="26"/>
      <c r="I54" s="26" t="s">
        <v>357</v>
      </c>
    </row>
    <row r="55" spans="2:9">
      <c r="B55" s="26" t="s">
        <v>490</v>
      </c>
      <c r="C55" s="26" t="s">
        <v>261</v>
      </c>
      <c r="D55" s="26" t="s">
        <v>28</v>
      </c>
      <c r="E55" s="26" t="s">
        <v>518</v>
      </c>
      <c r="F55" s="26" t="s">
        <v>538</v>
      </c>
      <c r="G55" s="26"/>
      <c r="H55" s="26"/>
      <c r="I55" s="26" t="s">
        <v>357</v>
      </c>
    </row>
    <row r="56" spans="2:9">
      <c r="B56" s="26" t="s">
        <v>490</v>
      </c>
      <c r="C56" s="26" t="s">
        <v>485</v>
      </c>
      <c r="D56" s="26" t="s">
        <v>486</v>
      </c>
      <c r="E56" s="26" t="s">
        <v>518</v>
      </c>
      <c r="F56" s="26" t="s">
        <v>538</v>
      </c>
      <c r="G56" s="26"/>
      <c r="H56" s="26"/>
      <c r="I56" s="26" t="s">
        <v>357</v>
      </c>
    </row>
    <row r="57" spans="2:9">
      <c r="B57" s="26" t="s">
        <v>490</v>
      </c>
      <c r="C57" s="26" t="s">
        <v>265</v>
      </c>
      <c r="D57" s="26" t="s">
        <v>32</v>
      </c>
      <c r="E57" s="26" t="s">
        <v>518</v>
      </c>
      <c r="F57" s="26" t="s">
        <v>538</v>
      </c>
      <c r="G57" s="26"/>
      <c r="H57" s="26"/>
      <c r="I57" s="26" t="s">
        <v>357</v>
      </c>
    </row>
    <row r="58" spans="2:9">
      <c r="B58" s="26" t="s">
        <v>490</v>
      </c>
      <c r="C58" s="26" t="s">
        <v>260</v>
      </c>
      <c r="D58" s="26" t="s">
        <v>27</v>
      </c>
      <c r="E58" s="26" t="s">
        <v>518</v>
      </c>
      <c r="F58" s="26" t="s">
        <v>538</v>
      </c>
      <c r="G58" s="26"/>
      <c r="H58" s="26"/>
      <c r="I58" s="26" t="s">
        <v>357</v>
      </c>
    </row>
    <row r="59" spans="2:9">
      <c r="B59" s="26" t="s">
        <v>490</v>
      </c>
      <c r="C59" s="26" t="s">
        <v>262</v>
      </c>
      <c r="D59" s="26" t="s">
        <v>29</v>
      </c>
      <c r="E59" s="26" t="s">
        <v>518</v>
      </c>
      <c r="F59" s="26" t="s">
        <v>538</v>
      </c>
      <c r="G59" s="26"/>
      <c r="H59" s="26"/>
      <c r="I59" s="26" t="s">
        <v>357</v>
      </c>
    </row>
    <row r="60" spans="2:9">
      <c r="B60" s="26" t="s">
        <v>490</v>
      </c>
      <c r="C60" s="26" t="s">
        <v>264</v>
      </c>
      <c r="D60" s="26" t="s">
        <v>31</v>
      </c>
      <c r="E60" s="26" t="s">
        <v>518</v>
      </c>
      <c r="F60" s="26" t="s">
        <v>538</v>
      </c>
      <c r="G60" s="26"/>
      <c r="H60" s="26"/>
      <c r="I60" s="26" t="s">
        <v>357</v>
      </c>
    </row>
    <row r="61" spans="2:9">
      <c r="B61" s="26" t="s">
        <v>490</v>
      </c>
      <c r="C61" s="26" t="s">
        <v>263</v>
      </c>
      <c r="D61" s="26" t="s">
        <v>30</v>
      </c>
      <c r="E61" s="26" t="s">
        <v>518</v>
      </c>
      <c r="F61" s="26" t="s">
        <v>538</v>
      </c>
      <c r="G61" s="26"/>
      <c r="H61" s="26"/>
      <c r="I61" s="26" t="s">
        <v>357</v>
      </c>
    </row>
    <row r="62" spans="2:9">
      <c r="B62" s="26" t="s">
        <v>490</v>
      </c>
      <c r="C62" s="26" t="s">
        <v>173</v>
      </c>
      <c r="D62" s="26" t="s">
        <v>1</v>
      </c>
      <c r="E62" s="26" t="s">
        <v>518</v>
      </c>
      <c r="F62" s="26" t="s">
        <v>538</v>
      </c>
      <c r="G62" s="26"/>
      <c r="H62" s="26"/>
      <c r="I62" s="26" t="s">
        <v>357</v>
      </c>
    </row>
    <row r="63" spans="2:9">
      <c r="B63" s="26" t="s">
        <v>490</v>
      </c>
      <c r="C63" s="26" t="s">
        <v>176</v>
      </c>
      <c r="D63" s="26" t="s">
        <v>4</v>
      </c>
      <c r="E63" s="26" t="s">
        <v>518</v>
      </c>
      <c r="F63" s="26" t="s">
        <v>538</v>
      </c>
      <c r="G63" s="26"/>
      <c r="H63" s="26"/>
      <c r="I63" s="26" t="s">
        <v>357</v>
      </c>
    </row>
    <row r="64" spans="2:9">
      <c r="B64" s="26" t="s">
        <v>490</v>
      </c>
      <c r="C64" s="26" t="s">
        <v>178</v>
      </c>
      <c r="D64" s="26" t="s">
        <v>6</v>
      </c>
      <c r="E64" s="26" t="s">
        <v>518</v>
      </c>
      <c r="F64" s="26" t="s">
        <v>538</v>
      </c>
      <c r="G64" s="26"/>
      <c r="H64" s="26"/>
      <c r="I64" s="26" t="s">
        <v>357</v>
      </c>
    </row>
    <row r="65" spans="2:9">
      <c r="B65" s="26" t="s">
        <v>490</v>
      </c>
      <c r="C65" s="26" t="s">
        <v>180</v>
      </c>
      <c r="D65" s="26" t="s">
        <v>0</v>
      </c>
      <c r="E65" s="26" t="s">
        <v>518</v>
      </c>
      <c r="F65" s="26" t="s">
        <v>538</v>
      </c>
      <c r="G65" s="26"/>
      <c r="H65" s="26"/>
      <c r="I65" s="26" t="s">
        <v>357</v>
      </c>
    </row>
    <row r="66" spans="2:9">
      <c r="B66" s="26" t="s">
        <v>490</v>
      </c>
      <c r="C66" s="26" t="s">
        <v>174</v>
      </c>
      <c r="D66" s="26" t="s">
        <v>2</v>
      </c>
      <c r="E66" s="26" t="s">
        <v>518</v>
      </c>
      <c r="F66" s="26" t="s">
        <v>538</v>
      </c>
      <c r="G66" s="26"/>
      <c r="H66" s="26"/>
      <c r="I66" s="26" t="s">
        <v>357</v>
      </c>
    </row>
    <row r="67" spans="2:9">
      <c r="B67" s="26" t="s">
        <v>490</v>
      </c>
      <c r="C67" s="26" t="s">
        <v>177</v>
      </c>
      <c r="D67" s="26" t="s">
        <v>5</v>
      </c>
      <c r="E67" s="26" t="s">
        <v>518</v>
      </c>
      <c r="F67" s="26" t="s">
        <v>538</v>
      </c>
      <c r="G67" s="26"/>
      <c r="H67" s="26"/>
      <c r="I67" s="26" t="s">
        <v>357</v>
      </c>
    </row>
    <row r="68" spans="2:9">
      <c r="B68" s="26" t="s">
        <v>490</v>
      </c>
      <c r="C68" s="26" t="s">
        <v>175</v>
      </c>
      <c r="D68" s="26" t="s">
        <v>3</v>
      </c>
      <c r="E68" s="26" t="s">
        <v>518</v>
      </c>
      <c r="F68" s="26" t="s">
        <v>538</v>
      </c>
      <c r="G68" s="26"/>
      <c r="H68" s="26"/>
      <c r="I68" s="26" t="s">
        <v>357</v>
      </c>
    </row>
    <row r="69" spans="2:9">
      <c r="B69" s="26" t="s">
        <v>490</v>
      </c>
      <c r="C69" s="26" t="s">
        <v>183</v>
      </c>
      <c r="D69" s="26" t="s">
        <v>204</v>
      </c>
      <c r="E69" s="26" t="s">
        <v>518</v>
      </c>
      <c r="F69" s="26" t="s">
        <v>538</v>
      </c>
      <c r="G69" s="26"/>
      <c r="H69" s="26"/>
      <c r="I69" s="26" t="s">
        <v>357</v>
      </c>
    </row>
    <row r="70" spans="2:9">
      <c r="B70" s="26" t="s">
        <v>490</v>
      </c>
      <c r="C70" s="26" t="s">
        <v>184</v>
      </c>
      <c r="D70" s="26" t="s">
        <v>203</v>
      </c>
      <c r="E70" s="26" t="s">
        <v>518</v>
      </c>
      <c r="F70" s="26" t="s">
        <v>538</v>
      </c>
      <c r="G70" s="26"/>
      <c r="H70" s="26"/>
      <c r="I70" s="26" t="s">
        <v>357</v>
      </c>
    </row>
    <row r="71" spans="2:9">
      <c r="B71" s="26" t="s">
        <v>490</v>
      </c>
      <c r="C71" s="26" t="s">
        <v>487</v>
      </c>
      <c r="D71" s="26" t="s">
        <v>491</v>
      </c>
      <c r="E71" s="26" t="s">
        <v>518</v>
      </c>
      <c r="F71" s="26" t="s">
        <v>538</v>
      </c>
      <c r="G71" s="26"/>
      <c r="H71" s="26"/>
      <c r="I71" s="26" t="s">
        <v>357</v>
      </c>
    </row>
    <row r="72" spans="2:9">
      <c r="B72" s="26" t="s">
        <v>490</v>
      </c>
      <c r="C72" s="26" t="s">
        <v>150</v>
      </c>
      <c r="D72" s="26" t="s">
        <v>152</v>
      </c>
      <c r="E72" s="26" t="s">
        <v>64</v>
      </c>
      <c r="F72" s="26" t="s">
        <v>356</v>
      </c>
      <c r="G72" s="26"/>
      <c r="H72" s="26"/>
      <c r="I72" s="26" t="s">
        <v>357</v>
      </c>
    </row>
    <row r="73" spans="2:9">
      <c r="B73" s="26" t="s">
        <v>490</v>
      </c>
      <c r="C73" s="26" t="s">
        <v>537</v>
      </c>
      <c r="D73" s="26" t="s">
        <v>512</v>
      </c>
      <c r="E73" s="26" t="s">
        <v>64</v>
      </c>
      <c r="F73" s="26" t="s">
        <v>356</v>
      </c>
      <c r="G73" s="26"/>
      <c r="H73" s="26"/>
      <c r="I73" s="26" t="s">
        <v>357</v>
      </c>
    </row>
    <row r="74" spans="2:9">
      <c r="B74" s="26" t="s">
        <v>490</v>
      </c>
      <c r="C74" s="26" t="s">
        <v>154</v>
      </c>
      <c r="D74" s="26" t="s">
        <v>153</v>
      </c>
      <c r="E74" s="26" t="s">
        <v>64</v>
      </c>
      <c r="F74" s="26" t="s">
        <v>356</v>
      </c>
      <c r="G74" s="26"/>
      <c r="H74" s="26"/>
      <c r="I74" s="26" t="s">
        <v>357</v>
      </c>
    </row>
    <row r="75" spans="2:9">
      <c r="B75" s="26" t="s">
        <v>490</v>
      </c>
      <c r="C75" s="26" t="s">
        <v>527</v>
      </c>
      <c r="D75" s="26" t="s">
        <v>185</v>
      </c>
      <c r="E75" s="26" t="s">
        <v>64</v>
      </c>
      <c r="F75" s="26" t="s">
        <v>356</v>
      </c>
      <c r="G75" s="26"/>
      <c r="H75" s="26"/>
      <c r="I75" s="26" t="s">
        <v>357</v>
      </c>
    </row>
    <row r="76" spans="2:9">
      <c r="B76" s="26" t="s">
        <v>490</v>
      </c>
      <c r="C76" s="26" t="s">
        <v>528</v>
      </c>
      <c r="D76" s="26" t="s">
        <v>529</v>
      </c>
      <c r="E76" s="26" t="s">
        <v>64</v>
      </c>
      <c r="F76" s="26" t="s">
        <v>356</v>
      </c>
      <c r="G76" s="26"/>
      <c r="H76" s="26"/>
      <c r="I76" s="26" t="s">
        <v>357</v>
      </c>
    </row>
    <row r="77" spans="2:9">
      <c r="B77" s="26" t="s">
        <v>490</v>
      </c>
      <c r="C77" s="26" t="s">
        <v>501</v>
      </c>
      <c r="D77" s="26" t="s">
        <v>509</v>
      </c>
      <c r="E77" s="26" t="s">
        <v>64</v>
      </c>
      <c r="F77" s="26" t="s">
        <v>356</v>
      </c>
      <c r="G77" s="26"/>
      <c r="H77" s="26" t="s">
        <v>179</v>
      </c>
      <c r="I77" s="26" t="s">
        <v>357</v>
      </c>
    </row>
    <row r="78" spans="2:9">
      <c r="B78" s="26" t="s">
        <v>490</v>
      </c>
      <c r="C78" s="26" t="s">
        <v>504</v>
      </c>
      <c r="D78" s="26" t="s">
        <v>510</v>
      </c>
      <c r="E78" s="26" t="s">
        <v>64</v>
      </c>
      <c r="F78" s="26" t="s">
        <v>356</v>
      </c>
      <c r="G78" s="26"/>
      <c r="H78" s="26" t="s">
        <v>50</v>
      </c>
      <c r="I78" s="26" t="s">
        <v>357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V91"/>
  <sheetViews>
    <sheetView topLeftCell="A34" zoomScale="75" workbookViewId="0">
      <selection activeCell="A17" sqref="A17"/>
    </sheetView>
  </sheetViews>
  <sheetFormatPr defaultRowHeight="12.75"/>
  <cols>
    <col min="1" max="1" width="16.140625" customWidth="1"/>
    <col min="2" max="2" width="14.5703125" customWidth="1"/>
    <col min="3" max="3" width="38.5703125" customWidth="1"/>
    <col min="4" max="4" width="12.28515625" customWidth="1"/>
    <col min="5" max="5" width="13.28515625" customWidth="1"/>
    <col min="6" max="6" width="19.28515625" customWidth="1"/>
    <col min="8" max="8" width="9.85546875" customWidth="1"/>
    <col min="14" max="14" width="10.28515625" customWidth="1"/>
    <col min="19" max="19" width="10.85546875" customWidth="1"/>
  </cols>
  <sheetData>
    <row r="1" spans="1:22" ht="18">
      <c r="A1" s="69" t="s">
        <v>159</v>
      </c>
      <c r="J1" s="188"/>
      <c r="L1" s="189"/>
    </row>
    <row r="2" spans="1:22">
      <c r="A2" s="16"/>
      <c r="F2" s="188"/>
    </row>
    <row r="3" spans="1:22" ht="14.25">
      <c r="A3" s="112"/>
      <c r="F3" s="188"/>
    </row>
    <row r="4" spans="1:22">
      <c r="F4" s="188"/>
      <c r="G4" s="114"/>
      <c r="H4" s="115"/>
      <c r="L4" s="20">
        <v>1.2</v>
      </c>
    </row>
    <row r="5" spans="1:22" ht="18">
      <c r="A5" s="112"/>
      <c r="B5" s="208" t="s">
        <v>317</v>
      </c>
      <c r="C5" s="100"/>
      <c r="D5" s="100"/>
      <c r="E5" s="100"/>
      <c r="F5" s="302" t="str">
        <f>"~FI_T: "&amp;Region&amp;"~EUR10"</f>
        <v>~FI_T: FIN~EUR10</v>
      </c>
    </row>
    <row r="6" spans="1:22" ht="39" thickBot="1">
      <c r="B6" s="48" t="s">
        <v>297</v>
      </c>
      <c r="C6" s="48" t="s">
        <v>298</v>
      </c>
      <c r="D6" s="48" t="s">
        <v>296</v>
      </c>
      <c r="E6" s="48" t="s">
        <v>299</v>
      </c>
      <c r="F6" s="48" t="s">
        <v>293</v>
      </c>
      <c r="G6" s="48" t="s">
        <v>308</v>
      </c>
      <c r="H6" s="48" t="s">
        <v>305</v>
      </c>
      <c r="I6" s="48" t="s">
        <v>306</v>
      </c>
      <c r="J6" s="48" t="str">
        <f ca="1">"Share~UP~"&amp;AuxYear</f>
        <v>Share~UP~2017</v>
      </c>
      <c r="K6" s="48" t="str">
        <f ca="1">"Share~UP~"&amp;CEILING(AuxYear+2,5)</f>
        <v>Share~UP~2020</v>
      </c>
      <c r="L6" s="253" t="str">
        <f ca="1">"ACT_BND~UP~"&amp;AuxYear</f>
        <v>ACT_BND~UP~2017</v>
      </c>
      <c r="M6" s="48" t="s">
        <v>393</v>
      </c>
      <c r="N6" s="48" t="s">
        <v>394</v>
      </c>
      <c r="O6" s="48" t="str">
        <f ca="1">"FLO_MARK~UP~"&amp;AuxYear</f>
        <v>FLO_MARK~UP~2017</v>
      </c>
      <c r="P6" s="48" t="s">
        <v>59</v>
      </c>
      <c r="Q6" s="48" t="s">
        <v>316</v>
      </c>
      <c r="R6" s="253" t="s">
        <v>343</v>
      </c>
      <c r="S6" s="48" t="str">
        <f ca="1">"RESID~"&amp;AuxYear</f>
        <v>RESID~2017</v>
      </c>
      <c r="T6" s="48" t="s">
        <v>455</v>
      </c>
      <c r="U6" s="48" t="s">
        <v>456</v>
      </c>
      <c r="V6" s="48" t="s">
        <v>459</v>
      </c>
    </row>
    <row r="7" spans="1:22">
      <c r="B7" s="17" t="str">
        <f>CONCATENATE("FT-",E8,"0")</f>
        <v>FT-TRACOA0</v>
      </c>
      <c r="C7" s="351" t="s">
        <v>318</v>
      </c>
      <c r="D7" s="116" t="str">
        <f ca="1">IEAData!B18</f>
        <v>COAHCO</v>
      </c>
      <c r="E7" s="17"/>
      <c r="F7" s="17"/>
      <c r="G7" s="117">
        <v>1</v>
      </c>
      <c r="H7" s="117">
        <v>1</v>
      </c>
      <c r="I7" s="20"/>
      <c r="J7" s="61"/>
      <c r="K7" s="61"/>
      <c r="L7" s="267">
        <f ca="1">AuxData!C50*$L$4</f>
        <v>0</v>
      </c>
      <c r="M7" s="116">
        <f>L7*$L$4</f>
        <v>0</v>
      </c>
      <c r="N7" s="116">
        <f>M7*$L$4</f>
        <v>0</v>
      </c>
      <c r="O7" s="116"/>
      <c r="P7" s="116"/>
      <c r="Q7" s="116"/>
      <c r="R7" s="267"/>
      <c r="S7" s="116"/>
      <c r="T7" s="116"/>
      <c r="U7" s="116"/>
      <c r="V7" s="116"/>
    </row>
    <row r="8" spans="1:22" ht="14.25">
      <c r="B8" s="190"/>
      <c r="C8" s="347"/>
      <c r="D8" s="5"/>
      <c r="E8" s="5" t="str">
        <f ca="1">IEAData!C51</f>
        <v>TRACOA</v>
      </c>
      <c r="F8" s="119" t="s">
        <v>35</v>
      </c>
      <c r="G8" s="122"/>
      <c r="H8" s="122"/>
      <c r="I8" s="1"/>
      <c r="J8" s="206"/>
      <c r="K8" s="206"/>
      <c r="L8" s="268"/>
      <c r="M8" s="209"/>
      <c r="N8" s="209"/>
      <c r="O8" s="209"/>
      <c r="P8" s="209"/>
      <c r="Q8" s="209"/>
      <c r="R8" s="268"/>
      <c r="S8" s="209"/>
      <c r="T8" s="209"/>
      <c r="U8" s="209"/>
      <c r="V8" s="209"/>
    </row>
    <row r="9" spans="1:22">
      <c r="B9" s="17" t="str">
        <f>CONCATENATE("FT-",E12,"0")</f>
        <v>FT-TRANGA0</v>
      </c>
      <c r="C9" s="234" t="s">
        <v>319</v>
      </c>
      <c r="D9" s="116" t="str">
        <f ca="1">IEAData!I18</f>
        <v>GASNGA</v>
      </c>
      <c r="E9" s="17"/>
      <c r="F9" s="17"/>
      <c r="G9" s="117">
        <v>1</v>
      </c>
      <c r="H9" s="117">
        <v>1</v>
      </c>
      <c r="I9" s="20"/>
      <c r="J9" s="61"/>
      <c r="K9" s="61"/>
      <c r="L9" s="339">
        <f ca="1">AuxData!F50*$L$4</f>
        <v>0.58121930120845355</v>
      </c>
      <c r="M9" s="320">
        <f ca="1">MAX(IEAData!$K$95*0.06,L9*$L$4^2+1)</f>
        <v>5.7159099470352652</v>
      </c>
      <c r="N9" s="116"/>
      <c r="O9" s="116"/>
      <c r="P9" s="116">
        <v>50</v>
      </c>
      <c r="Q9" s="116">
        <v>50</v>
      </c>
      <c r="R9" s="294">
        <f ca="1">IEAData!$F50*TRA_Fuels!$L$4</f>
        <v>0.23263127610318535</v>
      </c>
      <c r="S9" s="295">
        <f ca="1">AuxData!$F50*TRA_Fuels!$L$4</f>
        <v>0.58121930120845355</v>
      </c>
      <c r="T9" s="116">
        <f>R9*$L$4+0.4</f>
        <v>0.67915753132382251</v>
      </c>
      <c r="U9" s="116">
        <f>T9</f>
        <v>0.67915753132382251</v>
      </c>
      <c r="V9" s="264">
        <v>1</v>
      </c>
    </row>
    <row r="10" spans="1:22">
      <c r="B10" s="17"/>
      <c r="C10" s="234"/>
      <c r="D10" s="116" t="s">
        <v>451</v>
      </c>
      <c r="E10" s="17"/>
      <c r="F10" s="17"/>
      <c r="G10" s="117"/>
      <c r="H10" s="117"/>
      <c r="I10" s="20"/>
      <c r="J10" s="61"/>
      <c r="K10" s="61"/>
      <c r="L10" s="267"/>
      <c r="M10" s="116"/>
      <c r="N10" s="116"/>
      <c r="O10" s="116"/>
      <c r="P10" s="116"/>
      <c r="Q10" s="116"/>
      <c r="R10" s="267"/>
      <c r="S10" s="116"/>
      <c r="T10" s="116"/>
      <c r="U10" s="116"/>
      <c r="V10" s="264"/>
    </row>
    <row r="11" spans="1:22">
      <c r="B11" s="17"/>
      <c r="C11" s="234"/>
      <c r="D11" s="116" t="s">
        <v>540</v>
      </c>
      <c r="E11" s="17"/>
      <c r="F11" s="17"/>
      <c r="G11" s="117"/>
      <c r="H11" s="117"/>
      <c r="I11" s="20"/>
      <c r="J11" s="61">
        <v>0</v>
      </c>
      <c r="K11" s="61">
        <v>0.1</v>
      </c>
      <c r="L11" s="267"/>
      <c r="M11" s="116"/>
      <c r="N11" s="116"/>
      <c r="O11" s="116"/>
      <c r="P11" s="116"/>
      <c r="Q11" s="116"/>
      <c r="R11" s="267"/>
      <c r="S11" s="116"/>
      <c r="T11" s="116"/>
      <c r="U11" s="116"/>
      <c r="V11" s="264"/>
    </row>
    <row r="12" spans="1:22">
      <c r="B12" s="190"/>
      <c r="C12" s="347"/>
      <c r="D12" s="5"/>
      <c r="E12" s="5" t="str">
        <f ca="1">IEAData!F51</f>
        <v>TRANGA</v>
      </c>
      <c r="F12" s="5" t="s">
        <v>36</v>
      </c>
      <c r="G12" s="122"/>
      <c r="H12" s="122"/>
      <c r="I12" s="1"/>
      <c r="J12" s="206"/>
      <c r="K12" s="206"/>
      <c r="L12" s="268"/>
      <c r="M12" s="209"/>
      <c r="N12" s="209"/>
      <c r="O12" s="209"/>
      <c r="P12" s="209"/>
      <c r="Q12" s="209"/>
      <c r="R12" s="268"/>
      <c r="S12" s="209"/>
      <c r="T12" s="209"/>
      <c r="U12" s="209"/>
      <c r="V12" s="209"/>
    </row>
    <row r="13" spans="1:22">
      <c r="B13" s="17" t="str">
        <f>CONCATENATE("FT-",E14,"0")</f>
        <v>FT-TRALPG0</v>
      </c>
      <c r="C13" s="234" t="s">
        <v>320</v>
      </c>
      <c r="D13" s="116" t="str">
        <f ca="1">IEAData!J18</f>
        <v>OILLPG</v>
      </c>
      <c r="E13" s="17"/>
      <c r="F13" s="17"/>
      <c r="G13" s="117">
        <v>1</v>
      </c>
      <c r="H13" s="117">
        <v>1</v>
      </c>
      <c r="I13" s="20"/>
      <c r="J13" s="61"/>
      <c r="K13" s="61"/>
      <c r="L13" s="267">
        <f ca="1">AuxData!G50*$L$4^0.5</f>
        <v>0</v>
      </c>
      <c r="M13" s="116">
        <f>L13*$L$4+0.5</f>
        <v>0.5</v>
      </c>
      <c r="N13" s="116">
        <f>M13*$L$4</f>
        <v>0.6</v>
      </c>
      <c r="O13" s="116"/>
      <c r="P13" s="116"/>
      <c r="Q13" s="116"/>
      <c r="R13" s="267"/>
      <c r="S13" s="116"/>
      <c r="T13" s="116"/>
      <c r="U13" s="116"/>
      <c r="V13" s="116"/>
    </row>
    <row r="14" spans="1:22">
      <c r="B14" s="190"/>
      <c r="C14" s="347"/>
      <c r="D14" s="5"/>
      <c r="E14" s="5" t="str">
        <f ca="1">IEAData!G51</f>
        <v>TRALPG</v>
      </c>
      <c r="F14" s="5" t="s">
        <v>37</v>
      </c>
      <c r="G14" s="122"/>
      <c r="H14" s="122"/>
      <c r="I14" s="1"/>
      <c r="J14" s="206"/>
      <c r="K14" s="206"/>
      <c r="L14" s="268"/>
      <c r="M14" s="209"/>
      <c r="N14" s="209"/>
      <c r="O14" s="209"/>
      <c r="P14" s="209"/>
      <c r="Q14" s="209"/>
      <c r="R14" s="268"/>
      <c r="S14" s="209"/>
      <c r="T14" s="209"/>
      <c r="U14" s="209"/>
      <c r="V14" s="209"/>
    </row>
    <row r="15" spans="1:22">
      <c r="B15" s="17" t="str">
        <f>CONCATENATE("FT-",E16,"0")</f>
        <v>FT-TRAGSL0</v>
      </c>
      <c r="C15" s="234" t="s">
        <v>321</v>
      </c>
      <c r="D15" s="116" t="str">
        <f ca="1">IEAData!K18</f>
        <v>OILGSL</v>
      </c>
      <c r="E15" s="17"/>
      <c r="F15" s="17"/>
      <c r="G15" s="117">
        <v>1</v>
      </c>
      <c r="H15" s="117">
        <v>1</v>
      </c>
      <c r="I15" s="20"/>
      <c r="J15" s="61"/>
      <c r="K15" s="61"/>
      <c r="L15" s="267"/>
      <c r="M15" s="116"/>
      <c r="N15" s="116"/>
      <c r="O15" s="116"/>
      <c r="P15" s="116"/>
      <c r="Q15" s="116"/>
      <c r="R15" s="267"/>
      <c r="S15" s="116"/>
      <c r="T15" s="116"/>
      <c r="U15" s="116"/>
      <c r="V15" s="116"/>
    </row>
    <row r="16" spans="1:22">
      <c r="B16" s="5"/>
      <c r="C16" s="347"/>
      <c r="D16" s="5"/>
      <c r="E16" s="5" t="str">
        <f ca="1">IEAData!H51</f>
        <v>TRAGSL</v>
      </c>
      <c r="F16" s="5" t="s">
        <v>38</v>
      </c>
      <c r="G16" s="122"/>
      <c r="H16" s="122"/>
      <c r="I16" s="1"/>
      <c r="J16" s="206"/>
      <c r="K16" s="206"/>
      <c r="L16" s="268"/>
      <c r="M16" s="209"/>
      <c r="N16" s="209"/>
      <c r="O16" s="209"/>
      <c r="P16" s="209"/>
      <c r="Q16" s="209"/>
      <c r="R16" s="268"/>
      <c r="S16" s="209"/>
      <c r="T16" s="209"/>
      <c r="U16" s="209"/>
      <c r="V16" s="209"/>
    </row>
    <row r="17" spans="1:22">
      <c r="B17" s="17" t="str">
        <f>CONCATENATE("FT-",E19,"0")</f>
        <v>FT-TRAAVG0</v>
      </c>
      <c r="C17" s="234" t="s">
        <v>439</v>
      </c>
      <c r="D17" s="116" t="str">
        <f ca="1">IEAData!L18</f>
        <v>OILAVG</v>
      </c>
      <c r="E17" s="17"/>
      <c r="F17" s="17"/>
      <c r="G17" s="117">
        <v>1</v>
      </c>
      <c r="H17" s="117">
        <v>1</v>
      </c>
      <c r="I17" s="20"/>
      <c r="J17" s="61">
        <v>1</v>
      </c>
      <c r="K17" s="61">
        <v>1</v>
      </c>
      <c r="L17" s="267"/>
      <c r="M17" s="116"/>
      <c r="N17" s="116"/>
      <c r="O17" s="116"/>
      <c r="P17" s="116"/>
      <c r="Q17" s="116"/>
      <c r="R17" s="267"/>
      <c r="S17" s="116"/>
      <c r="T17" s="116"/>
      <c r="U17" s="116"/>
      <c r="V17" s="116"/>
    </row>
    <row r="18" spans="1:22">
      <c r="B18" s="17"/>
      <c r="C18" s="234"/>
      <c r="D18" s="116" t="str">
        <f ca="1">IEAData!M18</f>
        <v>OILJTG</v>
      </c>
      <c r="E18" s="17"/>
      <c r="F18" s="17"/>
      <c r="G18" s="117"/>
      <c r="H18" s="117"/>
      <c r="I18" s="20"/>
      <c r="J18" s="61">
        <v>0</v>
      </c>
      <c r="K18" s="61">
        <f>G18</f>
        <v>0</v>
      </c>
      <c r="L18" s="267"/>
      <c r="M18" s="116"/>
      <c r="N18" s="116"/>
      <c r="O18" s="116"/>
      <c r="P18" s="116"/>
      <c r="Q18" s="116"/>
      <c r="R18" s="267"/>
      <c r="S18" s="116"/>
      <c r="T18" s="116"/>
      <c r="U18" s="116"/>
      <c r="V18" s="116"/>
    </row>
    <row r="19" spans="1:22">
      <c r="B19" s="5"/>
      <c r="C19" s="347"/>
      <c r="D19" s="5"/>
      <c r="E19" s="5" t="str">
        <f ca="1">IEAData!I51</f>
        <v>TRAAVG</v>
      </c>
      <c r="F19" s="5" t="s">
        <v>39</v>
      </c>
      <c r="G19" s="122"/>
      <c r="H19" s="122"/>
      <c r="I19" s="1"/>
      <c r="J19" s="206"/>
      <c r="K19" s="206"/>
      <c r="L19" s="268"/>
      <c r="M19" s="209"/>
      <c r="N19" s="209"/>
      <c r="O19" s="209"/>
      <c r="P19" s="209"/>
      <c r="Q19" s="209"/>
      <c r="R19" s="268"/>
      <c r="S19" s="209"/>
      <c r="T19" s="209"/>
      <c r="U19" s="209"/>
      <c r="V19" s="209"/>
    </row>
    <row r="20" spans="1:22">
      <c r="B20" s="17" t="str">
        <f>CONCATENATE("FT-",E22,"0")</f>
        <v>FT-TRAJTK0</v>
      </c>
      <c r="C20" s="234" t="s">
        <v>438</v>
      </c>
      <c r="D20" s="116" t="str">
        <f ca="1">IEAData!N18</f>
        <v>OILJTK</v>
      </c>
      <c r="E20" s="17"/>
      <c r="F20" s="17"/>
      <c r="G20" s="117">
        <v>1</v>
      </c>
      <c r="H20" s="117">
        <v>1</v>
      </c>
      <c r="I20" s="20"/>
      <c r="J20" s="61">
        <v>1</v>
      </c>
      <c r="K20" s="61">
        <v>1</v>
      </c>
      <c r="L20" s="267"/>
      <c r="M20" s="116"/>
      <c r="N20" s="116"/>
      <c r="O20" s="116"/>
      <c r="P20" s="116"/>
      <c r="Q20" s="116"/>
      <c r="R20" s="267"/>
      <c r="S20" s="116"/>
      <c r="T20" s="116"/>
      <c r="U20" s="116"/>
      <c r="V20" s="116"/>
    </row>
    <row r="21" spans="1:22">
      <c r="B21" s="17"/>
      <c r="C21" s="234"/>
      <c r="D21" s="116" t="str">
        <f ca="1">IEAData!O18</f>
        <v>OILKER</v>
      </c>
      <c r="E21" s="17"/>
      <c r="F21" s="17"/>
      <c r="G21" s="117"/>
      <c r="H21" s="117"/>
      <c r="I21" s="20"/>
      <c r="J21" s="61">
        <f ca="1">1-IF(AuxData!$J$29&lt;0.01,1,MIN(1,SUM(AuxData!N10,AuxData!N17)/AuxData!$J$29))</f>
        <v>0</v>
      </c>
      <c r="K21" s="61">
        <f>G21</f>
        <v>0</v>
      </c>
      <c r="L21" s="267"/>
      <c r="M21" s="116"/>
      <c r="N21" s="116"/>
      <c r="O21" s="116"/>
      <c r="P21" s="116"/>
      <c r="Q21" s="116"/>
      <c r="R21" s="267"/>
      <c r="S21" s="116"/>
      <c r="T21" s="116"/>
      <c r="U21" s="116"/>
      <c r="V21" s="116"/>
    </row>
    <row r="22" spans="1:22">
      <c r="B22" s="5"/>
      <c r="C22" s="347"/>
      <c r="D22" s="5"/>
      <c r="E22" s="5" t="str">
        <f ca="1">IEAData!J51</f>
        <v>TRAJTK</v>
      </c>
      <c r="F22" s="5" t="s">
        <v>40</v>
      </c>
      <c r="G22" s="122"/>
      <c r="H22" s="122"/>
      <c r="I22" s="1"/>
      <c r="J22" s="206"/>
      <c r="K22" s="206"/>
      <c r="L22" s="268"/>
      <c r="M22" s="209"/>
      <c r="N22" s="209"/>
      <c r="O22" s="209"/>
      <c r="P22" s="209"/>
      <c r="Q22" s="209"/>
      <c r="R22" s="268"/>
      <c r="S22" s="209"/>
      <c r="T22" s="209"/>
      <c r="U22" s="209"/>
      <c r="V22" s="209"/>
    </row>
    <row r="23" spans="1:22">
      <c r="B23" s="17" t="str">
        <f>CONCATENATE("FT-",E24,"0")</f>
        <v>FT-TRADSO0</v>
      </c>
      <c r="C23" s="234" t="s">
        <v>431</v>
      </c>
      <c r="D23" s="116" t="str">
        <f ca="1">IEAData!P18</f>
        <v>OILDST</v>
      </c>
      <c r="E23" s="17"/>
      <c r="F23" s="17"/>
      <c r="G23" s="117">
        <v>1</v>
      </c>
      <c r="H23" s="117">
        <v>1</v>
      </c>
      <c r="I23" s="20"/>
      <c r="J23" s="61"/>
      <c r="K23" s="61"/>
      <c r="L23" s="267"/>
      <c r="M23" s="116"/>
      <c r="N23" s="116"/>
      <c r="O23" s="116"/>
      <c r="P23" s="116"/>
      <c r="Q23" s="116"/>
      <c r="R23" s="267"/>
      <c r="S23" s="116"/>
      <c r="T23" s="116"/>
      <c r="U23" s="116"/>
      <c r="V23" s="116"/>
    </row>
    <row r="24" spans="1:22">
      <c r="B24" s="5"/>
      <c r="C24" s="347"/>
      <c r="D24" s="5"/>
      <c r="E24" s="5" t="str">
        <f ca="1">COMM!$C$35</f>
        <v>TRADSO</v>
      </c>
      <c r="F24" s="5" t="s">
        <v>427</v>
      </c>
      <c r="G24" s="122"/>
      <c r="H24" s="122"/>
      <c r="I24" s="1"/>
      <c r="J24" s="206"/>
      <c r="K24" s="206"/>
      <c r="L24" s="268"/>
      <c r="M24" s="209"/>
      <c r="N24" s="209"/>
      <c r="O24" s="209"/>
      <c r="P24" s="209"/>
      <c r="Q24" s="209"/>
      <c r="R24" s="268"/>
      <c r="S24" s="209"/>
      <c r="T24" s="209"/>
      <c r="U24" s="209"/>
      <c r="V24" s="209"/>
    </row>
    <row r="25" spans="1:22">
      <c r="B25" s="17" t="str">
        <f>CONCATENATE("FT-",E26,"0")</f>
        <v>FT-TRAHFO0</v>
      </c>
      <c r="C25" s="234" t="s">
        <v>325</v>
      </c>
      <c r="D25" s="116" t="str">
        <f ca="1">IEAData!Q18</f>
        <v>OILHFO</v>
      </c>
      <c r="E25" s="17"/>
      <c r="F25" s="17"/>
      <c r="G25" s="117">
        <v>1</v>
      </c>
      <c r="H25" s="117">
        <v>1</v>
      </c>
      <c r="I25" s="20"/>
      <c r="J25" s="61"/>
      <c r="K25" s="61"/>
      <c r="L25" s="267">
        <f ca="1">AuxData!L50*TRA_Fuels!$L$4^0.5</f>
        <v>12.11746272572568</v>
      </c>
      <c r="M25" s="116">
        <f>L25*$L$4</f>
        <v>14.540955270870816</v>
      </c>
      <c r="N25" s="116">
        <f>M25*$L$4</f>
        <v>17.449146325044978</v>
      </c>
      <c r="O25" s="116"/>
      <c r="P25" s="116"/>
      <c r="Q25" s="116"/>
      <c r="R25" s="267"/>
      <c r="S25" s="116"/>
      <c r="T25" s="116"/>
      <c r="U25" s="116"/>
      <c r="V25" s="116"/>
    </row>
    <row r="26" spans="1:22">
      <c r="B26" s="5"/>
      <c r="C26" s="347"/>
      <c r="D26" s="5"/>
      <c r="E26" s="5" t="str">
        <f ca="1">IEAData!L51</f>
        <v>TRAHFO</v>
      </c>
      <c r="F26" s="5" t="s">
        <v>42</v>
      </c>
      <c r="G26" s="122"/>
      <c r="H26" s="122"/>
      <c r="I26" s="1"/>
      <c r="J26" s="206"/>
      <c r="K26" s="206"/>
      <c r="L26" s="268"/>
      <c r="M26" s="209"/>
      <c r="N26" s="209"/>
      <c r="O26" s="209"/>
      <c r="P26" s="209"/>
      <c r="Q26" s="209"/>
      <c r="R26" s="268"/>
      <c r="S26" s="209"/>
      <c r="T26" s="209"/>
      <c r="U26" s="209"/>
      <c r="V26" s="209"/>
    </row>
    <row r="27" spans="1:22">
      <c r="B27" s="17" t="str">
        <f>CONCATENATE("FT-",E28,"0")</f>
        <v>FT-TRAOIL0</v>
      </c>
      <c r="C27" s="234" t="s">
        <v>325</v>
      </c>
      <c r="D27" s="116" t="str">
        <f ca="1">IEAData!Q18</f>
        <v>OILHFO</v>
      </c>
      <c r="E27" s="35"/>
      <c r="F27" s="35"/>
      <c r="G27" s="251">
        <v>1</v>
      </c>
      <c r="H27" s="251"/>
      <c r="I27" s="96"/>
      <c r="J27" s="92"/>
      <c r="K27" s="92"/>
      <c r="L27" s="267"/>
      <c r="M27" s="252"/>
      <c r="N27" s="252"/>
      <c r="O27" s="141"/>
      <c r="P27" s="141"/>
      <c r="Q27" s="141"/>
      <c r="R27" s="269"/>
      <c r="S27" s="141"/>
      <c r="T27" s="141"/>
      <c r="U27" s="141"/>
      <c r="V27" s="141"/>
    </row>
    <row r="28" spans="1:22">
      <c r="B28" s="5"/>
      <c r="C28" s="347"/>
      <c r="D28" s="5"/>
      <c r="E28" s="5" t="s">
        <v>442</v>
      </c>
      <c r="F28" s="5" t="s">
        <v>443</v>
      </c>
      <c r="G28" s="122"/>
      <c r="H28" s="122"/>
      <c r="I28" s="1"/>
      <c r="J28" s="206"/>
      <c r="K28" s="206"/>
      <c r="L28" s="268"/>
      <c r="M28" s="209"/>
      <c r="N28" s="209"/>
      <c r="O28" s="121">
        <f ca="1">IF(AuxData!$N$94&lt;=0,1,MAX(AuxData!$L$94/AuxData!$N$94,IEAData!$L$94/IEAData!$N$94))</f>
        <v>0.78391349107163788</v>
      </c>
      <c r="P28" s="121"/>
      <c r="Q28" s="121"/>
      <c r="R28" s="270"/>
      <c r="S28" s="121"/>
      <c r="T28" s="121"/>
      <c r="U28" s="121"/>
      <c r="V28" s="121"/>
    </row>
    <row r="29" spans="1:22">
      <c r="C29" s="140"/>
      <c r="J29" s="22"/>
      <c r="L29" s="22"/>
      <c r="M29" s="22"/>
    </row>
    <row r="30" spans="1:22">
      <c r="C30" s="140"/>
    </row>
    <row r="31" spans="1:22">
      <c r="C31" s="140"/>
      <c r="E31" s="22"/>
      <c r="F31" s="188"/>
    </row>
    <row r="32" spans="1:22" ht="18">
      <c r="A32" s="112"/>
      <c r="B32" s="100" t="s">
        <v>285</v>
      </c>
      <c r="C32" s="352"/>
      <c r="D32" s="111"/>
      <c r="F32" s="188"/>
      <c r="G32" s="302" t="str">
        <f>"~FI_T: "&amp;Region&amp;"~EUR10"</f>
        <v>~FI_T: FIN~EUR10</v>
      </c>
    </row>
    <row r="33" spans="1:22" ht="39" thickBot="1">
      <c r="A33" s="112"/>
      <c r="B33" s="48" t="s">
        <v>297</v>
      </c>
      <c r="C33" s="353" t="s">
        <v>298</v>
      </c>
      <c r="D33" s="48" t="s">
        <v>296</v>
      </c>
      <c r="E33" s="48" t="s">
        <v>299</v>
      </c>
      <c r="F33" s="48" t="s">
        <v>293</v>
      </c>
      <c r="G33" s="48" t="s">
        <v>389</v>
      </c>
      <c r="H33" s="48" t="s">
        <v>55</v>
      </c>
      <c r="I33" s="48" t="s">
        <v>401</v>
      </c>
      <c r="J33" s="48" t="s">
        <v>308</v>
      </c>
      <c r="K33" s="48" t="s">
        <v>305</v>
      </c>
      <c r="L33" s="210" t="s">
        <v>402</v>
      </c>
      <c r="M33" s="210" t="s">
        <v>306</v>
      </c>
      <c r="N33" s="210" t="s">
        <v>307</v>
      </c>
      <c r="O33" s="48" t="s">
        <v>59</v>
      </c>
      <c r="P33" s="210" t="s">
        <v>316</v>
      </c>
      <c r="Q33" s="48" t="s">
        <v>422</v>
      </c>
    </row>
    <row r="34" spans="1:22" ht="14.25">
      <c r="A34" s="112"/>
      <c r="B34" s="17" t="str">
        <f>CONCATENATE("FT-",E35,"0")</f>
        <v>FT-TTRELC0</v>
      </c>
      <c r="C34" s="234" t="s">
        <v>424</v>
      </c>
      <c r="D34" s="215" t="s">
        <v>400</v>
      </c>
      <c r="E34" s="17"/>
      <c r="F34" s="17"/>
      <c r="G34" s="17"/>
      <c r="H34" s="116">
        <v>1</v>
      </c>
      <c r="I34" s="61">
        <v>1</v>
      </c>
      <c r="J34" s="74"/>
      <c r="K34" s="117">
        <v>1</v>
      </c>
      <c r="L34" s="20">
        <v>1</v>
      </c>
      <c r="M34" s="20"/>
      <c r="N34" s="20"/>
      <c r="O34" s="20"/>
      <c r="P34" s="20"/>
      <c r="Q34" s="20"/>
    </row>
    <row r="35" spans="1:22" ht="14.25">
      <c r="A35" s="112"/>
      <c r="B35" s="17"/>
      <c r="C35" s="234"/>
      <c r="D35" s="215"/>
      <c r="E35" s="17" t="s">
        <v>420</v>
      </c>
      <c r="F35" s="17" t="s">
        <v>421</v>
      </c>
      <c r="G35" s="17"/>
      <c r="H35" s="116"/>
      <c r="I35" s="61"/>
      <c r="J35" s="74"/>
      <c r="K35" s="117"/>
      <c r="L35" s="20"/>
      <c r="M35" s="20"/>
      <c r="N35" s="20"/>
      <c r="O35" s="20"/>
      <c r="P35" s="20"/>
      <c r="Q35" s="20"/>
    </row>
    <row r="36" spans="1:22" ht="14.25">
      <c r="A36" s="112"/>
      <c r="B36" s="17" t="str">
        <f>CONCATENATE("FT-",E37,"0")</f>
        <v>FT-TRDELC0</v>
      </c>
      <c r="C36" s="234" t="s">
        <v>403</v>
      </c>
      <c r="D36" s="215" t="s">
        <v>272</v>
      </c>
      <c r="E36" s="17" t="s">
        <v>99</v>
      </c>
      <c r="F36" s="17" t="s">
        <v>45</v>
      </c>
      <c r="G36" s="240" t="str">
        <f>B36&amp;"_NRGO"</f>
        <v>FT-TRDELC0_NRGO</v>
      </c>
      <c r="H36" s="116"/>
      <c r="I36" s="61"/>
      <c r="J36" s="74"/>
      <c r="K36" s="117">
        <v>1</v>
      </c>
      <c r="L36" s="118">
        <v>1.5</v>
      </c>
      <c r="M36" s="20"/>
      <c r="N36" s="20"/>
      <c r="O36" s="20"/>
      <c r="P36" s="20"/>
      <c r="Q36" s="20">
        <v>1</v>
      </c>
    </row>
    <row r="37" spans="1:22">
      <c r="B37" s="190"/>
      <c r="C37" s="347"/>
      <c r="D37" s="5"/>
      <c r="E37" s="121" t="str">
        <f ca="1">COMM!C30</f>
        <v>TRDELC</v>
      </c>
      <c r="F37" s="5" t="s">
        <v>398</v>
      </c>
      <c r="G37" s="5"/>
      <c r="H37" s="120"/>
      <c r="I37" s="121"/>
      <c r="J37" s="121"/>
      <c r="K37" s="122"/>
      <c r="L37" s="1"/>
      <c r="M37" s="1"/>
      <c r="N37" s="1"/>
      <c r="O37" s="1"/>
      <c r="P37" s="1"/>
      <c r="Q37" s="1"/>
    </row>
    <row r="38" spans="1:22">
      <c r="B38" s="382"/>
      <c r="C38" s="382"/>
      <c r="D38" s="382"/>
      <c r="E38" s="382"/>
      <c r="F38" s="382"/>
      <c r="H38" s="382"/>
      <c r="I38" s="382"/>
      <c r="J38" s="382"/>
      <c r="K38" s="382"/>
      <c r="L38" s="382"/>
      <c r="M38" s="382"/>
      <c r="N38" s="382"/>
      <c r="O38" s="382"/>
      <c r="P38" s="382"/>
      <c r="Q38" s="382"/>
    </row>
    <row r="40" spans="1:22">
      <c r="F40" s="188"/>
    </row>
    <row r="41" spans="1:22">
      <c r="F41" s="188"/>
      <c r="G41" s="113"/>
      <c r="H41" s="114"/>
      <c r="I41" s="114"/>
      <c r="J41" s="115"/>
    </row>
    <row r="42" spans="1:22" ht="18">
      <c r="B42" s="208" t="s">
        <v>315</v>
      </c>
      <c r="C42" s="100"/>
      <c r="D42" s="100"/>
      <c r="E42" s="100"/>
      <c r="F42" s="302" t="str">
        <f>"~FI_T: "&amp;Region&amp;"~EUR10"</f>
        <v>~FI_T: FIN~EUR10</v>
      </c>
    </row>
    <row r="43" spans="1:22" ht="33.75" customHeight="1" thickBot="1">
      <c r="B43" s="48" t="s">
        <v>297</v>
      </c>
      <c r="C43" s="48" t="s">
        <v>298</v>
      </c>
      <c r="D43" s="48" t="s">
        <v>296</v>
      </c>
      <c r="E43" s="48" t="s">
        <v>299</v>
      </c>
      <c r="F43" s="48" t="s">
        <v>293</v>
      </c>
      <c r="G43" s="48" t="s">
        <v>583</v>
      </c>
      <c r="H43" s="48" t="s">
        <v>308</v>
      </c>
      <c r="I43" s="48" t="s">
        <v>401</v>
      </c>
      <c r="J43" s="48" t="s">
        <v>59</v>
      </c>
      <c r="K43" s="48" t="s">
        <v>316</v>
      </c>
      <c r="L43" s="48" t="str">
        <f ca="1">"Share~UP~"&amp;AuxYear</f>
        <v>Share~UP~2017</v>
      </c>
      <c r="M43" s="48" t="s">
        <v>391</v>
      </c>
      <c r="N43" s="48" t="s">
        <v>392</v>
      </c>
      <c r="O43" s="48" t="s">
        <v>402</v>
      </c>
      <c r="P43" s="48" t="s">
        <v>333</v>
      </c>
      <c r="Q43" s="48" t="s">
        <v>306</v>
      </c>
      <c r="R43" s="48" t="str">
        <f ca="1">"FLO_MARK~FX~"&amp;BaseYear</f>
        <v>FLO_MARK~FX~2010</v>
      </c>
      <c r="S43" s="48" t="str">
        <f ca="1">"FLO_MARK~FX~"&amp;AuxYear</f>
        <v>FLO_MARK~FX~2017</v>
      </c>
      <c r="T43" s="48" t="s">
        <v>441</v>
      </c>
      <c r="U43" s="48" t="s">
        <v>460</v>
      </c>
      <c r="V43" s="48" t="str">
        <f ca="1">"ACT_BND~LO~"&amp;AuxYear</f>
        <v>ACT_BND~LO~2017</v>
      </c>
    </row>
    <row r="44" spans="1:22">
      <c r="B44" s="17" t="str">
        <f>CONCATENATE("FT-",E45,"5")</f>
        <v>FT-TRANGA5</v>
      </c>
      <c r="C44" s="234" t="s">
        <v>581</v>
      </c>
      <c r="D44" s="116" t="s">
        <v>451</v>
      </c>
      <c r="E44" s="17"/>
      <c r="F44" s="17"/>
      <c r="G44" s="74"/>
      <c r="H44" s="247"/>
      <c r="I44" s="247">
        <v>1</v>
      </c>
      <c r="J44" s="340">
        <v>25</v>
      </c>
      <c r="K44" s="340">
        <v>40</v>
      </c>
      <c r="L44" s="61"/>
      <c r="M44" s="61"/>
      <c r="N44" s="61"/>
      <c r="O44" s="20"/>
      <c r="P44" s="289">
        <f ca="1">BaseYear</f>
        <v>2010</v>
      </c>
      <c r="Q44" s="340">
        <v>2</v>
      </c>
      <c r="R44" s="221"/>
      <c r="S44" s="221"/>
      <c r="T44" s="221"/>
      <c r="U44" s="287">
        <f ca="1">IEAData!$G$17</f>
        <v>2.009664E-3</v>
      </c>
      <c r="V44" s="287">
        <f ca="1">AuxData!$G$17</f>
        <v>1.2339879614815143E-2</v>
      </c>
    </row>
    <row r="45" spans="1:22">
      <c r="B45" s="190"/>
      <c r="C45" s="347"/>
      <c r="D45" s="5"/>
      <c r="E45" s="5" t="s">
        <v>100</v>
      </c>
      <c r="F45" s="5" t="s">
        <v>36</v>
      </c>
      <c r="G45" s="121"/>
      <c r="H45" s="248"/>
      <c r="I45" s="248"/>
      <c r="J45" s="341"/>
      <c r="K45" s="1"/>
      <c r="L45" s="206"/>
      <c r="M45" s="206"/>
      <c r="N45" s="206"/>
      <c r="O45" s="1"/>
      <c r="P45" s="290"/>
      <c r="Q45" s="354"/>
      <c r="R45" s="222"/>
      <c r="S45" s="222"/>
      <c r="T45" s="222"/>
      <c r="U45" s="222"/>
      <c r="V45" s="222"/>
    </row>
    <row r="46" spans="1:22" ht="30" customHeight="1">
      <c r="B46" s="17" t="str">
        <f>CONCATENATE("FT-",E47,"5")</f>
        <v>FT-TRALPG5</v>
      </c>
      <c r="C46" s="234" t="s">
        <v>327</v>
      </c>
      <c r="D46" s="116" t="s">
        <v>334</v>
      </c>
      <c r="E46" s="17"/>
      <c r="F46" s="17"/>
      <c r="G46" s="74"/>
      <c r="H46" s="247"/>
      <c r="I46" s="247">
        <v>1</v>
      </c>
      <c r="J46" s="342">
        <v>50</v>
      </c>
      <c r="K46" s="342">
        <v>20</v>
      </c>
      <c r="L46" s="61"/>
      <c r="M46" s="61"/>
      <c r="N46" s="61"/>
      <c r="O46" s="20"/>
      <c r="P46" s="289">
        <f ca="1">BaseYear+1</f>
        <v>2011</v>
      </c>
      <c r="Q46" s="340">
        <v>2</v>
      </c>
      <c r="R46" s="221"/>
      <c r="S46" s="221"/>
      <c r="T46" s="221"/>
      <c r="U46" s="221"/>
      <c r="V46" s="221"/>
    </row>
    <row r="47" spans="1:22">
      <c r="B47" s="190"/>
      <c r="C47" s="347"/>
      <c r="D47" s="5"/>
      <c r="E47" s="5" t="s">
        <v>101</v>
      </c>
      <c r="F47" s="5" t="s">
        <v>37</v>
      </c>
      <c r="G47" s="121"/>
      <c r="H47" s="248"/>
      <c r="I47" s="248"/>
      <c r="J47" s="341"/>
      <c r="K47" s="1"/>
      <c r="L47" s="206"/>
      <c r="M47" s="206"/>
      <c r="N47" s="206"/>
      <c r="O47" s="1"/>
      <c r="P47" s="290"/>
      <c r="Q47" s="354"/>
      <c r="R47" s="222"/>
      <c r="S47" s="222"/>
      <c r="T47" s="222"/>
      <c r="U47" s="222"/>
      <c r="V47" s="222"/>
    </row>
    <row r="48" spans="1:22">
      <c r="B48" s="17" t="str">
        <f>CONCATENATE("FT-",E49,"5")</f>
        <v>FT-TRAGSL5</v>
      </c>
      <c r="C48" s="234" t="s">
        <v>432</v>
      </c>
      <c r="D48" s="116" t="s">
        <v>388</v>
      </c>
      <c r="E48" s="17"/>
      <c r="F48" s="17"/>
      <c r="G48" s="74"/>
      <c r="H48" s="247"/>
      <c r="I48" s="247">
        <v>1</v>
      </c>
      <c r="J48" s="332">
        <v>50</v>
      </c>
      <c r="K48" s="20"/>
      <c r="L48" s="61"/>
      <c r="M48" s="61"/>
      <c r="N48" s="61"/>
      <c r="O48" s="20"/>
      <c r="P48" s="289">
        <f ca="1">BaseYear</f>
        <v>2010</v>
      </c>
      <c r="Q48" s="340">
        <v>3</v>
      </c>
      <c r="R48" s="221"/>
      <c r="S48" s="221"/>
      <c r="T48" s="221"/>
      <c r="U48" s="221"/>
      <c r="V48" s="221"/>
    </row>
    <row r="49" spans="2:22">
      <c r="B49" s="5"/>
      <c r="C49" s="347"/>
      <c r="D49" s="5"/>
      <c r="E49" s="5" t="s">
        <v>172</v>
      </c>
      <c r="F49" s="5" t="s">
        <v>38</v>
      </c>
      <c r="G49" s="121"/>
      <c r="H49" s="248"/>
      <c r="I49" s="248"/>
      <c r="J49" s="341"/>
      <c r="K49" s="1"/>
      <c r="L49" s="206"/>
      <c r="M49" s="206"/>
      <c r="N49" s="206"/>
      <c r="O49" s="1"/>
      <c r="P49" s="290"/>
      <c r="Q49" s="354"/>
      <c r="R49" s="263">
        <f ca="1">1/(1+IEAData!$H95/MAX(Tiny,IEAData!$Q95))</f>
        <v>2.9519544111564468E-2</v>
      </c>
      <c r="S49" s="263">
        <f ca="1">1/(1+AuxData!$H95/MAX(Tiny,AuxData!$Q95))</f>
        <v>8.33409693462802E-2</v>
      </c>
      <c r="T49" s="241"/>
      <c r="U49" s="241"/>
      <c r="V49" s="241"/>
    </row>
    <row r="50" spans="2:22">
      <c r="B50" s="17" t="str">
        <f>CONCATENATE("FT-",E51,"6")</f>
        <v>FT-TRAGSL6</v>
      </c>
      <c r="C50" s="234" t="s">
        <v>453</v>
      </c>
      <c r="D50" s="116" t="s">
        <v>454</v>
      </c>
      <c r="E50" s="17"/>
      <c r="F50" s="17"/>
      <c r="G50" s="74"/>
      <c r="H50" s="247"/>
      <c r="I50" s="247">
        <v>1</v>
      </c>
      <c r="J50" s="342"/>
      <c r="K50" s="20"/>
      <c r="L50" s="61"/>
      <c r="M50" s="61"/>
      <c r="N50" s="61"/>
      <c r="O50" s="20"/>
      <c r="P50" s="289">
        <f ca="1">BaseYear+6</f>
        <v>2016</v>
      </c>
      <c r="Q50" s="340">
        <v>3</v>
      </c>
      <c r="R50" s="221"/>
      <c r="S50" s="221"/>
      <c r="T50" s="221"/>
      <c r="U50" s="221"/>
      <c r="V50" s="221"/>
    </row>
    <row r="51" spans="2:22">
      <c r="B51" s="190"/>
      <c r="C51" s="347"/>
      <c r="D51" s="5"/>
      <c r="E51" s="5" t="s">
        <v>172</v>
      </c>
      <c r="F51" s="5" t="s">
        <v>38</v>
      </c>
      <c r="G51" s="121"/>
      <c r="H51" s="248"/>
      <c r="I51" s="248"/>
      <c r="J51" s="341"/>
      <c r="K51" s="1"/>
      <c r="L51" s="206"/>
      <c r="M51" s="206"/>
      <c r="N51" s="206"/>
      <c r="O51" s="1"/>
      <c r="P51" s="290"/>
      <c r="Q51" s="354"/>
      <c r="R51" s="222"/>
      <c r="S51" s="222"/>
      <c r="T51" s="222"/>
      <c r="U51" s="222"/>
      <c r="V51" s="222"/>
    </row>
    <row r="52" spans="2:22">
      <c r="B52" s="17" t="str">
        <f>CONCATENATE("FT-",E54,"5")</f>
        <v>FT-TRAJTK5</v>
      </c>
      <c r="C52" s="234" t="s">
        <v>328</v>
      </c>
      <c r="D52" s="116" t="s">
        <v>133</v>
      </c>
      <c r="E52" s="17"/>
      <c r="F52" s="17"/>
      <c r="G52" s="216"/>
      <c r="H52" s="247">
        <v>1</v>
      </c>
      <c r="I52" s="247"/>
      <c r="J52" s="332">
        <v>50</v>
      </c>
      <c r="K52" s="20"/>
      <c r="L52" s="61"/>
      <c r="M52" s="61"/>
      <c r="N52" s="61"/>
      <c r="O52" s="20"/>
      <c r="P52" s="289">
        <f ca="1">BaseYear+5</f>
        <v>2015</v>
      </c>
      <c r="Q52" s="340">
        <v>3</v>
      </c>
      <c r="R52" s="221"/>
      <c r="S52" s="221"/>
      <c r="T52" s="221"/>
      <c r="U52" s="221"/>
      <c r="V52" s="221"/>
    </row>
    <row r="53" spans="2:22">
      <c r="B53" s="17"/>
      <c r="C53" s="234"/>
      <c r="D53" s="116" t="s">
        <v>433</v>
      </c>
      <c r="E53" s="17"/>
      <c r="F53" s="17"/>
      <c r="G53" s="216"/>
      <c r="H53" s="247"/>
      <c r="I53" s="247"/>
      <c r="J53" s="342"/>
      <c r="K53" s="20"/>
      <c r="L53" s="61">
        <v>3.3000000000000002E-2</v>
      </c>
      <c r="M53" s="61">
        <v>0.5</v>
      </c>
      <c r="N53" s="61">
        <v>0.7</v>
      </c>
      <c r="O53" s="20"/>
      <c r="P53" s="289"/>
      <c r="Q53" s="340"/>
      <c r="R53" s="221"/>
      <c r="S53" s="221"/>
      <c r="T53" s="221"/>
      <c r="U53" s="221"/>
      <c r="V53" s="221"/>
    </row>
    <row r="54" spans="2:22">
      <c r="B54" s="5"/>
      <c r="C54" s="347"/>
      <c r="D54" s="5"/>
      <c r="E54" s="5" t="s">
        <v>135</v>
      </c>
      <c r="F54" s="5" t="s">
        <v>40</v>
      </c>
      <c r="G54" s="121"/>
      <c r="H54" s="248"/>
      <c r="I54" s="248"/>
      <c r="J54" s="341"/>
      <c r="K54" s="1"/>
      <c r="L54" s="206"/>
      <c r="M54" s="206"/>
      <c r="N54" s="206"/>
      <c r="O54" s="1"/>
      <c r="P54" s="290"/>
      <c r="Q54" s="354"/>
      <c r="R54" s="222"/>
      <c r="S54" s="222"/>
      <c r="T54" s="222"/>
      <c r="U54" s="222"/>
      <c r="V54" s="222"/>
    </row>
    <row r="55" spans="2:22">
      <c r="B55" s="17" t="str">
        <f>CONCATENATE("FT-",E58,"5")</f>
        <v>FT-TRAJET5</v>
      </c>
      <c r="C55" s="234" t="s">
        <v>577</v>
      </c>
      <c r="D55" s="116" t="s">
        <v>133</v>
      </c>
      <c r="E55" s="17"/>
      <c r="F55" s="17"/>
      <c r="G55" s="216"/>
      <c r="H55" s="247">
        <v>1</v>
      </c>
      <c r="I55" s="247"/>
      <c r="J55" s="332">
        <v>50</v>
      </c>
      <c r="K55" s="20"/>
      <c r="L55" s="61"/>
      <c r="M55" s="61"/>
      <c r="N55" s="61"/>
      <c r="O55" s="20"/>
      <c r="P55" s="289"/>
      <c r="Q55" s="340">
        <v>1</v>
      </c>
      <c r="R55" s="221"/>
      <c r="S55" s="221"/>
      <c r="T55" s="221"/>
      <c r="U55" s="221"/>
      <c r="V55" s="221"/>
    </row>
    <row r="56" spans="2:22">
      <c r="B56" s="17"/>
      <c r="C56" s="234"/>
      <c r="D56" s="116" t="s">
        <v>131</v>
      </c>
      <c r="E56" s="17"/>
      <c r="F56" s="17"/>
      <c r="G56" s="216"/>
      <c r="H56" s="247"/>
      <c r="I56" s="265">
        <f ca="1">ROUND(1-1/(1+IEAData!I75/IEAData!J75),3)</f>
        <v>0</v>
      </c>
      <c r="J56" s="342"/>
      <c r="K56" s="20"/>
      <c r="L56" s="61"/>
      <c r="M56" s="61"/>
      <c r="N56" s="61"/>
      <c r="O56" s="20"/>
      <c r="P56" s="289"/>
      <c r="Q56" s="340"/>
      <c r="R56" s="221"/>
      <c r="S56" s="221"/>
      <c r="T56" s="246">
        <v>3</v>
      </c>
      <c r="U56" s="246"/>
      <c r="V56" s="246"/>
    </row>
    <row r="57" spans="2:22">
      <c r="B57" s="17"/>
      <c r="C57" s="234"/>
      <c r="D57" s="116" t="s">
        <v>433</v>
      </c>
      <c r="E57" s="17"/>
      <c r="F57" s="17"/>
      <c r="G57" s="216"/>
      <c r="H57" s="247"/>
      <c r="I57" s="247"/>
      <c r="J57" s="342"/>
      <c r="K57" s="20"/>
      <c r="L57" s="61">
        <v>3.3000000000000002E-2</v>
      </c>
      <c r="M57" s="61">
        <v>0.5</v>
      </c>
      <c r="N57" s="61">
        <v>0.7</v>
      </c>
      <c r="O57" s="20"/>
      <c r="P57" s="289"/>
      <c r="Q57" s="340"/>
      <c r="R57" s="221"/>
      <c r="S57" s="221"/>
      <c r="T57" s="221"/>
      <c r="U57" s="221"/>
      <c r="V57" s="221"/>
    </row>
    <row r="58" spans="2:22">
      <c r="B58" s="5"/>
      <c r="C58" s="347"/>
      <c r="D58" s="5"/>
      <c r="E58" s="5" t="s">
        <v>440</v>
      </c>
      <c r="F58" s="5" t="s">
        <v>576</v>
      </c>
      <c r="G58" s="121"/>
      <c r="H58" s="248"/>
      <c r="I58" s="248"/>
      <c r="J58" s="341"/>
      <c r="K58" s="1"/>
      <c r="L58" s="206"/>
      <c r="M58" s="206"/>
      <c r="N58" s="206"/>
      <c r="O58" s="1"/>
      <c r="P58" s="290"/>
      <c r="Q58" s="354"/>
      <c r="R58" s="222"/>
      <c r="S58" s="222"/>
      <c r="T58" s="222"/>
      <c r="U58" s="222"/>
      <c r="V58" s="222"/>
    </row>
    <row r="59" spans="2:22">
      <c r="B59" s="17" t="str">
        <f>CONCATENATE("FT-",E61,"5")</f>
        <v>FT-TRADST5</v>
      </c>
      <c r="C59" s="234" t="s">
        <v>329</v>
      </c>
      <c r="D59" s="116" t="s">
        <v>94</v>
      </c>
      <c r="E59" s="17"/>
      <c r="F59" s="17"/>
      <c r="G59" s="74"/>
      <c r="H59" s="247">
        <v>1</v>
      </c>
      <c r="I59" s="247"/>
      <c r="J59" s="332">
        <v>50</v>
      </c>
      <c r="K59" s="20"/>
      <c r="L59" s="61">
        <v>1</v>
      </c>
      <c r="M59" s="61">
        <v>1</v>
      </c>
      <c r="N59" s="61">
        <v>1</v>
      </c>
      <c r="O59" s="20"/>
      <c r="P59" s="289"/>
      <c r="Q59" s="340">
        <v>2.5</v>
      </c>
      <c r="R59" s="221"/>
      <c r="S59" s="221"/>
      <c r="T59" s="221"/>
      <c r="U59" s="221"/>
      <c r="V59" s="221"/>
    </row>
    <row r="60" spans="2:22">
      <c r="B60" s="17"/>
      <c r="C60" s="234"/>
      <c r="D60" s="116" t="s">
        <v>360</v>
      </c>
      <c r="E60" s="17"/>
      <c r="F60" s="17"/>
      <c r="G60" s="74"/>
      <c r="H60" s="247"/>
      <c r="I60" s="247"/>
      <c r="J60" s="342"/>
      <c r="K60" s="20"/>
      <c r="L60" s="61">
        <f ca="1">AuxData!$N24/AuxData!$K45</f>
        <v>9.9167265411474331E-2</v>
      </c>
      <c r="M60" s="61">
        <v>0.7</v>
      </c>
      <c r="N60" s="61">
        <v>0.9</v>
      </c>
      <c r="O60" s="20"/>
      <c r="P60" s="289"/>
      <c r="Q60" s="340"/>
      <c r="R60" s="221"/>
      <c r="S60" s="221"/>
      <c r="T60" s="221"/>
      <c r="U60" s="221"/>
      <c r="V60" s="221"/>
    </row>
    <row r="61" spans="2:22">
      <c r="B61" s="5"/>
      <c r="C61" s="347"/>
      <c r="D61" s="5"/>
      <c r="E61" s="5" t="s">
        <v>104</v>
      </c>
      <c r="F61" s="5" t="s">
        <v>41</v>
      </c>
      <c r="G61" s="121"/>
      <c r="H61" s="248"/>
      <c r="I61" s="248"/>
      <c r="J61" s="341"/>
      <c r="K61" s="1"/>
      <c r="L61" s="206"/>
      <c r="M61" s="206"/>
      <c r="N61" s="206"/>
      <c r="O61" s="1"/>
      <c r="P61" s="290"/>
      <c r="Q61" s="354"/>
      <c r="R61" s="222"/>
      <c r="S61" s="222"/>
      <c r="T61" s="222"/>
      <c r="U61" s="222"/>
      <c r="V61" s="222"/>
    </row>
    <row r="62" spans="2:22">
      <c r="B62" s="17" t="str">
        <f>CONCATENATE("FT-",E63,"5")</f>
        <v>FT-TRADSO5</v>
      </c>
      <c r="C62" s="234" t="s">
        <v>429</v>
      </c>
      <c r="D62" s="116" t="s">
        <v>360</v>
      </c>
      <c r="E62" s="17"/>
      <c r="F62" s="17"/>
      <c r="G62" s="74"/>
      <c r="H62" s="247"/>
      <c r="I62" s="247">
        <v>1</v>
      </c>
      <c r="J62" s="332">
        <v>50</v>
      </c>
      <c r="K62" s="20"/>
      <c r="L62" s="20"/>
      <c r="M62" s="20"/>
      <c r="N62" s="20"/>
      <c r="O62" s="61"/>
      <c r="P62" s="289"/>
      <c r="Q62" s="340">
        <v>2</v>
      </c>
      <c r="R62" s="221"/>
      <c r="S62" s="221"/>
      <c r="T62" s="221"/>
      <c r="U62" s="288">
        <f ca="1">SUM(IEAData!$N$25:$N$26)</f>
        <v>8.0005561200000005E-2</v>
      </c>
      <c r="V62" s="288">
        <f ca="1">SUM(AuxData!$N$25:$N$26)</f>
        <v>8.1280761999999993E-2</v>
      </c>
    </row>
    <row r="63" spans="2:22">
      <c r="B63" s="190"/>
      <c r="C63" s="347"/>
      <c r="D63" s="5"/>
      <c r="E63" s="5" t="s">
        <v>426</v>
      </c>
      <c r="F63" s="5" t="s">
        <v>430</v>
      </c>
      <c r="G63" s="121"/>
      <c r="H63" s="248"/>
      <c r="I63" s="248"/>
      <c r="J63" s="341"/>
      <c r="K63" s="1"/>
      <c r="L63" s="1"/>
      <c r="M63" s="1"/>
      <c r="N63" s="1"/>
      <c r="O63" s="206"/>
      <c r="P63" s="291"/>
      <c r="Q63" s="354"/>
      <c r="R63" s="5"/>
      <c r="S63" s="5"/>
      <c r="T63" s="5"/>
      <c r="U63" s="5"/>
      <c r="V63" s="5"/>
    </row>
    <row r="64" spans="2:22">
      <c r="B64" s="17" t="str">
        <f>CONCATENATE("FT-",E65,"5")</f>
        <v>FT-TRAHFO5</v>
      </c>
      <c r="C64" s="234" t="s">
        <v>330</v>
      </c>
      <c r="D64" s="116" t="s">
        <v>93</v>
      </c>
      <c r="E64" s="17"/>
      <c r="F64" s="17"/>
      <c r="G64" s="74"/>
      <c r="H64" s="247"/>
      <c r="I64" s="247">
        <v>1</v>
      </c>
      <c r="J64" s="332">
        <v>50</v>
      </c>
      <c r="K64" s="20"/>
      <c r="L64" s="61"/>
      <c r="M64" s="61"/>
      <c r="N64" s="61"/>
      <c r="O64" s="20"/>
      <c r="P64" s="289"/>
      <c r="Q64" s="340">
        <v>2</v>
      </c>
      <c r="R64" s="221"/>
      <c r="S64" s="221"/>
      <c r="T64" s="221"/>
      <c r="U64" s="221"/>
      <c r="V64" s="221"/>
    </row>
    <row r="65" spans="2:22">
      <c r="B65" s="5"/>
      <c r="C65" s="347"/>
      <c r="D65" s="5"/>
      <c r="E65" s="5" t="s">
        <v>103</v>
      </c>
      <c r="F65" s="5" t="s">
        <v>42</v>
      </c>
      <c r="G65" s="121"/>
      <c r="H65" s="248"/>
      <c r="I65" s="248"/>
      <c r="J65" s="341"/>
      <c r="K65" s="1"/>
      <c r="L65" s="206"/>
      <c r="M65" s="206"/>
      <c r="N65" s="206"/>
      <c r="O65" s="1"/>
      <c r="P65" s="291"/>
      <c r="Q65" s="354"/>
      <c r="R65" s="5"/>
      <c r="S65" s="5"/>
      <c r="T65" s="5"/>
      <c r="U65" s="5"/>
      <c r="V65" s="5"/>
    </row>
    <row r="66" spans="2:22">
      <c r="B66" s="17" t="str">
        <f>CONCATENATE("FT-",E67,"5")</f>
        <v>FT-TRAMET5</v>
      </c>
      <c r="C66" s="234" t="s">
        <v>358</v>
      </c>
      <c r="D66" s="116" t="s">
        <v>387</v>
      </c>
      <c r="E66" s="17"/>
      <c r="F66" s="17"/>
      <c r="G66" s="74"/>
      <c r="H66" s="247"/>
      <c r="I66" s="247">
        <v>1</v>
      </c>
      <c r="J66" s="332">
        <v>50</v>
      </c>
      <c r="K66" s="20"/>
      <c r="L66" s="20"/>
      <c r="M66" s="20"/>
      <c r="N66" s="20"/>
      <c r="O66" s="61"/>
      <c r="P66" s="289"/>
      <c r="Q66" s="340">
        <v>3</v>
      </c>
      <c r="R66" s="221"/>
      <c r="S66" s="221"/>
      <c r="T66" s="221"/>
      <c r="U66" s="221"/>
      <c r="V66" s="221"/>
    </row>
    <row r="67" spans="2:22">
      <c r="B67" s="190"/>
      <c r="C67" s="347"/>
      <c r="D67" s="5"/>
      <c r="E67" s="5" t="str">
        <f ca="1">IEAData!D54</f>
        <v>TRAMET</v>
      </c>
      <c r="F67" s="5" t="s">
        <v>43</v>
      </c>
      <c r="G67" s="121"/>
      <c r="H67" s="248"/>
      <c r="I67" s="248"/>
      <c r="J67" s="341"/>
      <c r="K67" s="1"/>
      <c r="L67" s="1"/>
      <c r="M67" s="1"/>
      <c r="N67" s="1"/>
      <c r="O67" s="206"/>
      <c r="P67" s="291"/>
      <c r="Q67" s="354"/>
      <c r="R67" s="5"/>
      <c r="S67" s="5"/>
      <c r="T67" s="5"/>
      <c r="U67" s="5"/>
      <c r="V67" s="5"/>
    </row>
    <row r="68" spans="2:22">
      <c r="B68" s="17" t="str">
        <f>CONCATENATE("FT-",E69,"5")</f>
        <v>FT-TRAETH5</v>
      </c>
      <c r="C68" s="234" t="s">
        <v>359</v>
      </c>
      <c r="D68" s="116" t="s">
        <v>388</v>
      </c>
      <c r="E68" s="17"/>
      <c r="F68" s="17"/>
      <c r="G68" s="74"/>
      <c r="H68" s="247"/>
      <c r="I68" s="247">
        <v>1</v>
      </c>
      <c r="J68" s="332">
        <v>50</v>
      </c>
      <c r="K68" s="20"/>
      <c r="L68" s="20"/>
      <c r="M68" s="20"/>
      <c r="N68" s="20"/>
      <c r="O68" s="61"/>
      <c r="P68" s="289"/>
      <c r="Q68" s="340">
        <v>3</v>
      </c>
      <c r="R68" s="221"/>
      <c r="S68" s="221"/>
      <c r="T68" s="221"/>
      <c r="U68" s="221"/>
      <c r="V68" s="221"/>
    </row>
    <row r="69" spans="2:22">
      <c r="B69" s="190"/>
      <c r="C69" s="347"/>
      <c r="D69" s="5"/>
      <c r="E69" s="5" t="s">
        <v>163</v>
      </c>
      <c r="F69" s="5" t="s">
        <v>44</v>
      </c>
      <c r="G69" s="121"/>
      <c r="H69" s="248"/>
      <c r="I69" s="248"/>
      <c r="J69" s="341"/>
      <c r="K69" s="1"/>
      <c r="L69" s="1"/>
      <c r="M69" s="1"/>
      <c r="N69" s="1"/>
      <c r="O69" s="206"/>
      <c r="P69" s="291"/>
      <c r="Q69" s="354"/>
      <c r="R69" s="5"/>
      <c r="S69" s="5"/>
      <c r="T69" s="5"/>
      <c r="U69" s="5"/>
      <c r="V69" s="5"/>
    </row>
    <row r="70" spans="2:22">
      <c r="B70" s="17" t="str">
        <f>CONCATENATE("FT-",E74,"5")</f>
        <v>FT-TRAOIL5</v>
      </c>
      <c r="C70" s="234" t="s">
        <v>325</v>
      </c>
      <c r="D70" s="116" t="s">
        <v>94</v>
      </c>
      <c r="E70" s="35"/>
      <c r="F70" s="35"/>
      <c r="G70" s="141">
        <f ca="1">IF(IEAData!K94&gt;0,1/(1+SUM(IEAData!G94:J94)/IEAData!K94),0)</f>
        <v>1</v>
      </c>
      <c r="H70" s="344">
        <v>1</v>
      </c>
      <c r="I70" s="251"/>
      <c r="J70" s="280"/>
      <c r="K70" s="92"/>
      <c r="L70" s="92">
        <f>1-L72-L73+0.01</f>
        <v>0.9390642933202884</v>
      </c>
      <c r="M70" s="92">
        <f>L70</f>
        <v>0.9390642933202884</v>
      </c>
      <c r="N70" s="92">
        <f>M70</f>
        <v>0.9390642933202884</v>
      </c>
      <c r="O70" s="92"/>
      <c r="P70" s="289"/>
      <c r="Q70" s="343">
        <v>1</v>
      </c>
      <c r="R70" s="252"/>
      <c r="S70" s="252"/>
      <c r="T70" s="252"/>
      <c r="U70" s="252"/>
      <c r="V70" s="252"/>
    </row>
    <row r="71" spans="2:22">
      <c r="B71" s="17"/>
      <c r="C71" s="234"/>
      <c r="D71" s="116" t="s">
        <v>96</v>
      </c>
      <c r="E71" s="35"/>
      <c r="F71" s="35"/>
      <c r="G71" s="141"/>
      <c r="H71" s="251"/>
      <c r="I71" s="251"/>
      <c r="J71" s="280"/>
      <c r="K71" s="92"/>
      <c r="L71" s="92"/>
      <c r="M71" s="92"/>
      <c r="N71" s="92"/>
      <c r="O71" s="92"/>
      <c r="P71" s="289"/>
      <c r="Q71" s="343"/>
      <c r="R71" s="252"/>
      <c r="S71" s="252"/>
      <c r="T71" s="252"/>
      <c r="U71" s="252"/>
      <c r="V71" s="252"/>
    </row>
    <row r="72" spans="2:22">
      <c r="B72" s="17"/>
      <c r="C72" s="234"/>
      <c r="D72" s="116" t="s">
        <v>450</v>
      </c>
      <c r="E72" s="35"/>
      <c r="F72" s="35"/>
      <c r="G72" s="141">
        <v>0</v>
      </c>
      <c r="H72" s="251"/>
      <c r="I72" s="251"/>
      <c r="J72" s="280"/>
      <c r="K72" s="92"/>
      <c r="L72" s="92">
        <f ca="1">AuxData!F94/(AuxData!$N94-AuxData!$L94)</f>
        <v>6.0935706679711571E-2</v>
      </c>
      <c r="M72" s="92">
        <v>0.65</v>
      </c>
      <c r="N72" s="92">
        <v>0.9</v>
      </c>
      <c r="O72" s="92"/>
      <c r="P72" s="289"/>
      <c r="Q72" s="343"/>
      <c r="R72" s="252"/>
      <c r="S72" s="252"/>
      <c r="T72" s="252"/>
      <c r="U72" s="252"/>
      <c r="V72" s="252"/>
    </row>
    <row r="73" spans="2:22">
      <c r="B73" s="35"/>
      <c r="C73" s="348"/>
      <c r="D73" s="35" t="s">
        <v>360</v>
      </c>
      <c r="E73" s="35"/>
      <c r="F73" s="35"/>
      <c r="G73" s="141">
        <v>0</v>
      </c>
      <c r="H73" s="251"/>
      <c r="I73" s="251"/>
      <c r="J73" s="280"/>
      <c r="K73" s="92"/>
      <c r="L73" s="92">
        <v>0.01</v>
      </c>
      <c r="M73" s="92">
        <v>0.7</v>
      </c>
      <c r="N73" s="92">
        <v>0.9</v>
      </c>
      <c r="O73" s="92"/>
      <c r="P73" s="292"/>
      <c r="Q73" s="343"/>
      <c r="R73" s="252"/>
      <c r="S73" s="252"/>
      <c r="T73" s="252"/>
      <c r="U73" s="252"/>
      <c r="V73" s="252"/>
    </row>
    <row r="74" spans="2:22">
      <c r="B74" s="5"/>
      <c r="C74" s="347"/>
      <c r="D74" s="5"/>
      <c r="E74" s="5" t="s">
        <v>442</v>
      </c>
      <c r="F74" s="5" t="s">
        <v>443</v>
      </c>
      <c r="G74" s="121"/>
      <c r="H74" s="122"/>
      <c r="I74" s="122"/>
      <c r="J74" s="341"/>
      <c r="K74" s="206"/>
      <c r="L74" s="206"/>
      <c r="M74" s="206"/>
      <c r="N74" s="206"/>
      <c r="O74" s="206"/>
      <c r="P74" s="293"/>
      <c r="Q74" s="354"/>
      <c r="R74" s="209"/>
      <c r="S74" s="209"/>
      <c r="T74" s="209"/>
      <c r="U74" s="209"/>
      <c r="V74" s="209"/>
    </row>
    <row r="75" spans="2:22">
      <c r="B75" s="17" t="str">
        <f>CONCATENATE("FT-",E76,"5")</f>
        <v>FT-TRALNG5</v>
      </c>
      <c r="C75" s="234" t="s">
        <v>578</v>
      </c>
      <c r="D75" s="116" t="s">
        <v>450</v>
      </c>
      <c r="E75" s="17"/>
      <c r="F75" s="17"/>
      <c r="G75" s="74"/>
      <c r="H75" s="247"/>
      <c r="I75" s="247">
        <v>1</v>
      </c>
      <c r="J75" s="280">
        <v>50</v>
      </c>
      <c r="K75" s="92"/>
      <c r="L75" s="92"/>
      <c r="M75" s="92"/>
      <c r="N75" s="92"/>
      <c r="O75" s="343">
        <v>0.5</v>
      </c>
      <c r="P75" s="292"/>
      <c r="Q75" s="343">
        <v>1</v>
      </c>
      <c r="R75" s="252"/>
      <c r="S75" s="252"/>
      <c r="T75" s="252"/>
      <c r="U75" s="252"/>
      <c r="V75" s="252"/>
    </row>
    <row r="76" spans="2:22">
      <c r="B76" s="190"/>
      <c r="C76" s="347"/>
      <c r="D76" s="5"/>
      <c r="E76" s="5" t="s">
        <v>573</v>
      </c>
      <c r="F76" s="5" t="s">
        <v>574</v>
      </c>
      <c r="G76" s="121"/>
      <c r="H76" s="248"/>
      <c r="I76" s="248"/>
      <c r="J76" s="341"/>
      <c r="K76" s="1"/>
      <c r="L76" s="1"/>
      <c r="M76" s="1"/>
      <c r="N76" s="1"/>
      <c r="O76" s="206"/>
      <c r="P76" s="291"/>
      <c r="Q76" s="354"/>
      <c r="R76" s="5"/>
      <c r="S76" s="5"/>
      <c r="T76" s="5"/>
      <c r="U76" s="5"/>
      <c r="V76" s="5"/>
    </row>
    <row r="77" spans="2:22">
      <c r="B77" s="17" t="str">
        <f>CONCATENATE("FT-",E79,"0")</f>
        <v>FT-TRAHH20</v>
      </c>
      <c r="C77" s="349" t="s">
        <v>539</v>
      </c>
      <c r="D77" s="329" t="s">
        <v>569</v>
      </c>
      <c r="E77" s="328"/>
      <c r="F77" s="330"/>
      <c r="G77" s="331"/>
      <c r="H77" s="337">
        <v>1</v>
      </c>
      <c r="I77" s="331"/>
      <c r="J77" s="332">
        <v>50</v>
      </c>
      <c r="K77" s="332"/>
      <c r="L77" s="27"/>
      <c r="M77" s="27"/>
      <c r="N77" s="27"/>
      <c r="O77" s="332">
        <v>1</v>
      </c>
      <c r="P77" s="289">
        <f ca="1">BaseYear+10</f>
        <v>2020</v>
      </c>
      <c r="Q77" s="343">
        <v>3</v>
      </c>
      <c r="R77" s="289"/>
      <c r="S77" s="289"/>
      <c r="T77" s="289"/>
      <c r="U77" s="289"/>
      <c r="V77" s="289"/>
    </row>
    <row r="78" spans="2:22">
      <c r="B78" s="328"/>
      <c r="C78" s="349"/>
      <c r="D78" s="329" t="s">
        <v>541</v>
      </c>
      <c r="E78" s="328"/>
      <c r="F78" s="333"/>
      <c r="G78" s="331"/>
      <c r="H78" s="333"/>
      <c r="I78" s="331"/>
      <c r="J78" s="332"/>
      <c r="K78" s="27"/>
      <c r="L78" s="27"/>
      <c r="M78" s="27"/>
      <c r="N78" s="27"/>
      <c r="O78" s="27"/>
      <c r="P78" s="289"/>
      <c r="Q78" s="92"/>
      <c r="R78" s="252"/>
      <c r="S78" s="252"/>
      <c r="T78" s="252"/>
      <c r="U78" s="252"/>
      <c r="V78" s="252"/>
    </row>
    <row r="79" spans="2:22">
      <c r="B79" s="190"/>
      <c r="C79" s="350"/>
      <c r="D79" s="334"/>
      <c r="E79" s="334" t="s">
        <v>542</v>
      </c>
      <c r="F79" s="335" t="s">
        <v>543</v>
      </c>
      <c r="G79" s="336"/>
      <c r="H79" s="335"/>
      <c r="I79" s="336"/>
      <c r="J79" s="336"/>
      <c r="K79" s="336"/>
      <c r="L79" s="336"/>
      <c r="M79" s="336"/>
      <c r="N79" s="336"/>
      <c r="O79" s="336"/>
      <c r="P79" s="336"/>
      <c r="Q79" s="336"/>
      <c r="R79" s="336"/>
      <c r="S79" s="336"/>
      <c r="T79" s="336"/>
      <c r="U79" s="336"/>
      <c r="V79" s="336"/>
    </row>
    <row r="80" spans="2:22">
      <c r="B80" s="217"/>
      <c r="C80" s="217"/>
      <c r="D80" s="217"/>
      <c r="E80" s="217"/>
      <c r="F80" s="217"/>
      <c r="G80" s="217"/>
      <c r="H80" s="217"/>
      <c r="I80" s="217"/>
      <c r="J80" s="217"/>
      <c r="K80" s="217"/>
      <c r="L80" s="217"/>
      <c r="M80" s="217"/>
      <c r="N80" s="217"/>
      <c r="O80" s="217"/>
      <c r="P80" s="217"/>
      <c r="Q80" s="217"/>
      <c r="R80" s="217"/>
      <c r="S80" s="217"/>
      <c r="T80" s="217"/>
      <c r="U80" s="217"/>
    </row>
    <row r="81" spans="2:21">
      <c r="B81" s="217"/>
      <c r="C81" s="217"/>
      <c r="D81" s="217"/>
      <c r="E81" s="217"/>
      <c r="F81" s="217"/>
      <c r="G81" s="217"/>
      <c r="H81" s="217"/>
      <c r="I81" s="217"/>
      <c r="J81" s="217"/>
      <c r="K81" s="217"/>
      <c r="L81" s="217"/>
      <c r="M81" s="217"/>
      <c r="N81" s="217"/>
      <c r="O81" s="217"/>
      <c r="P81" s="217"/>
      <c r="Q81" s="217"/>
      <c r="R81" s="217"/>
      <c r="S81" s="217"/>
      <c r="T81" s="217"/>
      <c r="U81" s="217"/>
    </row>
    <row r="82" spans="2:21">
      <c r="B82" s="217"/>
      <c r="C82" s="217"/>
      <c r="D82" s="217"/>
      <c r="E82" s="217"/>
      <c r="F82" s="217"/>
      <c r="G82" s="217"/>
      <c r="H82" s="217"/>
      <c r="I82" s="217"/>
      <c r="J82" s="217"/>
      <c r="K82" s="217"/>
      <c r="L82" s="217"/>
      <c r="M82" s="217"/>
      <c r="N82" s="217"/>
      <c r="O82" s="217"/>
      <c r="P82" s="217"/>
      <c r="Q82" s="217"/>
      <c r="R82" s="217"/>
      <c r="S82" s="217"/>
      <c r="T82" s="217"/>
      <c r="U82" s="217"/>
    </row>
    <row r="83" spans="2:21">
      <c r="B83" s="217"/>
      <c r="C83" s="217"/>
      <c r="D83" s="217"/>
      <c r="E83" s="217"/>
      <c r="F83" s="217"/>
      <c r="G83" s="217"/>
      <c r="H83" s="217"/>
      <c r="I83" s="217"/>
      <c r="J83" s="217"/>
      <c r="K83" s="217"/>
      <c r="L83" s="217"/>
      <c r="M83" s="217"/>
      <c r="N83" s="217"/>
      <c r="O83" s="217"/>
      <c r="P83" s="217"/>
      <c r="Q83" s="217"/>
      <c r="R83" s="217"/>
      <c r="S83" s="217"/>
      <c r="T83" s="217"/>
      <c r="U83" s="217"/>
    </row>
    <row r="84" spans="2:21">
      <c r="B84" s="217"/>
      <c r="C84" s="217"/>
      <c r="D84" s="217"/>
      <c r="E84" s="217"/>
      <c r="F84" s="217"/>
      <c r="G84" s="217"/>
      <c r="H84" s="217"/>
      <c r="I84" s="217"/>
      <c r="J84" s="217"/>
      <c r="K84" s="217"/>
      <c r="L84" s="217"/>
      <c r="M84" s="217"/>
      <c r="N84" s="217"/>
      <c r="O84" s="217"/>
      <c r="P84" s="217"/>
      <c r="Q84" s="217"/>
      <c r="R84" s="217"/>
      <c r="S84" s="217"/>
      <c r="T84" s="217"/>
      <c r="U84" s="217"/>
    </row>
    <row r="85" spans="2:21">
      <c r="B85" s="217"/>
      <c r="C85" s="217"/>
      <c r="D85" s="217"/>
      <c r="E85" s="217"/>
      <c r="F85" s="217"/>
      <c r="G85" s="217"/>
      <c r="H85" s="217"/>
      <c r="I85" s="217"/>
      <c r="J85" s="217"/>
      <c r="K85" s="217"/>
      <c r="L85" s="217"/>
      <c r="M85" s="217"/>
      <c r="N85" s="217"/>
      <c r="O85" s="217"/>
      <c r="P85" s="217"/>
      <c r="Q85" s="217"/>
      <c r="R85" s="217"/>
      <c r="S85" s="217"/>
      <c r="T85" s="217"/>
      <c r="U85" s="217"/>
    </row>
    <row r="86" spans="2:21">
      <c r="B86" s="217"/>
      <c r="C86" s="217"/>
      <c r="D86" s="217"/>
      <c r="E86" s="217"/>
      <c r="F86" s="217"/>
      <c r="G86" s="217"/>
      <c r="H86" s="217"/>
      <c r="I86" s="217"/>
      <c r="J86" s="217"/>
      <c r="K86" s="217"/>
      <c r="L86" s="217"/>
      <c r="M86" s="217"/>
      <c r="N86" s="217"/>
      <c r="O86" s="217"/>
      <c r="P86" s="217"/>
      <c r="Q86" s="217"/>
      <c r="R86" s="217"/>
      <c r="S86" s="217"/>
      <c r="T86" s="217"/>
      <c r="U86" s="217"/>
    </row>
    <row r="87" spans="2:21">
      <c r="B87" s="217"/>
      <c r="C87" s="217"/>
      <c r="D87" s="217"/>
      <c r="E87" s="217"/>
      <c r="F87" s="217"/>
      <c r="G87" s="217"/>
      <c r="H87" s="217"/>
      <c r="I87" s="217"/>
      <c r="J87" s="217"/>
      <c r="K87" s="217"/>
      <c r="L87" s="217"/>
      <c r="M87" s="217"/>
      <c r="N87" s="217"/>
      <c r="O87" s="217"/>
      <c r="P87" s="217"/>
      <c r="Q87" s="217"/>
      <c r="R87" s="217"/>
      <c r="S87" s="217"/>
      <c r="T87" s="217"/>
      <c r="U87" s="217"/>
    </row>
    <row r="88" spans="2:21">
      <c r="B88" s="217"/>
      <c r="C88" s="217"/>
      <c r="D88" s="217"/>
      <c r="E88" s="217"/>
      <c r="F88" s="217"/>
      <c r="G88" s="217"/>
      <c r="H88" s="217"/>
      <c r="I88" s="217"/>
      <c r="J88" s="217"/>
      <c r="K88" s="217"/>
      <c r="L88" s="217"/>
      <c r="M88" s="217"/>
      <c r="N88" s="217"/>
      <c r="O88" s="217"/>
      <c r="P88" s="217"/>
      <c r="Q88" s="217"/>
      <c r="R88" s="217"/>
      <c r="S88" s="217"/>
      <c r="T88" s="217"/>
      <c r="U88" s="217"/>
    </row>
    <row r="89" spans="2:21">
      <c r="B89" s="217"/>
      <c r="C89" s="217"/>
      <c r="D89" s="217"/>
      <c r="E89" s="217"/>
      <c r="F89" s="217"/>
      <c r="G89" s="217"/>
      <c r="H89" s="217"/>
      <c r="I89" s="217"/>
      <c r="J89" s="217"/>
      <c r="K89" s="217"/>
      <c r="L89" s="217"/>
      <c r="M89" s="217"/>
      <c r="N89" s="217"/>
      <c r="O89" s="217"/>
      <c r="P89" s="217"/>
      <c r="Q89" s="217"/>
      <c r="R89" s="217"/>
      <c r="S89" s="217"/>
      <c r="T89" s="217"/>
      <c r="U89" s="217"/>
    </row>
    <row r="90" spans="2:21">
      <c r="B90" s="217"/>
      <c r="C90" s="217"/>
      <c r="D90" s="217"/>
      <c r="E90" s="217"/>
      <c r="F90" s="217"/>
      <c r="G90" s="217"/>
      <c r="H90" s="217"/>
      <c r="I90" s="217"/>
      <c r="J90" s="217"/>
      <c r="K90" s="217"/>
      <c r="L90" s="217"/>
      <c r="M90" s="217"/>
      <c r="N90" s="217"/>
      <c r="O90" s="217"/>
      <c r="P90" s="217"/>
      <c r="Q90" s="217"/>
      <c r="R90" s="217"/>
      <c r="S90" s="217"/>
      <c r="T90" s="217"/>
      <c r="U90" s="217"/>
    </row>
    <row r="91" spans="2:21">
      <c r="B91" s="217"/>
      <c r="C91" s="217"/>
      <c r="D91" s="217"/>
      <c r="E91" s="217"/>
      <c r="F91" s="217"/>
      <c r="G91" s="217"/>
      <c r="H91" s="217"/>
      <c r="I91" s="217"/>
      <c r="J91" s="217"/>
      <c r="K91" s="217"/>
      <c r="L91" s="217"/>
      <c r="M91" s="217"/>
      <c r="N91" s="217"/>
      <c r="O91" s="217"/>
      <c r="P91" s="217"/>
      <c r="Q91" s="217"/>
      <c r="R91" s="217"/>
      <c r="S91" s="217"/>
      <c r="T91" s="217"/>
      <c r="U91" s="217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P51"/>
  <sheetViews>
    <sheetView zoomScale="75" workbookViewId="0">
      <selection activeCell="A17" sqref="A17"/>
    </sheetView>
  </sheetViews>
  <sheetFormatPr defaultRowHeight="12.75"/>
  <cols>
    <col min="1" max="1" width="8.85546875" style="87" customWidth="1"/>
    <col min="2" max="4" width="10.42578125" style="87" customWidth="1"/>
    <col min="9" max="9" width="14.140625" customWidth="1"/>
    <col min="10" max="10" width="10.7109375" customWidth="1"/>
    <col min="11" max="11" width="12" customWidth="1"/>
  </cols>
  <sheetData>
    <row r="1" spans="1:16">
      <c r="A1"/>
      <c r="B1"/>
      <c r="C1"/>
      <c r="D1" s="207"/>
      <c r="P1" s="383"/>
    </row>
    <row r="4" spans="1:16" ht="18">
      <c r="A4" s="123" t="s">
        <v>286</v>
      </c>
      <c r="B4" s="100"/>
      <c r="C4" s="100"/>
      <c r="D4" s="100"/>
      <c r="F4" s="249">
        <f>1.54/310*1000*0</f>
        <v>0</v>
      </c>
      <c r="I4" s="100"/>
      <c r="J4" s="285" t="s">
        <v>478</v>
      </c>
      <c r="K4" s="188" t="s">
        <v>497</v>
      </c>
    </row>
    <row r="5" spans="1:16" ht="13.5" thickBot="1">
      <c r="A5" s="191" t="s">
        <v>54</v>
      </c>
      <c r="B5" s="192" t="s">
        <v>227</v>
      </c>
      <c r="C5" s="192" t="s">
        <v>228</v>
      </c>
      <c r="D5" s="192" t="s">
        <v>229</v>
      </c>
      <c r="E5" s="192" t="s">
        <v>436</v>
      </c>
      <c r="F5" s="192" t="s">
        <v>437</v>
      </c>
      <c r="I5" s="229" t="s">
        <v>297</v>
      </c>
      <c r="J5" s="229" t="s">
        <v>298</v>
      </c>
      <c r="K5" s="229" t="s">
        <v>389</v>
      </c>
      <c r="L5" s="192" t="s">
        <v>227</v>
      </c>
      <c r="M5" s="192" t="s">
        <v>228</v>
      </c>
      <c r="N5" s="192" t="s">
        <v>229</v>
      </c>
      <c r="O5" s="192" t="s">
        <v>575</v>
      </c>
    </row>
    <row r="6" spans="1:16">
      <c r="A6" s="124" t="s">
        <v>92</v>
      </c>
      <c r="B6" s="148">
        <v>98.266666666666694</v>
      </c>
      <c r="C6" s="80">
        <f>0.015/27.7*1000</f>
        <v>0.54151624548736466</v>
      </c>
      <c r="D6" s="80">
        <f>0.05/27.7*1000</f>
        <v>1.8050541516245489</v>
      </c>
      <c r="E6" s="242">
        <v>130</v>
      </c>
      <c r="F6" s="245">
        <f t="shared" ref="F6:F44" si="0">D6+E6*F$4/1000</f>
        <v>1.8050541516245489</v>
      </c>
      <c r="I6" s="230" t="s">
        <v>548</v>
      </c>
      <c r="J6" s="17"/>
      <c r="K6" s="231" t="s">
        <v>92</v>
      </c>
      <c r="L6" s="61">
        <f>B6</f>
        <v>98.266666666666694</v>
      </c>
      <c r="M6" s="61">
        <f>C6</f>
        <v>0.54151624548736466</v>
      </c>
      <c r="N6" s="61">
        <f>F6</f>
        <v>1.8050541516245489</v>
      </c>
      <c r="O6" s="61"/>
    </row>
    <row r="7" spans="1:16">
      <c r="A7" s="125" t="s">
        <v>187</v>
      </c>
      <c r="B7" s="148">
        <v>101.2</v>
      </c>
      <c r="C7" s="81">
        <f t="shared" ref="C7:C12" si="1">$C$6</f>
        <v>0.54151624548736466</v>
      </c>
      <c r="D7" s="81">
        <f t="shared" ref="D7:D12" si="2">$D$6</f>
        <v>1.8050541516245489</v>
      </c>
      <c r="E7" s="243">
        <v>130</v>
      </c>
      <c r="F7" s="245">
        <f t="shared" si="0"/>
        <v>1.8050541516245489</v>
      </c>
      <c r="H7" s="68"/>
      <c r="I7" s="230"/>
      <c r="J7" s="17"/>
      <c r="K7" s="231" t="s">
        <v>187</v>
      </c>
      <c r="L7" s="61">
        <f>B7</f>
        <v>101.2</v>
      </c>
      <c r="M7" s="61">
        <f>C7</f>
        <v>0.54151624548736466</v>
      </c>
      <c r="N7" s="61">
        <f>F7</f>
        <v>1.8050541516245489</v>
      </c>
      <c r="O7" s="61"/>
    </row>
    <row r="8" spans="1:16">
      <c r="A8" s="77" t="s">
        <v>188</v>
      </c>
      <c r="B8" s="148">
        <v>94.6</v>
      </c>
      <c r="C8" s="81">
        <f t="shared" si="1"/>
        <v>0.54151624548736466</v>
      </c>
      <c r="D8" s="81">
        <f t="shared" si="2"/>
        <v>1.8050541516245489</v>
      </c>
      <c r="E8" s="243">
        <v>80</v>
      </c>
      <c r="F8" s="245">
        <f t="shared" si="0"/>
        <v>1.8050541516245489</v>
      </c>
      <c r="H8" s="68"/>
      <c r="I8" s="230" t="s">
        <v>563</v>
      </c>
      <c r="J8" s="17"/>
      <c r="K8" s="231" t="s">
        <v>91</v>
      </c>
      <c r="L8" s="61">
        <f>B36</f>
        <v>56.1</v>
      </c>
      <c r="M8" s="61">
        <f>C36</f>
        <v>50</v>
      </c>
      <c r="N8" s="61">
        <f>F36</f>
        <v>1.5</v>
      </c>
      <c r="O8" s="61"/>
    </row>
    <row r="9" spans="1:16">
      <c r="A9" s="77" t="s">
        <v>189</v>
      </c>
      <c r="B9" s="148">
        <v>108.166666666667</v>
      </c>
      <c r="C9" s="81">
        <f t="shared" si="1"/>
        <v>0.54151624548736466</v>
      </c>
      <c r="D9" s="81">
        <f t="shared" si="2"/>
        <v>1.8050541516245489</v>
      </c>
      <c r="E9" s="243">
        <v>80</v>
      </c>
      <c r="F9" s="245">
        <f t="shared" si="0"/>
        <v>1.8050541516245489</v>
      </c>
      <c r="H9" s="68"/>
      <c r="I9" s="230"/>
      <c r="J9" s="17"/>
      <c r="K9" s="231" t="s">
        <v>451</v>
      </c>
      <c r="L9" s="61">
        <v>0</v>
      </c>
      <c r="M9" s="61">
        <f>C36</f>
        <v>50</v>
      </c>
      <c r="N9" s="61">
        <f>F43</f>
        <v>2.2000000000000002</v>
      </c>
      <c r="O9" s="61"/>
    </row>
    <row r="10" spans="1:16">
      <c r="A10" s="77" t="s">
        <v>190</v>
      </c>
      <c r="B10" s="148">
        <v>108.166666666667</v>
      </c>
      <c r="C10" s="81">
        <f t="shared" si="1"/>
        <v>0.54151624548736466</v>
      </c>
      <c r="D10" s="81">
        <f t="shared" si="2"/>
        <v>1.8050541516245489</v>
      </c>
      <c r="E10" s="243">
        <v>80</v>
      </c>
      <c r="F10" s="245">
        <f t="shared" si="0"/>
        <v>1.8050541516245489</v>
      </c>
      <c r="H10" s="68"/>
      <c r="I10" s="230" t="s">
        <v>560</v>
      </c>
      <c r="J10" s="17"/>
      <c r="K10" s="231" t="s">
        <v>334</v>
      </c>
      <c r="L10" s="61">
        <f>B37</f>
        <v>63.066666666666698</v>
      </c>
      <c r="M10" s="61">
        <f>C37</f>
        <v>1.18</v>
      </c>
      <c r="N10" s="61">
        <f>F37</f>
        <v>9</v>
      </c>
      <c r="O10" s="61"/>
    </row>
    <row r="11" spans="1:16">
      <c r="A11" s="77" t="s">
        <v>191</v>
      </c>
      <c r="B11" s="148">
        <v>108.166666666667</v>
      </c>
      <c r="C11" s="81">
        <f t="shared" si="1"/>
        <v>0.54151624548736466</v>
      </c>
      <c r="D11" s="81">
        <f t="shared" si="2"/>
        <v>1.8050541516245489</v>
      </c>
      <c r="E11" s="243">
        <v>80</v>
      </c>
      <c r="F11" s="245">
        <f t="shared" si="0"/>
        <v>1.8050541516245489</v>
      </c>
      <c r="H11" s="68"/>
      <c r="I11" s="230" t="s">
        <v>553</v>
      </c>
      <c r="J11" s="17"/>
      <c r="K11" s="231" t="s">
        <v>96</v>
      </c>
      <c r="L11" s="61">
        <f t="shared" ref="L11:M15" si="3">B20</f>
        <v>72.900000000000006</v>
      </c>
      <c r="M11" s="61">
        <f t="shared" si="3"/>
        <v>11.1004934292559</v>
      </c>
      <c r="N11" s="61">
        <f t="shared" ref="N11:N17" si="4">F20</f>
        <v>1.6117420057065299</v>
      </c>
      <c r="O11" s="61"/>
    </row>
    <row r="12" spans="1:16">
      <c r="A12" s="77" t="s">
        <v>192</v>
      </c>
      <c r="B12" s="148">
        <v>108.166666666667</v>
      </c>
      <c r="C12" s="81">
        <f t="shared" si="1"/>
        <v>0.54151624548736466</v>
      </c>
      <c r="D12" s="81">
        <f t="shared" si="2"/>
        <v>1.8050541516245489</v>
      </c>
      <c r="E12" s="243">
        <v>80</v>
      </c>
      <c r="F12" s="245">
        <f t="shared" si="0"/>
        <v>1.8050541516245489</v>
      </c>
      <c r="H12" s="68"/>
      <c r="I12" s="230" t="s">
        <v>547</v>
      </c>
      <c r="J12" s="17"/>
      <c r="K12" s="231" t="s">
        <v>131</v>
      </c>
      <c r="L12" s="61">
        <f t="shared" si="3"/>
        <v>71.3</v>
      </c>
      <c r="M12" s="61">
        <f t="shared" si="3"/>
        <v>10</v>
      </c>
      <c r="N12" s="61">
        <f t="shared" si="4"/>
        <v>2.10280373831776</v>
      </c>
      <c r="O12" s="61"/>
    </row>
    <row r="13" spans="1:16">
      <c r="A13" s="78" t="s">
        <v>193</v>
      </c>
      <c r="B13" s="149">
        <v>100.833333333333</v>
      </c>
      <c r="C13" s="84">
        <f>C6</f>
        <v>0.54151624548736466</v>
      </c>
      <c r="D13" s="84">
        <f>D6</f>
        <v>1.8050541516245489</v>
      </c>
      <c r="E13" s="244">
        <v>80</v>
      </c>
      <c r="F13" s="245">
        <f t="shared" si="0"/>
        <v>1.8050541516245489</v>
      </c>
      <c r="H13" s="68"/>
      <c r="I13" s="230"/>
      <c r="J13" s="17"/>
      <c r="K13" s="231" t="s">
        <v>132</v>
      </c>
      <c r="L13" s="61">
        <f t="shared" si="3"/>
        <v>71.3</v>
      </c>
      <c r="M13" s="61">
        <f t="shared" si="3"/>
        <v>2</v>
      </c>
      <c r="N13" s="61">
        <f t="shared" si="4"/>
        <v>2.10280373831776</v>
      </c>
      <c r="O13" s="61"/>
    </row>
    <row r="14" spans="1:16">
      <c r="A14" s="79" t="s">
        <v>194</v>
      </c>
      <c r="B14" s="148">
        <v>73.3333333333333</v>
      </c>
      <c r="C14" s="80">
        <f>0.006/(38.51)*1000</f>
        <v>0.15580368735393407</v>
      </c>
      <c r="D14" s="80">
        <f>0.013/(38.51)*1000</f>
        <v>0.33757465593352376</v>
      </c>
      <c r="E14" s="242">
        <v>150</v>
      </c>
      <c r="F14" s="245">
        <f t="shared" si="0"/>
        <v>0.33757465593352376</v>
      </c>
      <c r="I14" s="230" t="s">
        <v>557</v>
      </c>
      <c r="J14" s="17"/>
      <c r="K14" s="231" t="s">
        <v>133</v>
      </c>
      <c r="L14" s="61">
        <f t="shared" si="3"/>
        <v>73.2</v>
      </c>
      <c r="M14" s="61">
        <f t="shared" si="3"/>
        <v>2.8607462548832601</v>
      </c>
      <c r="N14" s="61">
        <f t="shared" si="4"/>
        <v>2.9991694607647101</v>
      </c>
      <c r="O14" s="61"/>
    </row>
    <row r="15" spans="1:16">
      <c r="A15" s="77" t="s">
        <v>195</v>
      </c>
      <c r="B15" s="148">
        <v>73.3333333333333</v>
      </c>
      <c r="C15" s="81">
        <f>0.12/40.9*1000</f>
        <v>2.9339853300733498</v>
      </c>
      <c r="D15" s="81">
        <f>0.013/40.9*1000</f>
        <v>0.31784841075794618</v>
      </c>
      <c r="E15" s="243">
        <v>150</v>
      </c>
      <c r="F15" s="245">
        <f t="shared" si="0"/>
        <v>0.31784841075794618</v>
      </c>
      <c r="I15" s="230"/>
      <c r="J15" s="17"/>
      <c r="K15" s="231" t="s">
        <v>95</v>
      </c>
      <c r="L15" s="61">
        <f t="shared" si="3"/>
        <v>73.099999999999994</v>
      </c>
      <c r="M15" s="61">
        <f t="shared" si="3"/>
        <v>5.53</v>
      </c>
      <c r="N15" s="61">
        <f t="shared" si="4"/>
        <v>2.9991694607647101</v>
      </c>
      <c r="O15" s="61"/>
    </row>
    <row r="16" spans="1:16">
      <c r="A16" s="77" t="s">
        <v>211</v>
      </c>
      <c r="B16" s="148">
        <v>63.066666666666698</v>
      </c>
      <c r="C16" s="81">
        <f>(0.03/28.62+0.03/18.36)/2*1000</f>
        <v>1.34110247872734</v>
      </c>
      <c r="D16" s="81">
        <v>0</v>
      </c>
      <c r="E16" s="243">
        <v>150</v>
      </c>
      <c r="F16" s="245">
        <f t="shared" si="0"/>
        <v>0</v>
      </c>
      <c r="I16" s="230" t="s">
        <v>549</v>
      </c>
      <c r="J16" s="17"/>
      <c r="K16" s="231" t="s">
        <v>94</v>
      </c>
      <c r="L16" s="61">
        <f>B25</f>
        <v>74.066666666666706</v>
      </c>
      <c r="M16" s="61">
        <f>C26</f>
        <v>5</v>
      </c>
      <c r="N16" s="61">
        <f t="shared" si="4"/>
        <v>1.8915786472007301</v>
      </c>
      <c r="O16" s="61"/>
    </row>
    <row r="17" spans="1:15">
      <c r="A17" s="77" t="s">
        <v>212</v>
      </c>
      <c r="B17" s="148">
        <v>73.3333333333333</v>
      </c>
      <c r="C17" s="81">
        <f>C14</f>
        <v>0.15580368735393407</v>
      </c>
      <c r="D17" s="81">
        <f>D14</f>
        <v>0.33757465593352376</v>
      </c>
      <c r="E17" s="243">
        <v>150</v>
      </c>
      <c r="F17" s="245">
        <f t="shared" si="0"/>
        <v>0.33757465593352376</v>
      </c>
      <c r="I17" s="230" t="s">
        <v>555</v>
      </c>
      <c r="J17" s="17"/>
      <c r="K17" s="231" t="s">
        <v>93</v>
      </c>
      <c r="L17" s="61">
        <f>B26</f>
        <v>77.366666666666703</v>
      </c>
      <c r="M17" s="61">
        <f>C26</f>
        <v>5</v>
      </c>
      <c r="N17" s="61">
        <f t="shared" si="4"/>
        <v>3.11</v>
      </c>
      <c r="O17" s="61"/>
    </row>
    <row r="18" spans="1:15">
      <c r="A18" s="77" t="s">
        <v>213</v>
      </c>
      <c r="B18" s="148">
        <v>73.3333333333333</v>
      </c>
      <c r="C18" s="81">
        <f>C14</f>
        <v>0.15580368735393407</v>
      </c>
      <c r="D18" s="81">
        <f>D14</f>
        <v>0.33757465593352376</v>
      </c>
      <c r="E18" s="243">
        <v>150</v>
      </c>
      <c r="F18" s="245">
        <f t="shared" si="0"/>
        <v>0.33757465593352376</v>
      </c>
      <c r="I18" s="230" t="s">
        <v>566</v>
      </c>
      <c r="J18" s="17"/>
      <c r="K18" s="231" t="s">
        <v>93</v>
      </c>
      <c r="L18" s="345"/>
      <c r="M18" s="245">
        <f>C26*0</f>
        <v>0</v>
      </c>
      <c r="N18" s="245">
        <f>F26*0</f>
        <v>0</v>
      </c>
      <c r="O18" s="61">
        <f>B26</f>
        <v>77.366666666666703</v>
      </c>
    </row>
    <row r="19" spans="1:15">
      <c r="A19" s="77" t="s">
        <v>214</v>
      </c>
      <c r="B19" s="149">
        <v>73.3333333333333</v>
      </c>
      <c r="C19" s="81">
        <f>C14</f>
        <v>0.15580368735393407</v>
      </c>
      <c r="D19" s="81">
        <f>D14</f>
        <v>0.33757465593352376</v>
      </c>
      <c r="E19" s="243">
        <v>150</v>
      </c>
      <c r="F19" s="245">
        <f t="shared" si="0"/>
        <v>0.33757465593352376</v>
      </c>
      <c r="I19" s="230" t="s">
        <v>564</v>
      </c>
      <c r="J19" s="17"/>
      <c r="K19" s="231" t="s">
        <v>451</v>
      </c>
      <c r="L19" s="61">
        <f>B42</f>
        <v>0</v>
      </c>
      <c r="M19" s="61">
        <f>C36</f>
        <v>50</v>
      </c>
      <c r="N19" s="61">
        <f>F43</f>
        <v>2.2000000000000002</v>
      </c>
      <c r="O19" s="61"/>
    </row>
    <row r="20" spans="1:15">
      <c r="A20" s="124" t="s">
        <v>96</v>
      </c>
      <c r="B20" s="148">
        <v>72.900000000000006</v>
      </c>
      <c r="C20" s="80">
        <v>11.1004934292559</v>
      </c>
      <c r="D20" s="80">
        <v>1.6117420057065299</v>
      </c>
      <c r="E20" s="242">
        <v>270</v>
      </c>
      <c r="F20" s="245">
        <f t="shared" si="0"/>
        <v>1.6117420057065299</v>
      </c>
      <c r="I20" s="230" t="s">
        <v>561</v>
      </c>
      <c r="J20" s="17"/>
      <c r="K20" s="231" t="s">
        <v>334</v>
      </c>
      <c r="L20" s="61">
        <f>B37</f>
        <v>63.066666666666698</v>
      </c>
      <c r="M20" s="61">
        <f>C37</f>
        <v>1.18</v>
      </c>
      <c r="N20" s="61">
        <f>F37</f>
        <v>9</v>
      </c>
      <c r="O20" s="61"/>
    </row>
    <row r="21" spans="1:15">
      <c r="A21" s="125" t="s">
        <v>131</v>
      </c>
      <c r="B21" s="148">
        <v>71.3</v>
      </c>
      <c r="C21" s="81">
        <v>10</v>
      </c>
      <c r="D21" s="81">
        <v>2.10280373831776</v>
      </c>
      <c r="E21" s="243">
        <v>270</v>
      </c>
      <c r="F21" s="245">
        <f t="shared" si="0"/>
        <v>2.10280373831776</v>
      </c>
      <c r="I21" s="230" t="s">
        <v>554</v>
      </c>
      <c r="J21" s="17"/>
      <c r="K21" s="231" t="s">
        <v>388</v>
      </c>
      <c r="L21" s="61">
        <v>0</v>
      </c>
      <c r="M21" s="61">
        <f>C20</f>
        <v>11.1004934292559</v>
      </c>
      <c r="N21" s="61">
        <f>F20</f>
        <v>1.6117420057065299</v>
      </c>
      <c r="O21" s="61"/>
    </row>
    <row r="22" spans="1:15">
      <c r="A22" s="125" t="s">
        <v>132</v>
      </c>
      <c r="B22" s="148">
        <v>71.3</v>
      </c>
      <c r="C22" s="81">
        <v>2</v>
      </c>
      <c r="D22" s="81">
        <v>2.10280373831776</v>
      </c>
      <c r="E22" s="243">
        <v>270</v>
      </c>
      <c r="F22" s="245">
        <f t="shared" si="0"/>
        <v>2.10280373831776</v>
      </c>
      <c r="I22" s="230" t="s">
        <v>565</v>
      </c>
      <c r="J22" s="17"/>
      <c r="K22" s="231" t="s">
        <v>454</v>
      </c>
      <c r="L22" s="61">
        <v>0</v>
      </c>
      <c r="M22" s="61">
        <f>C21</f>
        <v>10</v>
      </c>
      <c r="N22" s="61">
        <f>F21</f>
        <v>2.10280373831776</v>
      </c>
      <c r="O22" s="61"/>
    </row>
    <row r="23" spans="1:15">
      <c r="A23" s="125" t="s">
        <v>133</v>
      </c>
      <c r="B23" s="148">
        <v>73.2</v>
      </c>
      <c r="C23" s="81">
        <v>2.8607462548832601</v>
      </c>
      <c r="D23" s="81">
        <f>D24</f>
        <v>2.9991694607647101</v>
      </c>
      <c r="E23" s="243">
        <v>270</v>
      </c>
      <c r="F23" s="245">
        <f t="shared" si="0"/>
        <v>2.9991694607647101</v>
      </c>
      <c r="I23" s="230" t="s">
        <v>558</v>
      </c>
      <c r="J23" s="17"/>
      <c r="K23" s="231" t="s">
        <v>133</v>
      </c>
      <c r="L23" s="61">
        <f>B23</f>
        <v>73.2</v>
      </c>
      <c r="M23" s="61">
        <f>C23</f>
        <v>2.8607462548832601</v>
      </c>
      <c r="N23" s="61">
        <f>F23</f>
        <v>2.9991694607647101</v>
      </c>
      <c r="O23" s="61"/>
    </row>
    <row r="24" spans="1:15">
      <c r="A24" s="125" t="s">
        <v>95</v>
      </c>
      <c r="B24" s="148">
        <v>73.099999999999994</v>
      </c>
      <c r="C24" s="81">
        <v>5.53</v>
      </c>
      <c r="D24" s="81">
        <v>2.9991694607647101</v>
      </c>
      <c r="E24" s="243">
        <v>270</v>
      </c>
      <c r="F24" s="245">
        <f t="shared" si="0"/>
        <v>2.9991694607647101</v>
      </c>
      <c r="I24" s="230"/>
      <c r="J24" s="230"/>
      <c r="K24" s="231" t="s">
        <v>433</v>
      </c>
      <c r="L24" s="61">
        <f>B42</f>
        <v>0</v>
      </c>
      <c r="M24" s="61">
        <f>M23</f>
        <v>2.8607462548832601</v>
      </c>
      <c r="N24" s="61">
        <f>N23</f>
        <v>2.9991694607647101</v>
      </c>
      <c r="O24" s="61"/>
    </row>
    <row r="25" spans="1:15">
      <c r="A25" s="125" t="s">
        <v>94</v>
      </c>
      <c r="B25" s="148">
        <v>74.066666666666706</v>
      </c>
      <c r="C25" s="81">
        <v>2.1</v>
      </c>
      <c r="D25" s="81">
        <v>1.8915786472007301</v>
      </c>
      <c r="E25" s="243">
        <v>270</v>
      </c>
      <c r="F25" s="245">
        <f t="shared" si="0"/>
        <v>1.8915786472007301</v>
      </c>
      <c r="I25" s="230" t="s">
        <v>559</v>
      </c>
      <c r="J25" s="17"/>
      <c r="K25" s="231" t="s">
        <v>131</v>
      </c>
      <c r="L25" s="345"/>
      <c r="M25" s="245">
        <f>C21*0</f>
        <v>0</v>
      </c>
      <c r="N25" s="245">
        <f>F21*0</f>
        <v>0</v>
      </c>
      <c r="O25" s="61">
        <f>B21</f>
        <v>71.3</v>
      </c>
    </row>
    <row r="26" spans="1:15">
      <c r="A26" s="125" t="s">
        <v>93</v>
      </c>
      <c r="B26" s="148">
        <v>77.366666666666703</v>
      </c>
      <c r="C26" s="81">
        <v>5</v>
      </c>
      <c r="D26" s="81">
        <v>3.11</v>
      </c>
      <c r="E26" s="243">
        <v>200</v>
      </c>
      <c r="F26" s="245">
        <f t="shared" si="0"/>
        <v>3.11</v>
      </c>
      <c r="I26" s="230"/>
      <c r="J26" s="17"/>
      <c r="K26" s="231" t="s">
        <v>133</v>
      </c>
      <c r="L26" s="345"/>
      <c r="M26" s="245">
        <f>C23*0</f>
        <v>0</v>
      </c>
      <c r="N26" s="245">
        <f>F23*0</f>
        <v>0</v>
      </c>
      <c r="O26" s="61">
        <f>B23</f>
        <v>73.2</v>
      </c>
    </row>
    <row r="27" spans="1:15">
      <c r="A27" s="126" t="s">
        <v>220</v>
      </c>
      <c r="B27" s="232">
        <v>73.3333333333333</v>
      </c>
      <c r="C27" s="81">
        <f t="shared" ref="C27:C33" si="5">$C$25</f>
        <v>2.1</v>
      </c>
      <c r="D27" s="81">
        <f t="shared" ref="D27:D33" si="6">$D$25</f>
        <v>1.8915786472007301</v>
      </c>
      <c r="E27" s="243">
        <v>200</v>
      </c>
      <c r="F27" s="245">
        <f t="shared" si="0"/>
        <v>1.8915786472007301</v>
      </c>
      <c r="I27" s="230"/>
      <c r="J27" s="17"/>
      <c r="K27" s="231" t="s">
        <v>433</v>
      </c>
      <c r="L27" s="345"/>
      <c r="M27" s="245">
        <f>M26*0</f>
        <v>0</v>
      </c>
      <c r="N27" s="245">
        <f>N26*0</f>
        <v>0</v>
      </c>
      <c r="O27" s="61">
        <f>B42</f>
        <v>0</v>
      </c>
    </row>
    <row r="28" spans="1:15">
      <c r="A28" s="77" t="s">
        <v>215</v>
      </c>
      <c r="B28" s="148">
        <v>73.3333333333333</v>
      </c>
      <c r="C28" s="81">
        <f t="shared" si="5"/>
        <v>2.1</v>
      </c>
      <c r="D28" s="81">
        <f t="shared" si="6"/>
        <v>1.8915786472007301</v>
      </c>
      <c r="E28" s="243">
        <v>200</v>
      </c>
      <c r="F28" s="245">
        <f t="shared" si="0"/>
        <v>1.8915786472007301</v>
      </c>
      <c r="I28" s="230" t="s">
        <v>550</v>
      </c>
      <c r="J28" s="17"/>
      <c r="K28" s="231" t="s">
        <v>94</v>
      </c>
      <c r="L28" s="61">
        <f>B25</f>
        <v>74.066666666666706</v>
      </c>
      <c r="M28" s="61">
        <f>C25</f>
        <v>2.1</v>
      </c>
      <c r="N28" s="61">
        <f>F25</f>
        <v>1.8915786472007301</v>
      </c>
      <c r="O28" s="61"/>
    </row>
    <row r="29" spans="1:15">
      <c r="A29" s="77" t="s">
        <v>216</v>
      </c>
      <c r="B29" s="148">
        <v>73.3333333333333</v>
      </c>
      <c r="C29" s="81">
        <f t="shared" si="5"/>
        <v>2.1</v>
      </c>
      <c r="D29" s="81">
        <f t="shared" si="6"/>
        <v>1.8915786472007301</v>
      </c>
      <c r="E29" s="243">
        <v>200</v>
      </c>
      <c r="F29" s="245">
        <f t="shared" si="0"/>
        <v>1.8915786472007301</v>
      </c>
      <c r="I29" s="230"/>
      <c r="J29" s="17"/>
      <c r="K29" s="231" t="s">
        <v>360</v>
      </c>
      <c r="L29" s="61">
        <f>B42</f>
        <v>0</v>
      </c>
      <c r="M29" s="61">
        <f>C42</f>
        <v>2</v>
      </c>
      <c r="N29" s="61">
        <f>F25</f>
        <v>1.8915786472007301</v>
      </c>
      <c r="O29" s="61"/>
    </row>
    <row r="30" spans="1:15">
      <c r="A30" s="77" t="s">
        <v>217</v>
      </c>
      <c r="B30" s="81">
        <f>$B$25*0.5</f>
        <v>37.033333333333353</v>
      </c>
      <c r="C30" s="81">
        <f t="shared" si="5"/>
        <v>2.1</v>
      </c>
      <c r="D30" s="81">
        <f t="shared" si="6"/>
        <v>1.8915786472007301</v>
      </c>
      <c r="E30" s="243">
        <v>200</v>
      </c>
      <c r="F30" s="245">
        <f t="shared" si="0"/>
        <v>1.8915786472007301</v>
      </c>
      <c r="I30" s="230" t="s">
        <v>551</v>
      </c>
      <c r="J30" s="17"/>
      <c r="K30" s="231" t="s">
        <v>360</v>
      </c>
      <c r="L30" s="61">
        <f>L29</f>
        <v>0</v>
      </c>
      <c r="M30" s="61">
        <f>M29</f>
        <v>2</v>
      </c>
      <c r="N30" s="61">
        <f>N29</f>
        <v>1.8915786472007301</v>
      </c>
      <c r="O30" s="61"/>
    </row>
    <row r="31" spans="1:15">
      <c r="A31" s="77" t="s">
        <v>218</v>
      </c>
      <c r="B31" s="148">
        <v>80.6666666666667</v>
      </c>
      <c r="C31" s="81">
        <f t="shared" si="5"/>
        <v>2.1</v>
      </c>
      <c r="D31" s="81">
        <f t="shared" si="6"/>
        <v>1.8915786472007301</v>
      </c>
      <c r="E31" s="243">
        <v>200</v>
      </c>
      <c r="F31" s="245">
        <f t="shared" si="0"/>
        <v>1.8915786472007301</v>
      </c>
      <c r="I31" s="230" t="s">
        <v>556</v>
      </c>
      <c r="J31" s="17"/>
      <c r="K31" s="231" t="s">
        <v>93</v>
      </c>
      <c r="L31" s="61">
        <f>B26</f>
        <v>77.366666666666703</v>
      </c>
      <c r="M31" s="61">
        <f>C26</f>
        <v>5</v>
      </c>
      <c r="N31" s="61">
        <f>F26</f>
        <v>3.11</v>
      </c>
      <c r="O31" s="61"/>
    </row>
    <row r="32" spans="1:15">
      <c r="A32" s="77" t="s">
        <v>219</v>
      </c>
      <c r="B32" s="148">
        <v>80.6666666666667</v>
      </c>
      <c r="C32" s="81">
        <f t="shared" si="5"/>
        <v>2.1</v>
      </c>
      <c r="D32" s="81">
        <f t="shared" si="6"/>
        <v>1.8915786472007301</v>
      </c>
      <c r="E32" s="243">
        <v>200</v>
      </c>
      <c r="F32" s="245">
        <f t="shared" si="0"/>
        <v>1.8915786472007301</v>
      </c>
      <c r="I32" s="230" t="s">
        <v>562</v>
      </c>
      <c r="J32" s="17"/>
      <c r="K32" s="231" t="s">
        <v>387</v>
      </c>
      <c r="L32" s="61">
        <f>B43</f>
        <v>0</v>
      </c>
      <c r="M32" s="61">
        <f>C43</f>
        <v>2</v>
      </c>
      <c r="N32" s="61">
        <f>F43</f>
        <v>2.2000000000000002</v>
      </c>
      <c r="O32" s="61"/>
    </row>
    <row r="33" spans="1:15">
      <c r="A33" s="78" t="s">
        <v>220</v>
      </c>
      <c r="B33" s="149">
        <v>73.3333333333333</v>
      </c>
      <c r="C33" s="84">
        <f t="shared" si="5"/>
        <v>2.1</v>
      </c>
      <c r="D33" s="84">
        <f t="shared" si="6"/>
        <v>1.8915786472007301</v>
      </c>
      <c r="E33" s="244">
        <v>200</v>
      </c>
      <c r="F33" s="245">
        <f t="shared" si="0"/>
        <v>1.8915786472007301</v>
      </c>
      <c r="I33" s="230" t="s">
        <v>552</v>
      </c>
      <c r="J33" s="17"/>
      <c r="K33" s="231" t="s">
        <v>388</v>
      </c>
      <c r="L33" s="61">
        <f>B44</f>
        <v>0</v>
      </c>
      <c r="M33" s="61">
        <f>C44</f>
        <v>2</v>
      </c>
      <c r="N33" s="61">
        <f>F44</f>
        <v>1.3</v>
      </c>
      <c r="O33" s="61"/>
    </row>
    <row r="34" spans="1:15">
      <c r="A34" s="79" t="s">
        <v>221</v>
      </c>
      <c r="B34" s="148">
        <v>56.1</v>
      </c>
      <c r="C34" s="80">
        <v>1.1000000000000001</v>
      </c>
      <c r="D34" s="80">
        <v>1.5</v>
      </c>
      <c r="E34" s="242">
        <v>100</v>
      </c>
      <c r="F34" s="245">
        <f t="shared" si="0"/>
        <v>1.5</v>
      </c>
      <c r="I34" s="230" t="s">
        <v>567</v>
      </c>
      <c r="J34" s="17"/>
      <c r="K34" s="231" t="s">
        <v>94</v>
      </c>
      <c r="L34" s="345"/>
      <c r="M34" s="61">
        <f>C25</f>
        <v>2.1</v>
      </c>
      <c r="N34" s="61">
        <f>F25</f>
        <v>1.8915786472007301</v>
      </c>
      <c r="O34" s="61">
        <f>B25</f>
        <v>74.066666666666706</v>
      </c>
    </row>
    <row r="35" spans="1:15">
      <c r="A35" s="77" t="s">
        <v>222</v>
      </c>
      <c r="B35" s="148">
        <v>61.6</v>
      </c>
      <c r="C35" s="81">
        <v>1.1000000000000001</v>
      </c>
      <c r="D35" s="81">
        <v>1.5</v>
      </c>
      <c r="E35" s="243">
        <v>100</v>
      </c>
      <c r="F35" s="245">
        <f t="shared" si="0"/>
        <v>1.5</v>
      </c>
      <c r="I35" s="230"/>
      <c r="J35" s="17"/>
      <c r="K35" s="231" t="s">
        <v>96</v>
      </c>
      <c r="L35" s="345"/>
      <c r="M35" s="61">
        <f>C20</f>
        <v>11.1004934292559</v>
      </c>
      <c r="N35" s="61">
        <f>F20</f>
        <v>1.6117420057065299</v>
      </c>
      <c r="O35" s="61">
        <f>B20</f>
        <v>72.900000000000006</v>
      </c>
    </row>
    <row r="36" spans="1:15">
      <c r="A36" s="125" t="s">
        <v>91</v>
      </c>
      <c r="B36" s="148">
        <v>56.1</v>
      </c>
      <c r="C36" s="81">
        <v>50</v>
      </c>
      <c r="D36" s="81">
        <v>1.5</v>
      </c>
      <c r="E36" s="243">
        <v>100</v>
      </c>
      <c r="F36" s="245">
        <f t="shared" si="0"/>
        <v>1.5</v>
      </c>
      <c r="I36" s="230"/>
      <c r="J36" s="17"/>
      <c r="K36" s="231" t="s">
        <v>450</v>
      </c>
      <c r="L36" s="345"/>
      <c r="M36" s="346">
        <f>C36</f>
        <v>50</v>
      </c>
      <c r="N36" s="61">
        <f>F36</f>
        <v>1.5</v>
      </c>
      <c r="O36" s="61">
        <f>B36</f>
        <v>56.1</v>
      </c>
    </row>
    <row r="37" spans="1:15">
      <c r="A37" s="127" t="s">
        <v>334</v>
      </c>
      <c r="B37" s="148">
        <v>63.066666666666698</v>
      </c>
      <c r="C37" s="83">
        <v>1.18</v>
      </c>
      <c r="D37" s="84">
        <v>9</v>
      </c>
      <c r="E37" s="244">
        <v>270</v>
      </c>
      <c r="F37" s="245">
        <f t="shared" si="0"/>
        <v>9</v>
      </c>
      <c r="I37" s="230"/>
      <c r="J37" s="17"/>
      <c r="K37" s="231" t="s">
        <v>360</v>
      </c>
      <c r="L37" s="345"/>
      <c r="M37" s="346">
        <f>C42</f>
        <v>2</v>
      </c>
      <c r="N37" s="61">
        <f>F42</f>
        <v>1.5</v>
      </c>
      <c r="O37" s="61">
        <f>B42</f>
        <v>0</v>
      </c>
    </row>
    <row r="38" spans="1:15">
      <c r="A38" s="79" t="s">
        <v>125</v>
      </c>
      <c r="B38" s="85">
        <v>0</v>
      </c>
      <c r="C38" s="85">
        <v>0.02</v>
      </c>
      <c r="D38" s="85">
        <v>8.89</v>
      </c>
      <c r="E38" s="85">
        <v>90</v>
      </c>
      <c r="F38" s="245">
        <f t="shared" si="0"/>
        <v>8.89</v>
      </c>
      <c r="I38" s="230" t="s">
        <v>580</v>
      </c>
      <c r="J38" s="17"/>
      <c r="K38" s="231" t="s">
        <v>450</v>
      </c>
      <c r="L38" s="345"/>
      <c r="M38" s="346">
        <f>M36</f>
        <v>50</v>
      </c>
      <c r="N38" s="61">
        <f>N36</f>
        <v>1.5</v>
      </c>
      <c r="O38" s="61">
        <f>O36</f>
        <v>56.1</v>
      </c>
    </row>
    <row r="39" spans="1:15">
      <c r="A39" s="77" t="s">
        <v>253</v>
      </c>
      <c r="B39" s="82">
        <f>B38</f>
        <v>0</v>
      </c>
      <c r="C39" s="82">
        <v>0.02</v>
      </c>
      <c r="D39" s="82">
        <v>8.89</v>
      </c>
      <c r="E39" s="82">
        <v>90</v>
      </c>
      <c r="F39" s="245">
        <f t="shared" si="0"/>
        <v>8.89</v>
      </c>
      <c r="I39" s="230" t="s">
        <v>47</v>
      </c>
      <c r="J39" s="17" t="s">
        <v>46</v>
      </c>
      <c r="K39" s="231" t="s">
        <v>217</v>
      </c>
      <c r="L39" s="61">
        <f>B30</f>
        <v>37.033333333333353</v>
      </c>
      <c r="M39" s="61">
        <f>C30</f>
        <v>2.1</v>
      </c>
      <c r="N39" s="61">
        <f>F30</f>
        <v>1.8915786472007301</v>
      </c>
      <c r="O39" s="61"/>
    </row>
    <row r="40" spans="1:15">
      <c r="A40" s="77" t="s">
        <v>255</v>
      </c>
      <c r="B40" s="82">
        <f>B41</f>
        <v>85.85</v>
      </c>
      <c r="C40" s="82">
        <f>C41</f>
        <v>0.02</v>
      </c>
      <c r="D40" s="82">
        <v>1.3</v>
      </c>
      <c r="E40" s="82">
        <v>90</v>
      </c>
      <c r="F40" s="245">
        <f t="shared" si="0"/>
        <v>1.3</v>
      </c>
    </row>
    <row r="41" spans="1:15">
      <c r="A41" s="77" t="s">
        <v>254</v>
      </c>
      <c r="B41" s="82">
        <v>85.85</v>
      </c>
      <c r="C41" s="82">
        <v>0.02</v>
      </c>
      <c r="D41" s="82">
        <v>1.3</v>
      </c>
      <c r="E41" s="82">
        <v>90</v>
      </c>
      <c r="F41" s="245">
        <f t="shared" si="0"/>
        <v>1.3</v>
      </c>
    </row>
    <row r="42" spans="1:15">
      <c r="A42" s="125" t="s">
        <v>252</v>
      </c>
      <c r="B42" s="82">
        <v>0</v>
      </c>
      <c r="C42" s="81">
        <f>C43</f>
        <v>2</v>
      </c>
      <c r="D42" s="82">
        <v>1.5</v>
      </c>
      <c r="E42" s="82">
        <v>200</v>
      </c>
      <c r="F42" s="245">
        <f t="shared" si="0"/>
        <v>1.5</v>
      </c>
    </row>
    <row r="43" spans="1:15">
      <c r="A43" s="125" t="s">
        <v>252</v>
      </c>
      <c r="B43" s="82">
        <v>0</v>
      </c>
      <c r="C43" s="81">
        <v>2</v>
      </c>
      <c r="D43" s="82">
        <v>2.2000000000000002</v>
      </c>
      <c r="E43" s="82">
        <v>200</v>
      </c>
      <c r="F43" s="245">
        <f t="shared" si="0"/>
        <v>2.2000000000000002</v>
      </c>
    </row>
    <row r="44" spans="1:15">
      <c r="A44" s="78" t="s">
        <v>223</v>
      </c>
      <c r="B44" s="83">
        <v>0</v>
      </c>
      <c r="C44" s="84">
        <v>2</v>
      </c>
      <c r="D44" s="82">
        <v>1.3</v>
      </c>
      <c r="E44" s="82">
        <v>200</v>
      </c>
      <c r="F44" s="245">
        <f t="shared" si="0"/>
        <v>1.3</v>
      </c>
    </row>
    <row r="45" spans="1:15">
      <c r="A45" s="86" t="s">
        <v>226</v>
      </c>
    </row>
    <row r="46" spans="1:15">
      <c r="A46" s="87" t="s">
        <v>224</v>
      </c>
    </row>
    <row r="47" spans="1:15">
      <c r="A47" s="87" t="s">
        <v>225</v>
      </c>
    </row>
    <row r="49" spans="1:1">
      <c r="A49" s="15" t="s">
        <v>269</v>
      </c>
    </row>
    <row r="50" spans="1:1">
      <c r="A50" s="15" t="s">
        <v>270</v>
      </c>
    </row>
    <row r="51" spans="1:1">
      <c r="A51" s="15" t="s">
        <v>271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Z71"/>
  <sheetViews>
    <sheetView topLeftCell="A36" zoomScale="85" workbookViewId="0">
      <selection activeCell="A17" sqref="A17"/>
    </sheetView>
  </sheetViews>
  <sheetFormatPr defaultRowHeight="12.75"/>
  <cols>
    <col min="1" max="1" width="7" customWidth="1"/>
    <col min="2" max="2" width="12.85546875" customWidth="1"/>
    <col min="3" max="3" width="34.140625" customWidth="1"/>
    <col min="7" max="7" width="11.5703125" customWidth="1"/>
    <col min="20" max="20" width="7.85546875" customWidth="1"/>
    <col min="21" max="26" width="6.5703125" customWidth="1"/>
  </cols>
  <sheetData>
    <row r="1" spans="1:26" ht="18">
      <c r="A1" s="14" t="s">
        <v>477</v>
      </c>
    </row>
    <row r="2" spans="1:26">
      <c r="D2" s="193"/>
    </row>
    <row r="3" spans="1:26">
      <c r="B3" s="18"/>
      <c r="C3" s="19"/>
      <c r="D3" s="193"/>
    </row>
    <row r="4" spans="1:26" ht="18">
      <c r="B4" s="100" t="s">
        <v>287</v>
      </c>
      <c r="C4" s="101"/>
      <c r="D4" s="302" t="str">
        <f>"~FI_T: "&amp;Region</f>
        <v>~FI_T: FIN</v>
      </c>
      <c r="E4" s="60"/>
    </row>
    <row r="5" spans="1:26" ht="39" thickBot="1">
      <c r="A5" s="129"/>
      <c r="B5" s="55" t="s">
        <v>297</v>
      </c>
      <c r="C5" s="55" t="s">
        <v>298</v>
      </c>
      <c r="D5" s="55" t="s">
        <v>296</v>
      </c>
      <c r="E5" s="56" t="str">
        <f ca="1">CONCATENATE("\I:",IEAData!$D$2," final energy")</f>
        <v>\I:2010 final energy</v>
      </c>
      <c r="F5" s="56" t="str">
        <f ca="1">CONCATENATE("\I:",AuxYear," final energy")</f>
        <v>\I:2017 final energy</v>
      </c>
      <c r="G5" s="56" t="s">
        <v>335</v>
      </c>
      <c r="H5" s="56" t="s">
        <v>308</v>
      </c>
      <c r="I5" s="56" t="str">
        <f ca="1">"EFF~"&amp;AuxYear</f>
        <v>EFF~2017</v>
      </c>
      <c r="J5" s="130" t="s">
        <v>55</v>
      </c>
      <c r="K5" s="56" t="str">
        <f ca="1">CONCATENATE("\I:",IEAData!$D$2," Service Demand")</f>
        <v>\I:2010 Service Demand</v>
      </c>
      <c r="L5" s="56" t="str">
        <f ca="1">CONCATENATE("\I:",AuxYear," Service Demand")</f>
        <v>\I:2017 Service Demand</v>
      </c>
      <c r="M5" s="56" t="s">
        <v>56</v>
      </c>
      <c r="N5" s="56" t="s">
        <v>59</v>
      </c>
      <c r="O5" s="56" t="s">
        <v>343</v>
      </c>
      <c r="P5" s="56" t="str">
        <f ca="1">"RESID~"&amp;AuxYear</f>
        <v>RESID~2017</v>
      </c>
      <c r="Q5" s="56" t="str">
        <f ca="1">"RESID~"&amp;CEILING(AuxYear+2,5)</f>
        <v>RESID~2020</v>
      </c>
      <c r="R5" s="56" t="str">
        <f ca="1">"RESID~"&amp;CEILING(AuxYear+7,5)</f>
        <v>RESID~2025</v>
      </c>
      <c r="S5" s="56" t="str">
        <f ca="1">"RESID~"&amp;CEILING(AuxYear+12,5)</f>
        <v>RESID~2030</v>
      </c>
      <c r="U5" s="272" t="s">
        <v>468</v>
      </c>
      <c r="V5" s="272" t="s">
        <v>469</v>
      </c>
      <c r="W5" s="272" t="s">
        <v>471</v>
      </c>
      <c r="X5" s="272" t="s">
        <v>472</v>
      </c>
      <c r="Y5" s="272" t="s">
        <v>473</v>
      </c>
      <c r="Z5" s="272" t="s">
        <v>474</v>
      </c>
    </row>
    <row r="6" spans="1:26" ht="13.5" thickBot="1">
      <c r="A6" s="129"/>
      <c r="B6" s="384" t="s">
        <v>470</v>
      </c>
      <c r="C6" s="150"/>
      <c r="D6" s="150"/>
      <c r="E6" s="151"/>
      <c r="F6" s="151"/>
      <c r="G6" s="150"/>
      <c r="H6" s="150"/>
      <c r="I6" s="150"/>
      <c r="J6" s="150"/>
      <c r="K6" s="151"/>
      <c r="L6" s="151"/>
      <c r="M6" s="150"/>
      <c r="N6" s="150"/>
      <c r="O6" s="151"/>
      <c r="P6" s="151"/>
      <c r="Q6" s="150"/>
      <c r="R6" s="151"/>
      <c r="S6" s="151"/>
      <c r="U6" s="275"/>
      <c r="V6" s="275"/>
      <c r="W6" s="275"/>
      <c r="X6" s="275"/>
      <c r="Y6" s="275"/>
      <c r="Z6" s="275"/>
    </row>
    <row r="7" spans="1:26">
      <c r="A7" s="131"/>
      <c r="B7" s="201" t="s">
        <v>180</v>
      </c>
      <c r="C7" s="132" t="s">
        <v>0</v>
      </c>
      <c r="D7" s="35" t="str">
        <f ca="1">IEAData!H$51</f>
        <v>TRAGSL</v>
      </c>
      <c r="E7" s="32">
        <f ca="1">IEAData!$H$78+IEAData!$Q$78</f>
        <v>56.057108142857949</v>
      </c>
      <c r="F7" s="32">
        <f ca="1">AuxData!$H$78+AuxData!$Q$78</f>
        <v>48.793660384756279</v>
      </c>
      <c r="G7" s="228">
        <f ca="1">$U7+MATCH(D7,OFFSET(CalibData!$B$3,$U7,0,7),0)-1</f>
        <v>71</v>
      </c>
      <c r="H7" s="113">
        <f ca="1">OFFSET(CalibData!N$3,$G7,0)*OFFSET(CalibData!N$117,$V7,0)</f>
        <v>0.45303082453804822</v>
      </c>
      <c r="I7" s="113">
        <f ca="1">OFFSET(CalibData!O$3,$G7,0)*OFFSET(CalibData!O$117,$V7,0)</f>
        <v>0.44377620535448736</v>
      </c>
      <c r="J7" s="58">
        <v>1</v>
      </c>
      <c r="K7" s="133">
        <f t="shared" ref="K7:L13" ca="1" si="0">E7*H7</f>
        <v>25.395597923177473</v>
      </c>
      <c r="L7" s="133">
        <f t="shared" ca="1" si="0"/>
        <v>21.653465450902718</v>
      </c>
      <c r="M7" s="134">
        <f ca="1">OFFSET(CalibData!$E$117,$V7,0)</f>
        <v>17.5</v>
      </c>
      <c r="N7" s="134">
        <f ca="1">OFFSET(CalibData!$D$117,$V7,0)</f>
        <v>15</v>
      </c>
      <c r="O7" s="147">
        <f t="shared" ref="O7:P13" ca="1" si="1">K7/$M7</f>
        <v>1.4511770241815698</v>
      </c>
      <c r="P7" s="147">
        <f t="shared" ca="1" si="1"/>
        <v>1.2373408829087267</v>
      </c>
      <c r="Q7" s="135"/>
      <c r="R7" s="147">
        <f t="shared" ref="R7:S13" ca="1" si="2">$P7*W7</f>
        <v>0.61867044145436334</v>
      </c>
      <c r="S7" s="147">
        <f t="shared" ca="1" si="2"/>
        <v>0.24746817658174536</v>
      </c>
      <c r="U7" s="274">
        <f ca="1">IF(B6="*",MATCH(LEFT(B7,3),OFFSET(CalibData!$C$3,1,0,200),0),U6)</f>
        <v>71</v>
      </c>
      <c r="V7" s="274">
        <f ca="1">IF(B6="*",MATCH(LEFT($B7,3),OFFSET(CalibData!$B$117,1,0,10),0),V6)</f>
        <v>1</v>
      </c>
      <c r="W7" s="274">
        <v>0.5</v>
      </c>
      <c r="X7" s="274">
        <v>0.2</v>
      </c>
      <c r="Y7" s="276"/>
      <c r="Z7" s="276"/>
    </row>
    <row r="8" spans="1:26">
      <c r="A8" s="131"/>
      <c r="B8" s="201" t="s">
        <v>173</v>
      </c>
      <c r="C8" s="132" t="s">
        <v>1</v>
      </c>
      <c r="D8" s="35" t="str">
        <f ca="1">IEAData!K$51</f>
        <v>TRADST</v>
      </c>
      <c r="E8" s="262">
        <f ca="1">IEAData!$K$78</f>
        <v>22.990139267175508</v>
      </c>
      <c r="F8" s="262">
        <f ca="1">AuxData!$K$78</f>
        <v>29.723567238596743</v>
      </c>
      <c r="G8" s="228">
        <f ca="1">$U8+MATCH(D8,OFFSET(CalibData!$B$3,$U8,0,7),0)-1</f>
        <v>72</v>
      </c>
      <c r="H8" s="113">
        <f ca="1">OFFSET(CalibData!N$3,$G8,0)*OFFSET(CalibData!N$117,$V8,0)</f>
        <v>0.43817438218466587</v>
      </c>
      <c r="I8" s="113">
        <f ca="1">OFFSET(CalibData!O$3,$G8,0)*OFFSET(CalibData!O$117,$V8,0)</f>
        <v>0.47943049723888115</v>
      </c>
      <c r="J8" s="58">
        <v>1</v>
      </c>
      <c r="K8" s="133">
        <f t="shared" ca="1" si="0"/>
        <v>10.073690069734054</v>
      </c>
      <c r="L8" s="133">
        <f t="shared" ca="1" si="0"/>
        <v>14.250384620913755</v>
      </c>
      <c r="M8" s="134">
        <f ca="1">OFFSET(CalibData!$E$117,$V8,0)</f>
        <v>17.5</v>
      </c>
      <c r="N8" s="134">
        <f ca="1">OFFSET(CalibData!$D$117,$V8,0)</f>
        <v>15</v>
      </c>
      <c r="O8" s="147">
        <f t="shared" ca="1" si="1"/>
        <v>0.57563943255623162</v>
      </c>
      <c r="P8" s="147">
        <f t="shared" ca="1" si="1"/>
        <v>0.81430769262364311</v>
      </c>
      <c r="Q8" s="96"/>
      <c r="R8" s="147">
        <f t="shared" ca="1" si="2"/>
        <v>0.40715384631182155</v>
      </c>
      <c r="S8" s="147">
        <f t="shared" ca="1" si="2"/>
        <v>0.16286153852472862</v>
      </c>
      <c r="U8" s="274">
        <f ca="1">IF(B7="*",MATCH(LEFT(B8,3),OFFSET(CalibData!$C$3,1,0,200),0),U7)</f>
        <v>71</v>
      </c>
      <c r="V8" s="274">
        <f ca="1">IF(B7="*",MATCH(LEFT($B8,3),OFFSET(CalibData!$B$117,1,0,10),0),V7)</f>
        <v>1</v>
      </c>
      <c r="W8" s="274">
        <v>0.5</v>
      </c>
      <c r="X8" s="274">
        <v>0.2</v>
      </c>
      <c r="Y8" s="276"/>
      <c r="Z8" s="276"/>
    </row>
    <row r="9" spans="1:26">
      <c r="A9" s="131"/>
      <c r="B9" s="201" t="s">
        <v>174</v>
      </c>
      <c r="C9" s="132" t="s">
        <v>2</v>
      </c>
      <c r="D9" s="35" t="str">
        <f ca="1">IEAData!G$51</f>
        <v>TRALPG</v>
      </c>
      <c r="E9" s="32">
        <f ca="1">IEAData!$G$78</f>
        <v>0</v>
      </c>
      <c r="F9" s="32">
        <f ca="1">AuxData!$G$78</f>
        <v>0</v>
      </c>
      <c r="G9" s="228">
        <f ca="1">$U9+MATCH(D9,OFFSET(CalibData!$B$3,$U9,0,7),0)-1</f>
        <v>73</v>
      </c>
      <c r="H9" s="113">
        <f ca="1">OFFSET(CalibData!N$3,$G9,0)*OFFSET(CalibData!N$117,$V9,0)</f>
        <v>0.45303082453804822</v>
      </c>
      <c r="I9" s="113">
        <f ca="1">OFFSET(CalibData!O$3,$G9,0)*OFFSET(CalibData!O$117,$V9,0)</f>
        <v>0.44377620535448736</v>
      </c>
      <c r="J9" s="58">
        <v>1</v>
      </c>
      <c r="K9" s="133">
        <f t="shared" ca="1" si="0"/>
        <v>0</v>
      </c>
      <c r="L9" s="133">
        <f t="shared" ca="1" si="0"/>
        <v>0</v>
      </c>
      <c r="M9" s="134">
        <f ca="1">OFFSET(CalibData!$E$117,$V9,0)</f>
        <v>17.5</v>
      </c>
      <c r="N9" s="134">
        <f ca="1">OFFSET(CalibData!$D$117,$V9,0)</f>
        <v>15</v>
      </c>
      <c r="O9" s="147">
        <f t="shared" ca="1" si="1"/>
        <v>0</v>
      </c>
      <c r="P9" s="147">
        <f t="shared" ca="1" si="1"/>
        <v>0</v>
      </c>
      <c r="Q9" s="96"/>
      <c r="R9" s="147">
        <f t="shared" ca="1" si="2"/>
        <v>0</v>
      </c>
      <c r="S9" s="147">
        <f t="shared" ca="1" si="2"/>
        <v>0</v>
      </c>
      <c r="U9" s="274">
        <f ca="1">IF(B8="*",MATCH(LEFT(B9,3),OFFSET(CalibData!$C$3,1,0,200),0),U8)</f>
        <v>71</v>
      </c>
      <c r="V9" s="274">
        <f ca="1">IF(B8="*",MATCH(LEFT($B9,3),OFFSET(CalibData!$B$117,1,0,10),0),V8)</f>
        <v>1</v>
      </c>
      <c r="W9" s="274">
        <v>0.5</v>
      </c>
      <c r="X9" s="274">
        <v>0.2</v>
      </c>
      <c r="Y9" s="276"/>
      <c r="Z9" s="276"/>
    </row>
    <row r="10" spans="1:26">
      <c r="A10" s="131"/>
      <c r="B10" s="202" t="s">
        <v>175</v>
      </c>
      <c r="C10" s="132" t="s">
        <v>3</v>
      </c>
      <c r="D10" s="35" t="str">
        <f ca="1">IEAData!F$51</f>
        <v>TRANGA</v>
      </c>
      <c r="E10" s="70">
        <f ca="1">IEAData!$F$78</f>
        <v>7.1340258004976842E-2</v>
      </c>
      <c r="F10" s="70">
        <f ca="1">AuxData!$F$78</f>
        <v>0.17478917202379493</v>
      </c>
      <c r="G10" s="228">
        <f ca="1">$U10+MATCH(D10,OFFSET(CalibData!$B$3,$U10,0,7),0)-1</f>
        <v>74</v>
      </c>
      <c r="H10" s="113">
        <f ca="1">OFFSET(CalibData!N$3,$G10,0)*OFFSET(CalibData!N$117,$V10,0)</f>
        <v>0.45303082453804822</v>
      </c>
      <c r="I10" s="113">
        <f ca="1">OFFSET(CalibData!O$3,$G10,0)*OFFSET(CalibData!O$117,$V10,0)</f>
        <v>0.44377620535448736</v>
      </c>
      <c r="J10" s="136">
        <v>1</v>
      </c>
      <c r="K10" s="133">
        <f t="shared" ca="1" si="0"/>
        <v>3.2319335906751755E-2</v>
      </c>
      <c r="L10" s="133">
        <f t="shared" ca="1" si="0"/>
        <v>7.7567275497772439E-2</v>
      </c>
      <c r="M10" s="134">
        <f ca="1">OFFSET(CalibData!$E$117,$V10,0)</f>
        <v>17.5</v>
      </c>
      <c r="N10" s="134">
        <f ca="1">OFFSET(CalibData!$D$117,$V10,0)</f>
        <v>15</v>
      </c>
      <c r="O10" s="147">
        <f t="shared" ca="1" si="1"/>
        <v>1.8468191946715289E-3</v>
      </c>
      <c r="P10" s="147">
        <f t="shared" ca="1" si="1"/>
        <v>4.4324157427298536E-3</v>
      </c>
      <c r="Q10" s="96"/>
      <c r="R10" s="147">
        <f t="shared" ca="1" si="2"/>
        <v>2.2162078713649268E-3</v>
      </c>
      <c r="S10" s="147">
        <f t="shared" ca="1" si="2"/>
        <v>8.8648314854597075E-4</v>
      </c>
      <c r="U10" s="274">
        <f ca="1">IF(B9="*",MATCH(LEFT(B10,3),OFFSET(CalibData!$C$3,1,0,200),0),U9)</f>
        <v>71</v>
      </c>
      <c r="V10" s="274">
        <f ca="1">IF(B9="*",MATCH(LEFT($B10,3),OFFSET(CalibData!$B$117,1,0,10),0),V9)</f>
        <v>1</v>
      </c>
      <c r="W10" s="274">
        <v>0.5</v>
      </c>
      <c r="X10" s="274">
        <v>0.2</v>
      </c>
      <c r="Y10" s="276"/>
      <c r="Z10" s="276"/>
    </row>
    <row r="11" spans="1:26">
      <c r="A11" s="131"/>
      <c r="B11" s="201" t="s">
        <v>176</v>
      </c>
      <c r="C11" s="132" t="s">
        <v>4</v>
      </c>
      <c r="D11" s="35" t="str">
        <f ca="1">COMM!$C$30</f>
        <v>TRDELC</v>
      </c>
      <c r="E11" s="32">
        <f ca="1">IEAData!M78</f>
        <v>0</v>
      </c>
      <c r="F11" s="32">
        <f ca="1">AuxData!$M78</f>
        <v>5.7125588181762173E-2</v>
      </c>
      <c r="G11" s="228">
        <f ca="1">$U11+MATCH(D11,OFFSET(CalibData!$B$3,$U11,0,7),0)-1</f>
        <v>75</v>
      </c>
      <c r="H11" s="113">
        <f ca="1">OFFSET(CalibData!N$3,$G11,0)*OFFSET(CalibData!N$117,$V11,0)</f>
        <v>1.3888888888888886</v>
      </c>
      <c r="I11" s="113">
        <f ca="1">OFFSET(CalibData!O$3,$G11,0)*OFFSET(CalibData!O$117,$V11,0)</f>
        <v>1.2173215784333336</v>
      </c>
      <c r="J11" s="58">
        <v>1</v>
      </c>
      <c r="K11" s="133">
        <f t="shared" ca="1" si="0"/>
        <v>0</v>
      </c>
      <c r="L11" s="133">
        <f t="shared" ca="1" si="0"/>
        <v>6.9540211174355313E-2</v>
      </c>
      <c r="M11" s="134">
        <f ca="1">OFFSET(CalibData!$E$117,$V11,0)</f>
        <v>17.5</v>
      </c>
      <c r="N11" s="134">
        <f ca="1">OFFSET(CalibData!$D$117,$V11,0)</f>
        <v>15</v>
      </c>
      <c r="O11" s="147">
        <f t="shared" ca="1" si="1"/>
        <v>0</v>
      </c>
      <c r="P11" s="147">
        <f t="shared" ca="1" si="1"/>
        <v>3.9737263528203037E-3</v>
      </c>
      <c r="Q11" s="96"/>
      <c r="R11" s="147">
        <f t="shared" ca="1" si="2"/>
        <v>1.9868631764101518E-3</v>
      </c>
      <c r="S11" s="147">
        <f t="shared" ca="1" si="2"/>
        <v>7.9474527056406076E-4</v>
      </c>
      <c r="U11" s="274">
        <f ca="1">IF(B10="*",MATCH(LEFT(B11,3),OFFSET(CalibData!$C$3,1,0,200),0),U10)</f>
        <v>71</v>
      </c>
      <c r="V11" s="274">
        <f ca="1">IF(B10="*",MATCH(LEFT($B11,3),OFFSET(CalibData!$B$117,1,0,10),0),V10)</f>
        <v>1</v>
      </c>
      <c r="W11" s="274">
        <v>0.5</v>
      </c>
      <c r="X11" s="274">
        <v>0.2</v>
      </c>
      <c r="Y11" s="276"/>
      <c r="Z11" s="276"/>
    </row>
    <row r="12" spans="1:26">
      <c r="A12" s="131"/>
      <c r="B12" s="201" t="s">
        <v>177</v>
      </c>
      <c r="C12" s="132" t="s">
        <v>5</v>
      </c>
      <c r="D12" s="35" t="str">
        <f ca="1">IEAData!D54</f>
        <v>TRAMET</v>
      </c>
      <c r="E12" s="70">
        <f ca="1">IEAData!D78</f>
        <v>0</v>
      </c>
      <c r="F12" s="70">
        <f ca="1">AuxData!$D78</f>
        <v>0</v>
      </c>
      <c r="G12" s="228">
        <f ca="1">$U12+MATCH(D12,OFFSET(CalibData!$B$3,$U12,0,7),0)-1</f>
        <v>76</v>
      </c>
      <c r="H12" s="113">
        <f ca="1">OFFSET(CalibData!N$3,$G12,0)*OFFSET(CalibData!N$117,$V12,0)</f>
        <v>0.45303082453804822</v>
      </c>
      <c r="I12" s="113">
        <f ca="1">OFFSET(CalibData!O$3,$G12,0)*OFFSET(CalibData!O$117,$V12,0)</f>
        <v>0.44377620535448736</v>
      </c>
      <c r="J12" s="58">
        <v>1</v>
      </c>
      <c r="K12" s="133">
        <f t="shared" ca="1" si="0"/>
        <v>0</v>
      </c>
      <c r="L12" s="133">
        <f t="shared" ca="1" si="0"/>
        <v>0</v>
      </c>
      <c r="M12" s="134">
        <f ca="1">OFFSET(CalibData!$E$117,$V12,0)</f>
        <v>17.5</v>
      </c>
      <c r="N12" s="134">
        <f ca="1">OFFSET(CalibData!$D$117,$V12,0)</f>
        <v>15</v>
      </c>
      <c r="O12" s="147">
        <f t="shared" ca="1" si="1"/>
        <v>0</v>
      </c>
      <c r="P12" s="147">
        <f t="shared" ca="1" si="1"/>
        <v>0</v>
      </c>
      <c r="Q12" s="96"/>
      <c r="R12" s="147">
        <f t="shared" ca="1" si="2"/>
        <v>0</v>
      </c>
      <c r="S12" s="147">
        <f t="shared" ca="1" si="2"/>
        <v>0</v>
      </c>
      <c r="U12" s="274">
        <f ca="1">IF(B11="*",MATCH(LEFT(B12,3),OFFSET(CalibData!$C$3,1,0,200),0),U11)</f>
        <v>71</v>
      </c>
      <c r="V12" s="274">
        <f ca="1">IF(B11="*",MATCH(LEFT($B12,3),OFFSET(CalibData!$B$117,1,0,10),0),V11)</f>
        <v>1</v>
      </c>
      <c r="W12" s="274">
        <v>0.5</v>
      </c>
      <c r="X12" s="274">
        <v>0.2</v>
      </c>
      <c r="Y12" s="276"/>
      <c r="Z12" s="276"/>
    </row>
    <row r="13" spans="1:26">
      <c r="A13" s="131"/>
      <c r="B13" s="202" t="s">
        <v>178</v>
      </c>
      <c r="C13" s="132" t="s">
        <v>6</v>
      </c>
      <c r="D13" s="35" t="str">
        <f ca="1">IEAData!E54</f>
        <v>TRAETH</v>
      </c>
      <c r="E13" s="70">
        <f ca="1">IEAData!$P$78</f>
        <v>0</v>
      </c>
      <c r="F13" s="70">
        <f ca="1">AuxData!$P$78</f>
        <v>0.74942993817866466</v>
      </c>
      <c r="G13" s="228">
        <f ca="1">$U13+MATCH(D13,OFFSET(CalibData!$B$3,$U13,0,7),0)-1</f>
        <v>77</v>
      </c>
      <c r="H13" s="113">
        <f ca="1">OFFSET(CalibData!N$3,$G13,0)*OFFSET(CalibData!N$117,$V13,0)</f>
        <v>0.45303082453804822</v>
      </c>
      <c r="I13" s="113">
        <f ca="1">OFFSET(CalibData!O$3,$G13,0)*OFFSET(CalibData!O$117,$V13,0)</f>
        <v>0.44377620535448736</v>
      </c>
      <c r="J13" s="136">
        <v>1</v>
      </c>
      <c r="K13" s="133">
        <f t="shared" ca="1" si="0"/>
        <v>0</v>
      </c>
      <c r="L13" s="133">
        <f t="shared" ca="1" si="0"/>
        <v>0.33257917414397586</v>
      </c>
      <c r="M13" s="134">
        <f ca="1">OFFSET(CalibData!$E$117,$V13,0)</f>
        <v>17.5</v>
      </c>
      <c r="N13" s="134">
        <f ca="1">OFFSET(CalibData!$D$117,$V13,0)</f>
        <v>15</v>
      </c>
      <c r="O13" s="147">
        <f t="shared" ca="1" si="1"/>
        <v>0</v>
      </c>
      <c r="P13" s="147">
        <f t="shared" ca="1" si="1"/>
        <v>1.9004524236798621E-2</v>
      </c>
      <c r="Q13" s="96"/>
      <c r="R13" s="147">
        <f t="shared" ca="1" si="2"/>
        <v>9.5022621183993104E-3</v>
      </c>
      <c r="S13" s="147">
        <f t="shared" ca="1" si="2"/>
        <v>3.8009048473597244E-3</v>
      </c>
      <c r="U13" s="274">
        <f ca="1">IF(B12="*",MATCH(LEFT(B13,3),OFFSET(CalibData!$C$3,1,0,200),0),U12)</f>
        <v>71</v>
      </c>
      <c r="V13" s="274">
        <f ca="1">IF(B12="*",MATCH(LEFT($B13,3),OFFSET(CalibData!$B$117,1,0,10),0),V12)</f>
        <v>1</v>
      </c>
      <c r="W13" s="274">
        <v>0.5</v>
      </c>
      <c r="X13" s="274">
        <v>0.2</v>
      </c>
      <c r="Y13" s="276"/>
      <c r="Z13" s="276"/>
    </row>
    <row r="14" spans="1:26" ht="13.5" thickBot="1">
      <c r="B14" s="384" t="s">
        <v>470</v>
      </c>
      <c r="C14" s="150" t="str">
        <f>LEFT(B13,3)</f>
        <v>TRT</v>
      </c>
      <c r="D14" s="150"/>
      <c r="E14" s="151">
        <f ca="1">SUM(E7:E13)</f>
        <v>79.118587668038444</v>
      </c>
      <c r="F14" s="151">
        <f ca="1">SUM(F7:F13)</f>
        <v>79.498572321737242</v>
      </c>
      <c r="G14" s="150"/>
      <c r="H14" s="150"/>
      <c r="I14" s="150"/>
      <c r="J14" s="150"/>
      <c r="K14" s="151">
        <f ca="1">SUM(K7:K13)</f>
        <v>35.501607328818274</v>
      </c>
      <c r="L14" s="151">
        <f ca="1">SUM(L7:L13)</f>
        <v>36.383536732632571</v>
      </c>
      <c r="M14" s="150"/>
      <c r="N14" s="150"/>
      <c r="O14" s="151">
        <f ca="1">SUM(O7:O13)</f>
        <v>2.0286632759324732</v>
      </c>
      <c r="P14" s="151">
        <f ca="1">SUM(P7:P13)</f>
        <v>2.0790592418647189</v>
      </c>
      <c r="Q14" s="150"/>
      <c r="R14" s="151"/>
      <c r="S14" s="151"/>
      <c r="U14" s="275"/>
      <c r="V14" s="275"/>
      <c r="W14" s="275"/>
      <c r="X14" s="275"/>
      <c r="Y14" s="275"/>
      <c r="Z14" s="275"/>
    </row>
    <row r="15" spans="1:26">
      <c r="B15" s="201" t="s">
        <v>119</v>
      </c>
      <c r="C15" s="132" t="s">
        <v>14</v>
      </c>
      <c r="D15" s="35" t="str">
        <f ca="1">IEAData!H$51</f>
        <v>TRAGSL</v>
      </c>
      <c r="E15" s="57">
        <f ca="1">IEAData!H81</f>
        <v>0</v>
      </c>
      <c r="F15" s="57">
        <f ca="1">AuxData!$H81</f>
        <v>0</v>
      </c>
      <c r="G15" s="228">
        <f ca="1">$U15+MATCH(D15,OFFSET(CalibData!$B$3,$U15,0,7),0)-1</f>
        <v>78</v>
      </c>
      <c r="H15" s="113">
        <f ca="1">OFFSET(CalibData!N$3,$G15,0)*OFFSET(CalibData!N$117,$V15,0)</f>
        <v>8.6104845926598741E-2</v>
      </c>
      <c r="I15" s="113">
        <f ca="1">OFFSET(CalibData!O$3,$G15,0)*OFFSET(CalibData!O$117,$V15,0)</f>
        <v>7.9611883401826414E-2</v>
      </c>
      <c r="J15" s="58">
        <v>1</v>
      </c>
      <c r="K15" s="133">
        <f t="shared" ref="K15:L21" ca="1" si="3">E15*H15</f>
        <v>0</v>
      </c>
      <c r="L15" s="133">
        <f t="shared" ca="1" si="3"/>
        <v>0</v>
      </c>
      <c r="M15" s="134">
        <f ca="1">OFFSET(CalibData!$E$117,$V15,0)</f>
        <v>65</v>
      </c>
      <c r="N15" s="134">
        <f ca="1">OFFSET(CalibData!$D$117,$V15,0)</f>
        <v>15</v>
      </c>
      <c r="O15" s="147">
        <f t="shared" ref="O15:P21" ca="1" si="4">K15/$M15</f>
        <v>0</v>
      </c>
      <c r="P15" s="147">
        <f t="shared" ca="1" si="4"/>
        <v>0</v>
      </c>
      <c r="Q15" s="135"/>
      <c r="R15" s="147">
        <f t="shared" ref="R15:S21" ca="1" si="5">$P15*W15</f>
        <v>0</v>
      </c>
      <c r="S15" s="147">
        <f t="shared" ca="1" si="5"/>
        <v>0</v>
      </c>
      <c r="U15" s="274">
        <f ca="1">IF(B30="*",MATCH(LEFT(B15,3),OFFSET(CalibData!$C$3,1,0,200),0),U30)</f>
        <v>78</v>
      </c>
      <c r="V15" s="274">
        <f ca="1">IF(B30="*",MATCH(LEFT($B15,3),OFFSET(CalibData!$B$117,1,0,10),0),V30)</f>
        <v>3</v>
      </c>
      <c r="W15" s="274">
        <v>0.5</v>
      </c>
      <c r="X15" s="274">
        <v>0.2</v>
      </c>
      <c r="Y15" s="276"/>
      <c r="Z15" s="276"/>
    </row>
    <row r="16" spans="1:26">
      <c r="B16" s="201" t="s">
        <v>120</v>
      </c>
      <c r="C16" s="132" t="s">
        <v>15</v>
      </c>
      <c r="D16" s="35" t="str">
        <f ca="1">IEAData!K$51</f>
        <v>TRADST</v>
      </c>
      <c r="E16" s="57">
        <f ca="1">IEAData!K81</f>
        <v>5.7343560522697263</v>
      </c>
      <c r="F16" s="57">
        <f ca="1">AuxData!$K81</f>
        <v>6.3164136657855368</v>
      </c>
      <c r="G16" s="228">
        <f ca="1">$U16+MATCH(D16,OFFSET(CalibData!$B$3,$U16,0,7),0)-1</f>
        <v>79</v>
      </c>
      <c r="H16" s="113">
        <f ca="1">OFFSET(CalibData!N$3,$G16,0)*OFFSET(CalibData!N$117,$V16,0)</f>
        <v>8.6104845926598741E-2</v>
      </c>
      <c r="I16" s="113">
        <f ca="1">OFFSET(CalibData!O$3,$G16,0)*OFFSET(CalibData!O$117,$V16,0)</f>
        <v>7.9611883401826414E-2</v>
      </c>
      <c r="J16" s="58">
        <v>1</v>
      </c>
      <c r="K16" s="133">
        <f t="shared" ca="1" si="3"/>
        <v>0.49375584436894376</v>
      </c>
      <c r="L16" s="133">
        <f t="shared" ca="1" si="3"/>
        <v>0.50286158827822114</v>
      </c>
      <c r="M16" s="134">
        <f ca="1">OFFSET(CalibData!$E$117,$V16,0)</f>
        <v>65</v>
      </c>
      <c r="N16" s="134">
        <f ca="1">OFFSET(CalibData!$D$117,$V16,0)</f>
        <v>15</v>
      </c>
      <c r="O16" s="147">
        <f t="shared" ca="1" si="4"/>
        <v>7.5962437595222115E-3</v>
      </c>
      <c r="P16" s="147">
        <f t="shared" ca="1" si="4"/>
        <v>7.7363321273572483E-3</v>
      </c>
      <c r="Q16" s="96"/>
      <c r="R16" s="147">
        <f t="shared" ca="1" si="5"/>
        <v>3.8681660636786241E-3</v>
      </c>
      <c r="S16" s="147">
        <f t="shared" ca="1" si="5"/>
        <v>1.5472664254714498E-3</v>
      </c>
      <c r="U16" s="274">
        <f ca="1">IF(B15="*",MATCH(LEFT(B16,3),OFFSET(CalibData!$C$3,1,0,200),0),U15)</f>
        <v>78</v>
      </c>
      <c r="V16" s="274">
        <f ca="1">IF(B15="*",MATCH(LEFT($B16,3),OFFSET(CalibData!$B$117,1,0,10),0),V15)</f>
        <v>3</v>
      </c>
      <c r="W16" s="274">
        <v>0.5</v>
      </c>
      <c r="X16" s="274">
        <v>0.2</v>
      </c>
      <c r="Y16" s="276"/>
      <c r="Z16" s="276"/>
    </row>
    <row r="17" spans="2:26">
      <c r="B17" s="201" t="s">
        <v>121</v>
      </c>
      <c r="C17" s="132" t="s">
        <v>16</v>
      </c>
      <c r="D17" s="35" t="str">
        <f ca="1">IEAData!G$51</f>
        <v>TRALPG</v>
      </c>
      <c r="E17" s="57">
        <f ca="1">IEAData!G81</f>
        <v>0</v>
      </c>
      <c r="F17" s="57">
        <f ca="1">AuxData!$G81</f>
        <v>0</v>
      </c>
      <c r="G17" s="228">
        <f ca="1">$U17+MATCH(D17,OFFSET(CalibData!$B$3,$U17,0,7),0)-1</f>
        <v>80</v>
      </c>
      <c r="H17" s="113">
        <f ca="1">OFFSET(CalibData!N$3,$G17,0)*OFFSET(CalibData!N$117,$V17,0)</f>
        <v>8.6104845926598741E-2</v>
      </c>
      <c r="I17" s="113">
        <f ca="1">OFFSET(CalibData!O$3,$G17,0)*OFFSET(CalibData!O$117,$V17,0)</f>
        <v>7.9611883401826414E-2</v>
      </c>
      <c r="J17" s="58">
        <v>1</v>
      </c>
      <c r="K17" s="133">
        <f t="shared" ca="1" si="3"/>
        <v>0</v>
      </c>
      <c r="L17" s="133">
        <f t="shared" ca="1" si="3"/>
        <v>0</v>
      </c>
      <c r="M17" s="134">
        <f ca="1">OFFSET(CalibData!$E$117,$V17,0)</f>
        <v>65</v>
      </c>
      <c r="N17" s="134">
        <f ca="1">OFFSET(CalibData!$D$117,$V17,0)</f>
        <v>15</v>
      </c>
      <c r="O17" s="147">
        <f t="shared" ca="1" si="4"/>
        <v>0</v>
      </c>
      <c r="P17" s="147">
        <f t="shared" ca="1" si="4"/>
        <v>0</v>
      </c>
      <c r="Q17" s="96"/>
      <c r="R17" s="147">
        <f t="shared" ca="1" si="5"/>
        <v>0</v>
      </c>
      <c r="S17" s="147">
        <f t="shared" ca="1" si="5"/>
        <v>0</v>
      </c>
      <c r="U17" s="274">
        <f ca="1">IF(B16="*",MATCH(LEFT(B17,3),OFFSET(CalibData!$C$3,1,0,200),0),U16)</f>
        <v>78</v>
      </c>
      <c r="V17" s="274">
        <f ca="1">IF(B16="*",MATCH(LEFT($B17,3),OFFSET(CalibData!$B$117,1,0,10),0),V16)</f>
        <v>3</v>
      </c>
      <c r="W17" s="274">
        <v>0.5</v>
      </c>
      <c r="X17" s="274">
        <v>0.2</v>
      </c>
      <c r="Y17" s="276"/>
      <c r="Z17" s="276"/>
    </row>
    <row r="18" spans="2:26">
      <c r="B18" s="202" t="s">
        <v>122</v>
      </c>
      <c r="C18" s="132" t="s">
        <v>17</v>
      </c>
      <c r="D18" s="35" t="str">
        <f ca="1">IEAData!F$51</f>
        <v>TRANGA</v>
      </c>
      <c r="E18" s="71">
        <f ca="1">IEAData!F81</f>
        <v>0.11631563805159267</v>
      </c>
      <c r="F18" s="71">
        <f ca="1">AuxData!$F81</f>
        <v>9.5638034410983078E-2</v>
      </c>
      <c r="G18" s="228">
        <f ca="1">$U18+MATCH(D18,OFFSET(CalibData!$B$3,$U18,0,7),0)-1</f>
        <v>81</v>
      </c>
      <c r="H18" s="113">
        <f ca="1">OFFSET(CalibData!N$3,$G18,0)*OFFSET(CalibData!N$117,$V18,0)</f>
        <v>8.6104845926598741E-2</v>
      </c>
      <c r="I18" s="113">
        <f ca="1">OFFSET(CalibData!O$3,$G18,0)*OFFSET(CalibData!O$117,$V18,0)</f>
        <v>7.9611883401826414E-2</v>
      </c>
      <c r="J18" s="136">
        <v>1</v>
      </c>
      <c r="K18" s="133">
        <f t="shared" ca="1" si="3"/>
        <v>1.0015340093286413E-2</v>
      </c>
      <c r="L18" s="133">
        <f t="shared" ca="1" si="3"/>
        <v>7.613924044307047E-3</v>
      </c>
      <c r="M18" s="134">
        <f ca="1">OFFSET(CalibData!$E$117,$V18,0)</f>
        <v>65</v>
      </c>
      <c r="N18" s="134">
        <f ca="1">OFFSET(CalibData!$D$117,$V18,0)</f>
        <v>15</v>
      </c>
      <c r="O18" s="147">
        <f t="shared" ca="1" si="4"/>
        <v>1.5408215528132943E-4</v>
      </c>
      <c r="P18" s="147">
        <f t="shared" ca="1" si="4"/>
        <v>1.1713729298933918E-4</v>
      </c>
      <c r="Q18" s="96"/>
      <c r="R18" s="147">
        <f t="shared" ca="1" si="5"/>
        <v>5.8568646494669592E-5</v>
      </c>
      <c r="S18" s="147">
        <f t="shared" ca="1" si="5"/>
        <v>2.3427458597867839E-5</v>
      </c>
      <c r="U18" s="274">
        <f ca="1">IF(B17="*",MATCH(LEFT(B18,3),OFFSET(CalibData!$C$3,1,0,200),0),U17)</f>
        <v>78</v>
      </c>
      <c r="V18" s="274">
        <f ca="1">IF(B17="*",MATCH(LEFT($B18,3),OFFSET(CalibData!$B$117,1,0,10),0),V17)</f>
        <v>3</v>
      </c>
      <c r="W18" s="274">
        <v>0.5</v>
      </c>
      <c r="X18" s="274">
        <v>0.2</v>
      </c>
      <c r="Y18" s="276"/>
      <c r="Z18" s="276"/>
    </row>
    <row r="19" spans="2:26">
      <c r="B19" s="202" t="s">
        <v>123</v>
      </c>
      <c r="C19" s="132" t="s">
        <v>18</v>
      </c>
      <c r="D19" s="35" t="str">
        <f ca="1">COMM!$C$30</f>
        <v>TRDELC</v>
      </c>
      <c r="E19" s="71">
        <f ca="1">IEAData!M81</f>
        <v>0</v>
      </c>
      <c r="F19" s="71">
        <f ca="1">AuxData!$M81</f>
        <v>5.6707548444922748E-4</v>
      </c>
      <c r="G19" s="228">
        <f ca="1">$U19+MATCH(D19,OFFSET(CalibData!$B$3,$U19,0,7),0)-1</f>
        <v>82</v>
      </c>
      <c r="H19" s="113">
        <f ca="1">OFFSET(CalibData!N$3,$G19,0)*OFFSET(CalibData!N$117,$V19,0)</f>
        <v>0.30632519518898255</v>
      </c>
      <c r="I19" s="113">
        <f ca="1">OFFSET(CalibData!O$3,$G19,0)*OFFSET(CalibData!O$117,$V19,0)</f>
        <v>0.20735701310626153</v>
      </c>
      <c r="J19" s="58">
        <v>1</v>
      </c>
      <c r="K19" s="133">
        <f t="shared" ca="1" si="3"/>
        <v>0</v>
      </c>
      <c r="L19" s="133">
        <f t="shared" ca="1" si="3"/>
        <v>1.1758707866117807E-4</v>
      </c>
      <c r="M19" s="134">
        <f ca="1">OFFSET(CalibData!$E$117,$V19,0)</f>
        <v>65</v>
      </c>
      <c r="N19" s="134">
        <f ca="1">OFFSET(CalibData!$D$117,$V19,0)</f>
        <v>15</v>
      </c>
      <c r="O19" s="147">
        <f t="shared" ca="1" si="4"/>
        <v>0</v>
      </c>
      <c r="P19" s="147">
        <f t="shared" ca="1" si="4"/>
        <v>1.8090319794027396E-6</v>
      </c>
      <c r="Q19" s="96"/>
      <c r="R19" s="147">
        <f t="shared" ca="1" si="5"/>
        <v>9.0451598970136981E-7</v>
      </c>
      <c r="S19" s="147">
        <f t="shared" ca="1" si="5"/>
        <v>3.6180639588054796E-7</v>
      </c>
      <c r="U19" s="274">
        <f ca="1">IF(B18="*",MATCH(LEFT(B19,3),OFFSET(CalibData!$C$3,1,0,200),0),U18)</f>
        <v>78</v>
      </c>
      <c r="V19" s="274">
        <f ca="1">IF(B18="*",MATCH(LEFT($B19,3),OFFSET(CalibData!$B$117,1,0,10),0),V18)</f>
        <v>3</v>
      </c>
      <c r="W19" s="274">
        <v>0.5</v>
      </c>
      <c r="X19" s="274">
        <v>0.2</v>
      </c>
      <c r="Y19" s="276"/>
      <c r="Z19" s="276"/>
    </row>
    <row r="20" spans="2:26">
      <c r="B20" s="202" t="s">
        <v>166</v>
      </c>
      <c r="C20" s="132" t="s">
        <v>19</v>
      </c>
      <c r="D20" s="35" t="str">
        <f ca="1">IEAData!$D$54</f>
        <v>TRAMET</v>
      </c>
      <c r="E20" s="71">
        <f ca="1">IEAData!$D$81</f>
        <v>0</v>
      </c>
      <c r="F20" s="71">
        <f ca="1">AuxData!$D$81</f>
        <v>0</v>
      </c>
      <c r="G20" s="228">
        <f ca="1">$U20+MATCH(D20,OFFSET(CalibData!$B$3,$U20,0,7),0)-1</f>
        <v>83</v>
      </c>
      <c r="H20" s="113">
        <f ca="1">OFFSET(CalibData!N$3,$G20,0)*OFFSET(CalibData!N$117,$V20,0)</f>
        <v>8.6104845926598741E-2</v>
      </c>
      <c r="I20" s="113">
        <f ca="1">OFFSET(CalibData!O$3,$G20,0)*OFFSET(CalibData!O$117,$V20,0)</f>
        <v>7.9611883401826414E-2</v>
      </c>
      <c r="J20" s="58">
        <v>1</v>
      </c>
      <c r="K20" s="133">
        <f t="shared" ca="1" si="3"/>
        <v>0</v>
      </c>
      <c r="L20" s="133">
        <f t="shared" ca="1" si="3"/>
        <v>0</v>
      </c>
      <c r="M20" s="134">
        <f ca="1">OFFSET(CalibData!$E$117,$V20,0)</f>
        <v>65</v>
      </c>
      <c r="N20" s="134">
        <f ca="1">OFFSET(CalibData!$D$117,$V20,0)</f>
        <v>15</v>
      </c>
      <c r="O20" s="147">
        <f t="shared" ca="1" si="4"/>
        <v>0</v>
      </c>
      <c r="P20" s="147">
        <f t="shared" ca="1" si="4"/>
        <v>0</v>
      </c>
      <c r="Q20" s="96"/>
      <c r="R20" s="147">
        <f t="shared" ca="1" si="5"/>
        <v>0</v>
      </c>
      <c r="S20" s="147">
        <f t="shared" ca="1" si="5"/>
        <v>0</v>
      </c>
      <c r="U20" s="274">
        <f ca="1">IF(B19="*",MATCH(LEFT(B20,3),OFFSET(CalibData!$C$3,1,0,200),0),U19)</f>
        <v>78</v>
      </c>
      <c r="V20" s="274">
        <f ca="1">IF(B19="*",MATCH(LEFT($B20,3),OFFSET(CalibData!$B$117,1,0,10),0),V19)</f>
        <v>3</v>
      </c>
      <c r="W20" s="274">
        <v>0.5</v>
      </c>
      <c r="X20" s="274">
        <v>0.2</v>
      </c>
      <c r="Y20" s="276"/>
      <c r="Z20" s="276"/>
    </row>
    <row r="21" spans="2:26" ht="13.5" thickBot="1">
      <c r="B21" s="203" t="s">
        <v>167</v>
      </c>
      <c r="C21" s="137" t="s">
        <v>20</v>
      </c>
      <c r="D21" s="28" t="str">
        <f ca="1">IEAData!$E$54</f>
        <v>TRAETH</v>
      </c>
      <c r="E21" s="59">
        <f ca="1">IEAData!$E$81</f>
        <v>0</v>
      </c>
      <c r="F21" s="59">
        <f ca="1">AuxData!$E$81</f>
        <v>0</v>
      </c>
      <c r="G21" s="228">
        <f ca="1">$U21+MATCH(D21,OFFSET(CalibData!$B$3,$U21,0,7),0)-1</f>
        <v>84</v>
      </c>
      <c r="H21" s="113">
        <f ca="1">OFFSET(CalibData!N$3,$G21,0)*OFFSET(CalibData!N$117,$V21,0)</f>
        <v>8.6104845926598741E-2</v>
      </c>
      <c r="I21" s="113">
        <f ca="1">OFFSET(CalibData!O$3,$G21,0)*OFFSET(CalibData!O$117,$V21,0)</f>
        <v>7.9611883401826414E-2</v>
      </c>
      <c r="J21" s="136">
        <v>1</v>
      </c>
      <c r="K21" s="133">
        <f t="shared" ca="1" si="3"/>
        <v>0</v>
      </c>
      <c r="L21" s="133">
        <f t="shared" ca="1" si="3"/>
        <v>0</v>
      </c>
      <c r="M21" s="134">
        <f ca="1">OFFSET(CalibData!$E$117,$V21,0)</f>
        <v>65</v>
      </c>
      <c r="N21" s="134">
        <f ca="1">OFFSET(CalibData!$D$117,$V21,0)</f>
        <v>15</v>
      </c>
      <c r="O21" s="147">
        <f t="shared" ca="1" si="4"/>
        <v>0</v>
      </c>
      <c r="P21" s="147">
        <f t="shared" ca="1" si="4"/>
        <v>0</v>
      </c>
      <c r="Q21" s="96"/>
      <c r="R21" s="147">
        <f t="shared" ca="1" si="5"/>
        <v>0</v>
      </c>
      <c r="S21" s="147">
        <f t="shared" ca="1" si="5"/>
        <v>0</v>
      </c>
      <c r="U21" s="274">
        <f ca="1">IF(B20="*",MATCH(LEFT(B21,3),OFFSET(CalibData!$C$3,1,0,200),0),U20)</f>
        <v>78</v>
      </c>
      <c r="V21" s="274">
        <f ca="1">IF(B20="*",MATCH(LEFT($B21,3),OFFSET(CalibData!$B$117,1,0,10),0),V20)</f>
        <v>3</v>
      </c>
      <c r="W21" s="274">
        <v>0.5</v>
      </c>
      <c r="X21" s="274">
        <v>0.2</v>
      </c>
      <c r="Y21" s="276"/>
      <c r="Z21" s="276"/>
    </row>
    <row r="22" spans="2:26" ht="13.5" thickBot="1">
      <c r="B22" s="384" t="s">
        <v>470</v>
      </c>
      <c r="C22" s="150" t="str">
        <f>LEFT(B21,3)</f>
        <v>TRB</v>
      </c>
      <c r="D22" s="150"/>
      <c r="E22" s="151">
        <f ca="1">SUM(E15:E21)</f>
        <v>5.8506716903213194</v>
      </c>
      <c r="F22" s="151">
        <f ca="1">SUM(F15:F21)</f>
        <v>6.4126187756809694</v>
      </c>
      <c r="G22" s="150"/>
      <c r="H22" s="150"/>
      <c r="I22" s="150"/>
      <c r="J22" s="150"/>
      <c r="K22" s="151">
        <f ca="1">SUM(K15:K21)</f>
        <v>0.50377118446223013</v>
      </c>
      <c r="L22" s="151">
        <f ca="1">SUM(L15:L21)</f>
        <v>0.51059309940118935</v>
      </c>
      <c r="M22" s="150"/>
      <c r="N22" s="150"/>
      <c r="O22" s="151">
        <f ca="1">SUM(O15:O21)</f>
        <v>7.7503259148035408E-3</v>
      </c>
      <c r="P22" s="151">
        <f ca="1">SUM(P15:P21)</f>
        <v>7.8552784523259894E-3</v>
      </c>
      <c r="Q22" s="150"/>
      <c r="R22" s="151"/>
      <c r="S22" s="151"/>
      <c r="U22" s="275"/>
      <c r="V22" s="275"/>
      <c r="W22" s="275"/>
      <c r="X22" s="275"/>
      <c r="Y22" s="275"/>
      <c r="Z22" s="275"/>
    </row>
    <row r="23" spans="2:26">
      <c r="B23" s="201" t="s">
        <v>136</v>
      </c>
      <c r="C23" s="132" t="s">
        <v>7</v>
      </c>
      <c r="D23" s="35" t="str">
        <f ca="1">IEAData!H$51</f>
        <v>TRAGSL</v>
      </c>
      <c r="E23" s="262">
        <f ca="1">IEAData!$H$79+IEAData!$Q$79</f>
        <v>0.70530034009655918</v>
      </c>
      <c r="F23" s="262">
        <f ca="1">AuxData!$H$79+AuxData!$Q$79</f>
        <v>1.0158218697991375</v>
      </c>
      <c r="G23" s="228">
        <f ca="1">$U23+MATCH(D23,OFFSET(CalibData!$B$3,$U23,0,7),0)-1</f>
        <v>85</v>
      </c>
      <c r="H23" s="113">
        <f ca="1">OFFSET(CalibData!N$3,$G23,0)*OFFSET(CalibData!N$117,$V23,0)</f>
        <v>0.36236518444162885</v>
      </c>
      <c r="I23" s="113">
        <f ca="1">OFFSET(CalibData!O$3,$G23,0)*OFFSET(CalibData!O$117,$V23,0)</f>
        <v>0.34718112011675695</v>
      </c>
      <c r="J23" s="58">
        <v>1</v>
      </c>
      <c r="K23" s="133">
        <f t="shared" ref="K23:L29" ca="1" si="6">E23*H23</f>
        <v>0.25557628782583325</v>
      </c>
      <c r="L23" s="133">
        <f t="shared" ca="1" si="6"/>
        <v>0.35267417459596301</v>
      </c>
      <c r="M23" s="134">
        <f ca="1">OFFSET(CalibData!$E$117,$V23,0)</f>
        <v>19</v>
      </c>
      <c r="N23" s="134">
        <f ca="1">OFFSET(CalibData!$D$117,$V23,0)</f>
        <v>12</v>
      </c>
      <c r="O23" s="147">
        <f t="shared" ref="O23:P29" ca="1" si="7">K23/$M23</f>
        <v>1.3451383569780697E-2</v>
      </c>
      <c r="P23" s="147">
        <f t="shared" ca="1" si="7"/>
        <v>1.8561798662945422E-2</v>
      </c>
      <c r="Q23" s="135"/>
      <c r="R23" s="147">
        <f t="shared" ref="R23:S29" ca="1" si="8">$P23*W23</f>
        <v>8.1671914116959853E-3</v>
      </c>
      <c r="S23" s="147">
        <f t="shared" ca="1" si="8"/>
        <v>2.7842697994418133E-3</v>
      </c>
      <c r="U23" s="274">
        <f ca="1">IF(B14="*",MATCH(LEFT(B23,3),OFFSET(CalibData!$C$3,1,0,200),0),U14)</f>
        <v>85</v>
      </c>
      <c r="V23" s="274">
        <f ca="1">IF(B14="*",MATCH(LEFT($B23,3),OFFSET(CalibData!$B$117,1,0,10),0),V14)</f>
        <v>2</v>
      </c>
      <c r="W23" s="274">
        <v>0.44</v>
      </c>
      <c r="X23" s="274">
        <v>0.15</v>
      </c>
      <c r="Y23" s="276"/>
      <c r="Z23" s="276"/>
    </row>
    <row r="24" spans="2:26">
      <c r="B24" s="201" t="s">
        <v>144</v>
      </c>
      <c r="C24" s="132" t="s">
        <v>8</v>
      </c>
      <c r="D24" s="35" t="str">
        <f ca="1">IEAData!K$51</f>
        <v>TRADST</v>
      </c>
      <c r="E24" s="32">
        <f ca="1">IEAData!$K$79</f>
        <v>13.930560728967281</v>
      </c>
      <c r="F24" s="32">
        <f ca="1">AuxData!$K$79</f>
        <v>11.73631638478455</v>
      </c>
      <c r="G24" s="228">
        <f ca="1">$U24+MATCH(D24,OFFSET(CalibData!$B$3,$U24,0,7),0)-1</f>
        <v>86</v>
      </c>
      <c r="H24" s="113">
        <f ca="1">OFFSET(CalibData!N$3,$G24,0)*OFFSET(CalibData!N$117,$V24,0)</f>
        <v>0.30422782301794299</v>
      </c>
      <c r="I24" s="113">
        <f ca="1">OFFSET(CalibData!O$3,$G24,0)*OFFSET(CalibData!O$117,$V24,0)</f>
        <v>0.39490903632549257</v>
      </c>
      <c r="J24" s="58">
        <v>1</v>
      </c>
      <c r="K24" s="133">
        <f t="shared" ca="1" si="6"/>
        <v>4.2380641639929646</v>
      </c>
      <c r="L24" s="133">
        <f t="shared" ca="1" si="6"/>
        <v>4.6347773935263552</v>
      </c>
      <c r="M24" s="134">
        <f ca="1">OFFSET(CalibData!$E$117,$V24,0)</f>
        <v>19</v>
      </c>
      <c r="N24" s="134">
        <f ca="1">OFFSET(CalibData!$D$117,$V24,0)</f>
        <v>12</v>
      </c>
      <c r="O24" s="147">
        <f t="shared" ca="1" si="7"/>
        <v>0.22305600863120867</v>
      </c>
      <c r="P24" s="147">
        <f t="shared" ca="1" si="7"/>
        <v>0.24393565229086081</v>
      </c>
      <c r="Q24" s="96"/>
      <c r="R24" s="147">
        <f t="shared" ca="1" si="8"/>
        <v>0.10733168700797875</v>
      </c>
      <c r="S24" s="147">
        <f t="shared" ca="1" si="8"/>
        <v>3.659034784362912E-2</v>
      </c>
      <c r="U24" s="274">
        <f ca="1">IF(B23="*",MATCH(LEFT(B24,3),OFFSET(CalibData!$C$3,1,0,200),0),U23)</f>
        <v>85</v>
      </c>
      <c r="V24" s="274">
        <f ca="1">IF(B23="*",MATCH(LEFT($B24,3),OFFSET(CalibData!$B$117,1,0,10),0),V23)</f>
        <v>2</v>
      </c>
      <c r="W24" s="274">
        <v>0.44</v>
      </c>
      <c r="X24" s="274">
        <v>0.15</v>
      </c>
      <c r="Y24" s="276"/>
      <c r="Z24" s="276"/>
    </row>
    <row r="25" spans="2:26">
      <c r="B25" s="202" t="s">
        <v>145</v>
      </c>
      <c r="C25" s="132" t="s">
        <v>9</v>
      </c>
      <c r="D25" s="35" t="str">
        <f ca="1">IEAData!G$51</f>
        <v>TRALPG</v>
      </c>
      <c r="E25" s="70">
        <f ca="1">IEAData!$G$79</f>
        <v>0</v>
      </c>
      <c r="F25" s="70">
        <f ca="1">AuxData!$G$79</f>
        <v>0</v>
      </c>
      <c r="G25" s="228">
        <f ca="1">$U25+MATCH(D25,OFFSET(CalibData!$B$3,$U25,0,7),0)-1</f>
        <v>87</v>
      </c>
      <c r="H25" s="113">
        <f ca="1">OFFSET(CalibData!N$3,$G25,0)*OFFSET(CalibData!N$117,$V25,0)</f>
        <v>0.36236518444162885</v>
      </c>
      <c r="I25" s="113">
        <f ca="1">OFFSET(CalibData!O$3,$G25,0)*OFFSET(CalibData!O$117,$V25,0)</f>
        <v>0.34718112011675695</v>
      </c>
      <c r="J25" s="58">
        <v>1</v>
      </c>
      <c r="K25" s="133">
        <f t="shared" ca="1" si="6"/>
        <v>0</v>
      </c>
      <c r="L25" s="133">
        <f t="shared" ca="1" si="6"/>
        <v>0</v>
      </c>
      <c r="M25" s="134">
        <f ca="1">OFFSET(CalibData!$E$117,$V25,0)</f>
        <v>19</v>
      </c>
      <c r="N25" s="134">
        <f ca="1">OFFSET(CalibData!$D$117,$V25,0)</f>
        <v>12</v>
      </c>
      <c r="O25" s="147">
        <f t="shared" ca="1" si="7"/>
        <v>0</v>
      </c>
      <c r="P25" s="147">
        <f t="shared" ca="1" si="7"/>
        <v>0</v>
      </c>
      <c r="Q25" s="96"/>
      <c r="R25" s="147">
        <f t="shared" ca="1" si="8"/>
        <v>0</v>
      </c>
      <c r="S25" s="147">
        <f t="shared" ca="1" si="8"/>
        <v>0</v>
      </c>
      <c r="U25" s="274">
        <f ca="1">IF(B24="*",MATCH(LEFT(B25,3),OFFSET(CalibData!$C$3,1,0,200),0),U24)</f>
        <v>85</v>
      </c>
      <c r="V25" s="274">
        <f ca="1">IF(B24="*",MATCH(LEFT($B25,3),OFFSET(CalibData!$B$117,1,0,10),0),V24)</f>
        <v>2</v>
      </c>
      <c r="W25" s="274">
        <v>0.44</v>
      </c>
      <c r="X25" s="274">
        <v>0.15</v>
      </c>
      <c r="Y25" s="276"/>
      <c r="Z25" s="276"/>
    </row>
    <row r="26" spans="2:26">
      <c r="B26" s="202" t="s">
        <v>146</v>
      </c>
      <c r="C26" s="132" t="s">
        <v>10</v>
      </c>
      <c r="D26" s="35" t="str">
        <f ca="1">IEAData!F$51</f>
        <v>TRANGA</v>
      </c>
      <c r="E26" s="70">
        <f ca="1">IEAData!$F$79</f>
        <v>6.203500696084943E-3</v>
      </c>
      <c r="F26" s="70">
        <f ca="1">AuxData!$F$79</f>
        <v>3.0303762158968579E-2</v>
      </c>
      <c r="G26" s="228">
        <f ca="1">$U26+MATCH(D26,OFFSET(CalibData!$B$3,$U26,0,7),0)-1</f>
        <v>88</v>
      </c>
      <c r="H26" s="113">
        <f ca="1">OFFSET(CalibData!N$3,$G26,0)*OFFSET(CalibData!N$117,$V26,0)</f>
        <v>0.36236518444162885</v>
      </c>
      <c r="I26" s="113">
        <f ca="1">OFFSET(CalibData!O$3,$G26,0)*OFFSET(CalibData!O$117,$V26,0)</f>
        <v>0.34718112011675695</v>
      </c>
      <c r="J26" s="136">
        <v>1</v>
      </c>
      <c r="K26" s="133">
        <f t="shared" ca="1" si="6"/>
        <v>2.2479326739205932E-3</v>
      </c>
      <c r="L26" s="133">
        <f t="shared" ca="1" si="6"/>
        <v>1.0520894090102505E-2</v>
      </c>
      <c r="M26" s="134">
        <f ca="1">OFFSET(CalibData!$E$117,$V26,0)</f>
        <v>19</v>
      </c>
      <c r="N26" s="134">
        <f ca="1">OFFSET(CalibData!$D$117,$V26,0)</f>
        <v>12</v>
      </c>
      <c r="O26" s="147">
        <f t="shared" ca="1" si="7"/>
        <v>1.1831224599582069E-4</v>
      </c>
      <c r="P26" s="147">
        <f t="shared" ca="1" si="7"/>
        <v>5.5373126790013178E-4</v>
      </c>
      <c r="Q26" s="96"/>
      <c r="R26" s="147">
        <f t="shared" ca="1" si="8"/>
        <v>2.4364175787605798E-4</v>
      </c>
      <c r="S26" s="147">
        <f t="shared" ca="1" si="8"/>
        <v>8.3059690185019764E-5</v>
      </c>
      <c r="U26" s="274">
        <f ca="1">IF(B25="*",MATCH(LEFT(B26,3),OFFSET(CalibData!$C$3,1,0,200),0),U25)</f>
        <v>85</v>
      </c>
      <c r="V26" s="274">
        <f ca="1">IF(B25="*",MATCH(LEFT($B26,3),OFFSET(CalibData!$B$117,1,0,10),0),V25)</f>
        <v>2</v>
      </c>
      <c r="W26" s="274">
        <v>0.44</v>
      </c>
      <c r="X26" s="274">
        <v>0.15</v>
      </c>
      <c r="Y26" s="276"/>
      <c r="Z26" s="276"/>
    </row>
    <row r="27" spans="2:26">
      <c r="B27" s="202" t="s">
        <v>238</v>
      </c>
      <c r="C27" s="132" t="s">
        <v>11</v>
      </c>
      <c r="D27" s="35" t="str">
        <f ca="1">COMM!$C$30</f>
        <v>TRDELC</v>
      </c>
      <c r="E27" s="70">
        <f ca="1">IEAData!M$79</f>
        <v>0</v>
      </c>
      <c r="F27" s="70">
        <f ca="1">AuxData!$M$79</f>
        <v>5.8869186585377951E-3</v>
      </c>
      <c r="G27" s="228">
        <f ca="1">$U27+MATCH(D27,OFFSET(CalibData!$B$3,$U27,0,7),0)-1</f>
        <v>89</v>
      </c>
      <c r="H27" s="113">
        <f ca="1">OFFSET(CalibData!N$3,$G27,0)*OFFSET(CalibData!N$117,$V27,0)</f>
        <v>0.92592592592592582</v>
      </c>
      <c r="I27" s="113">
        <f ca="1">OFFSET(CalibData!O$3,$G27,0)*OFFSET(CalibData!O$117,$V27,0)</f>
        <v>1.043463334787226</v>
      </c>
      <c r="J27" s="58">
        <v>1</v>
      </c>
      <c r="K27" s="133">
        <f t="shared" ca="1" si="6"/>
        <v>0</v>
      </c>
      <c r="L27" s="133">
        <f t="shared" ca="1" si="6"/>
        <v>6.1427837750589907E-3</v>
      </c>
      <c r="M27" s="134">
        <f ca="1">OFFSET(CalibData!$E$117,$V27,0)</f>
        <v>19</v>
      </c>
      <c r="N27" s="134">
        <f ca="1">OFFSET(CalibData!$D$117,$V27,0)</f>
        <v>12</v>
      </c>
      <c r="O27" s="147">
        <f t="shared" ca="1" si="7"/>
        <v>0</v>
      </c>
      <c r="P27" s="147">
        <f t="shared" ca="1" si="7"/>
        <v>3.2330440921363109E-4</v>
      </c>
      <c r="Q27" s="96"/>
      <c r="R27" s="147">
        <f t="shared" ca="1" si="8"/>
        <v>1.4225394005399768E-4</v>
      </c>
      <c r="S27" s="147">
        <f t="shared" ca="1" si="8"/>
        <v>4.849566138204466E-5</v>
      </c>
      <c r="U27" s="274">
        <f ca="1">IF(B26="*",MATCH(LEFT(B27,3),OFFSET(CalibData!$C$3,1,0,200),0),U26)</f>
        <v>85</v>
      </c>
      <c r="V27" s="274">
        <f ca="1">IF(B26="*",MATCH(LEFT($B27,3),OFFSET(CalibData!$B$117,1,0,10),0),V26)</f>
        <v>2</v>
      </c>
      <c r="W27" s="274">
        <v>0.44</v>
      </c>
      <c r="X27" s="274">
        <v>0.15</v>
      </c>
      <c r="Y27" s="276"/>
      <c r="Z27" s="276"/>
    </row>
    <row r="28" spans="2:26">
      <c r="B28" s="202" t="s">
        <v>164</v>
      </c>
      <c r="C28" s="132" t="s">
        <v>12</v>
      </c>
      <c r="D28" s="35" t="str">
        <f ca="1">IEAData!$D$54</f>
        <v>TRAMET</v>
      </c>
      <c r="E28" s="70">
        <f ca="1">IEAData!D$79</f>
        <v>0</v>
      </c>
      <c r="F28" s="70">
        <f ca="1">AuxData!$D$79</f>
        <v>0</v>
      </c>
      <c r="G28" s="228">
        <f ca="1">$U28+MATCH(D28,OFFSET(CalibData!$B$3,$U28,0,7),0)-1</f>
        <v>90</v>
      </c>
      <c r="H28" s="113">
        <f ca="1">OFFSET(CalibData!N$3,$G28,0)*OFFSET(CalibData!N$117,$V28,0)</f>
        <v>0.36236518444162885</v>
      </c>
      <c r="I28" s="113">
        <f ca="1">OFFSET(CalibData!O$3,$G28,0)*OFFSET(CalibData!O$117,$V28,0)</f>
        <v>0.34718112011675695</v>
      </c>
      <c r="J28" s="58">
        <v>1</v>
      </c>
      <c r="K28" s="133">
        <f t="shared" ca="1" si="6"/>
        <v>0</v>
      </c>
      <c r="L28" s="133">
        <f t="shared" ca="1" si="6"/>
        <v>0</v>
      </c>
      <c r="M28" s="134">
        <f ca="1">OFFSET(CalibData!$E$117,$V28,0)</f>
        <v>19</v>
      </c>
      <c r="N28" s="134">
        <f ca="1">OFFSET(CalibData!$D$117,$V28,0)</f>
        <v>12</v>
      </c>
      <c r="O28" s="147">
        <f t="shared" ca="1" si="7"/>
        <v>0</v>
      </c>
      <c r="P28" s="147">
        <f t="shared" ca="1" si="7"/>
        <v>0</v>
      </c>
      <c r="Q28" s="96"/>
      <c r="R28" s="147">
        <f t="shared" ca="1" si="8"/>
        <v>0</v>
      </c>
      <c r="S28" s="147">
        <f t="shared" ca="1" si="8"/>
        <v>0</v>
      </c>
      <c r="U28" s="274">
        <f ca="1">IF(B27="*",MATCH(LEFT(B28,3),OFFSET(CalibData!$C$3,1,0,200),0),U27)</f>
        <v>85</v>
      </c>
      <c r="V28" s="274">
        <f ca="1">IF(B27="*",MATCH(LEFT($B28,3),OFFSET(CalibData!$B$117,1,0,10),0),V27)</f>
        <v>2</v>
      </c>
      <c r="W28" s="274">
        <v>0.44</v>
      </c>
      <c r="X28" s="274">
        <v>0.15</v>
      </c>
      <c r="Y28" s="276"/>
      <c r="Z28" s="276"/>
    </row>
    <row r="29" spans="2:26" ht="13.5" thickBot="1">
      <c r="B29" s="203" t="s">
        <v>165</v>
      </c>
      <c r="C29" s="137" t="s">
        <v>13</v>
      </c>
      <c r="D29" s="28" t="str">
        <f ca="1">IEAData!$E$54</f>
        <v>TRAETH</v>
      </c>
      <c r="E29" s="33">
        <f ca="1">IEAData!$P$79</f>
        <v>0</v>
      </c>
      <c r="F29" s="33">
        <f ca="1">AuxData!$P$79</f>
        <v>3.0518130985475546E-2</v>
      </c>
      <c r="G29" s="228">
        <f ca="1">$U29+MATCH(D29,OFFSET(CalibData!$B$3,$U29,0,7),0)-1</f>
        <v>91</v>
      </c>
      <c r="H29" s="113">
        <f ca="1">OFFSET(CalibData!N$3,$G29,0)*OFFSET(CalibData!N$117,$V29,0)</f>
        <v>0.36236518444162885</v>
      </c>
      <c r="I29" s="113">
        <f ca="1">OFFSET(CalibData!O$3,$G29,0)*OFFSET(CalibData!O$117,$V29,0)</f>
        <v>0.34718112011675695</v>
      </c>
      <c r="J29" s="136">
        <v>1</v>
      </c>
      <c r="K29" s="133">
        <f t="shared" ca="1" si="6"/>
        <v>0</v>
      </c>
      <c r="L29" s="133">
        <f t="shared" ca="1" si="6"/>
        <v>1.0595318899407307E-2</v>
      </c>
      <c r="M29" s="134">
        <f ca="1">OFFSET(CalibData!$E$117,$V29,0)</f>
        <v>19</v>
      </c>
      <c r="N29" s="134">
        <f ca="1">OFFSET(CalibData!$D$117,$V29,0)</f>
        <v>12</v>
      </c>
      <c r="O29" s="147">
        <f t="shared" ca="1" si="7"/>
        <v>0</v>
      </c>
      <c r="P29" s="147">
        <f t="shared" ca="1" si="7"/>
        <v>5.5764836312670036E-4</v>
      </c>
      <c r="Q29" s="96"/>
      <c r="R29" s="147">
        <f t="shared" ca="1" si="8"/>
        <v>2.4536527977574819E-4</v>
      </c>
      <c r="S29" s="147">
        <f t="shared" ca="1" si="8"/>
        <v>8.3647254469005052E-5</v>
      </c>
      <c r="U29" s="274">
        <f ca="1">IF(B28="*",MATCH(LEFT(B29,3),OFFSET(CalibData!$C$3,1,0,200),0),U28)</f>
        <v>85</v>
      </c>
      <c r="V29" s="274">
        <f ca="1">IF(B28="*",MATCH(LEFT($B29,3),OFFSET(CalibData!$B$117,1,0,10),0),V28)</f>
        <v>2</v>
      </c>
      <c r="W29" s="274">
        <v>0.44</v>
      </c>
      <c r="X29" s="274">
        <v>0.15</v>
      </c>
      <c r="Y29" s="276"/>
      <c r="Z29" s="276"/>
    </row>
    <row r="30" spans="2:26" ht="13.5" thickBot="1">
      <c r="B30" s="384" t="s">
        <v>470</v>
      </c>
      <c r="C30" s="150" t="str">
        <f>LEFT(B29,3)</f>
        <v>TRL</v>
      </c>
      <c r="D30" s="150"/>
      <c r="E30" s="151">
        <f ca="1">SUM(E23:E29)</f>
        <v>14.642064569759924</v>
      </c>
      <c r="F30" s="151">
        <f ca="1">SUM(F23:F29)</f>
        <v>12.81884706638667</v>
      </c>
      <c r="G30" s="150"/>
      <c r="H30" s="150"/>
      <c r="I30" s="150"/>
      <c r="J30" s="150"/>
      <c r="K30" s="151">
        <f ca="1">SUM(K23:K29)</f>
        <v>4.4958883844927184</v>
      </c>
      <c r="L30" s="151">
        <f ca="1">SUM(L23:L29)</f>
        <v>5.0147105648868875</v>
      </c>
      <c r="M30" s="150"/>
      <c r="N30" s="150"/>
      <c r="O30" s="151">
        <f ca="1">SUM(O23:O29)</f>
        <v>0.23662570444698519</v>
      </c>
      <c r="P30" s="151">
        <f ca="1">SUM(P23:P29)</f>
        <v>0.26393213499404672</v>
      </c>
      <c r="Q30" s="150"/>
      <c r="R30" s="151"/>
      <c r="S30" s="151"/>
      <c r="U30" s="275"/>
      <c r="V30" s="275"/>
      <c r="W30" s="275"/>
      <c r="X30" s="275"/>
      <c r="Y30" s="275"/>
      <c r="Z30" s="275"/>
    </row>
    <row r="31" spans="2:26">
      <c r="B31" s="202" t="s">
        <v>260</v>
      </c>
      <c r="C31" s="132" t="s">
        <v>27</v>
      </c>
      <c r="D31" s="35" t="str">
        <f ca="1">IEAData!H$51</f>
        <v>TRAGSL</v>
      </c>
      <c r="E31" s="71">
        <f ca="1">IEAData!$H$83</f>
        <v>0.28231602390855248</v>
      </c>
      <c r="F31" s="71">
        <f ca="1">AuxData!$H$83</f>
        <v>0.23485568842737517</v>
      </c>
      <c r="G31" s="228">
        <f ca="1">$U31+MATCH(D31,OFFSET(CalibData!$B$3,$U31,0,7),0)-1</f>
        <v>92</v>
      </c>
      <c r="H31" s="113">
        <f ca="1">OFFSET(CalibData!N$3,$G31,0)*OFFSET(CalibData!N$117,$V31,0)</f>
        <v>8.6858330707681244E-2</v>
      </c>
      <c r="I31" s="113">
        <f ca="1">OFFSET(CalibData!O$3,$G31,0)*OFFSET(CalibData!O$117,$V31,0)</f>
        <v>8.09023362403236E-2</v>
      </c>
      <c r="J31" s="58">
        <v>1</v>
      </c>
      <c r="K31" s="133">
        <f t="shared" ref="K31:L37" ca="1" si="9">E31*H31</f>
        <v>2.4521498568726697E-2</v>
      </c>
      <c r="L31" s="133">
        <f t="shared" ca="1" si="9"/>
        <v>1.9000373873104184E-2</v>
      </c>
      <c r="M31" s="134">
        <f ca="1">OFFSET(CalibData!$E$117,$V31,0)</f>
        <v>40</v>
      </c>
      <c r="N31" s="134">
        <f ca="1">OFFSET(CalibData!$D$117,$V31,0)</f>
        <v>15</v>
      </c>
      <c r="O31" s="147">
        <f t="shared" ref="O31:P37" ca="1" si="10">K31/$M31</f>
        <v>6.1303746421816747E-4</v>
      </c>
      <c r="P31" s="147">
        <f t="shared" ca="1" si="10"/>
        <v>4.7500934682760459E-4</v>
      </c>
      <c r="Q31" s="135"/>
      <c r="R31" s="147">
        <f t="shared" ref="R31:S37" ca="1" si="11">$P31*W31</f>
        <v>2.375046734138023E-4</v>
      </c>
      <c r="S31" s="147">
        <f t="shared" ca="1" si="11"/>
        <v>9.5001869365520918E-5</v>
      </c>
      <c r="U31" s="274">
        <f ca="1">IF(B45="*",MATCH(LEFT(B31,3),OFFSET(CalibData!$C$3,1,0,200),0),U45)</f>
        <v>92</v>
      </c>
      <c r="V31" s="274">
        <f ca="1">IF(B45="*",MATCH(LEFT($B31,3),OFFSET(CalibData!$B$117,1,0,10),0),V45)</f>
        <v>5</v>
      </c>
      <c r="W31" s="274">
        <v>0.5</v>
      </c>
      <c r="X31" s="274">
        <v>0.2</v>
      </c>
      <c r="Y31" s="276"/>
      <c r="Z31" s="276"/>
    </row>
    <row r="32" spans="2:26">
      <c r="B32" s="202" t="s">
        <v>261</v>
      </c>
      <c r="C32" s="132" t="s">
        <v>28</v>
      </c>
      <c r="D32" s="35" t="str">
        <f ca="1">IEAData!K$51</f>
        <v>TRADST</v>
      </c>
      <c r="E32" s="71">
        <f ca="1">IEAData!$K83</f>
        <v>15.81932883510377</v>
      </c>
      <c r="F32" s="71">
        <f ca="1">AuxData!$K83</f>
        <v>15.753089103465328</v>
      </c>
      <c r="G32" s="228">
        <f ca="1">$U32+MATCH(D32,OFFSET(CalibData!$B$3,$U32,0,7),0)-1</f>
        <v>93</v>
      </c>
      <c r="H32" s="113">
        <f ca="1">OFFSET(CalibData!N$3,$G32,0)*OFFSET(CalibData!N$117,$V32,0)</f>
        <v>8.6858330707681244E-2</v>
      </c>
      <c r="I32" s="113">
        <f ca="1">OFFSET(CalibData!O$3,$G32,0)*OFFSET(CalibData!O$117,$V32,0)</f>
        <v>8.09023362403236E-2</v>
      </c>
      <c r="J32" s="58">
        <v>1</v>
      </c>
      <c r="K32" s="133">
        <f t="shared" ca="1" si="9"/>
        <v>1.3740404955330012</v>
      </c>
      <c r="L32" s="133">
        <f t="shared" ca="1" si="9"/>
        <v>1.2744617114723298</v>
      </c>
      <c r="M32" s="134">
        <f ca="1">OFFSET(CalibData!$E$117,$V32,0)</f>
        <v>40</v>
      </c>
      <c r="N32" s="134">
        <f ca="1">OFFSET(CalibData!$D$117,$V32,0)</f>
        <v>15</v>
      </c>
      <c r="O32" s="147">
        <f t="shared" ca="1" si="10"/>
        <v>3.4351012388325032E-2</v>
      </c>
      <c r="P32" s="147">
        <f t="shared" ca="1" si="10"/>
        <v>3.1861542786808243E-2</v>
      </c>
      <c r="Q32" s="96"/>
      <c r="R32" s="147">
        <f t="shared" ca="1" si="11"/>
        <v>1.5930771393404122E-2</v>
      </c>
      <c r="S32" s="147">
        <f t="shared" ca="1" si="11"/>
        <v>6.3723085573616492E-3</v>
      </c>
      <c r="U32" s="274">
        <f ca="1">IF(B31="*",MATCH(LEFT(B32,3),OFFSET(CalibData!$C$3,1,0,200),0),U31)</f>
        <v>92</v>
      </c>
      <c r="V32" s="274">
        <f ca="1">IF(B31="*",MATCH(LEFT($B32,3),OFFSET(CalibData!$B$117,1,0,10),0),V31)</f>
        <v>5</v>
      </c>
      <c r="W32" s="274">
        <v>0.5</v>
      </c>
      <c r="X32" s="274">
        <v>0.2</v>
      </c>
      <c r="Y32" s="276"/>
      <c r="Z32" s="276"/>
    </row>
    <row r="33" spans="2:26">
      <c r="B33" s="202" t="s">
        <v>262</v>
      </c>
      <c r="C33" s="132" t="s">
        <v>29</v>
      </c>
      <c r="D33" s="141" t="str">
        <f ca="1">IEAData!G$51</f>
        <v>TRALPG</v>
      </c>
      <c r="E33" s="71">
        <f ca="1">IEAData!$G83</f>
        <v>0</v>
      </c>
      <c r="F33" s="71">
        <f ca="1">AuxData!$G83</f>
        <v>0</v>
      </c>
      <c r="G33" s="228">
        <f ca="1">$U33+MATCH(D33,OFFSET(CalibData!$B$3,$U33,0,7),0)-1</f>
        <v>94</v>
      </c>
      <c r="H33" s="113">
        <f ca="1">OFFSET(CalibData!N$3,$G33,0)*OFFSET(CalibData!N$117,$V33,0)</f>
        <v>8.6858330707681244E-2</v>
      </c>
      <c r="I33" s="113">
        <f ca="1">OFFSET(CalibData!O$3,$G33,0)*OFFSET(CalibData!O$117,$V33,0)</f>
        <v>8.09023362403236E-2</v>
      </c>
      <c r="J33" s="58">
        <v>1</v>
      </c>
      <c r="K33" s="133">
        <f t="shared" ca="1" si="9"/>
        <v>0</v>
      </c>
      <c r="L33" s="133">
        <f t="shared" ca="1" si="9"/>
        <v>0</v>
      </c>
      <c r="M33" s="134">
        <f ca="1">OFFSET(CalibData!$E$117,$V33,0)</f>
        <v>40</v>
      </c>
      <c r="N33" s="134">
        <f ca="1">OFFSET(CalibData!$D$117,$V33,0)</f>
        <v>15</v>
      </c>
      <c r="O33" s="147">
        <f t="shared" ca="1" si="10"/>
        <v>0</v>
      </c>
      <c r="P33" s="147">
        <f t="shared" ca="1" si="10"/>
        <v>0</v>
      </c>
      <c r="Q33" s="96"/>
      <c r="R33" s="147">
        <f t="shared" ca="1" si="11"/>
        <v>0</v>
      </c>
      <c r="S33" s="147">
        <f t="shared" ca="1" si="11"/>
        <v>0</v>
      </c>
      <c r="U33" s="274">
        <f ca="1">IF(B32="*",MATCH(LEFT(B33,3),OFFSET(CalibData!$C$3,1,0,200),0),U32)</f>
        <v>92</v>
      </c>
      <c r="V33" s="274">
        <f ca="1">IF(B32="*",MATCH(LEFT($B33,3),OFFSET(CalibData!$B$117,1,0,10),0),V32)</f>
        <v>5</v>
      </c>
      <c r="W33" s="274">
        <v>0.5</v>
      </c>
      <c r="X33" s="274">
        <v>0.2</v>
      </c>
      <c r="Y33" s="276"/>
      <c r="Z33" s="276"/>
    </row>
    <row r="34" spans="2:26">
      <c r="B34" s="202" t="s">
        <v>263</v>
      </c>
      <c r="C34" s="132" t="s">
        <v>30</v>
      </c>
      <c r="D34" s="35" t="str">
        <f ca="1">IEAData!F$51</f>
        <v>TRANGA</v>
      </c>
      <c r="E34" s="71">
        <f ca="1">IEAData!$F83</f>
        <v>0</v>
      </c>
      <c r="F34" s="71">
        <f ca="1">AuxData!$F83</f>
        <v>4.9845120952380917E-3</v>
      </c>
      <c r="G34" s="228">
        <f ca="1">$U34+MATCH(D34,OFFSET(CalibData!$B$3,$U34,0,7),0)-1</f>
        <v>95</v>
      </c>
      <c r="H34" s="113">
        <f ca="1">OFFSET(CalibData!N$3,$G34,0)*OFFSET(CalibData!N$117,$V34,0)</f>
        <v>8.6858330707681244E-2</v>
      </c>
      <c r="I34" s="113">
        <f ca="1">OFFSET(CalibData!O$3,$G34,0)*OFFSET(CalibData!O$117,$V34,0)</f>
        <v>6.8141782809551299E-2</v>
      </c>
      <c r="J34" s="136">
        <v>1</v>
      </c>
      <c r="K34" s="133">
        <f t="shared" ca="1" si="9"/>
        <v>0</v>
      </c>
      <c r="L34" s="133">
        <f t="shared" ca="1" si="9"/>
        <v>3.3965354060529554E-4</v>
      </c>
      <c r="M34" s="134">
        <f ca="1">OFFSET(CalibData!$E$117,$V34,0)</f>
        <v>40</v>
      </c>
      <c r="N34" s="134">
        <f ca="1">OFFSET(CalibData!$D$117,$V34,0)</f>
        <v>15</v>
      </c>
      <c r="O34" s="147">
        <f t="shared" ca="1" si="10"/>
        <v>0</v>
      </c>
      <c r="P34" s="147">
        <f t="shared" ca="1" si="10"/>
        <v>8.4913385151323891E-6</v>
      </c>
      <c r="Q34" s="96"/>
      <c r="R34" s="147">
        <f t="shared" ca="1" si="11"/>
        <v>4.2456692575661946E-6</v>
      </c>
      <c r="S34" s="147">
        <f t="shared" ca="1" si="11"/>
        <v>1.698267703026478E-6</v>
      </c>
      <c r="U34" s="274">
        <f ca="1">IF(B33="*",MATCH(LEFT(B34,3),OFFSET(CalibData!$C$3,1,0,200),0),U33)</f>
        <v>92</v>
      </c>
      <c r="V34" s="274">
        <f ca="1">IF(B33="*",MATCH(LEFT($B34,3),OFFSET(CalibData!$B$117,1,0,10),0),V33)</f>
        <v>5</v>
      </c>
      <c r="W34" s="274">
        <v>0.5</v>
      </c>
      <c r="X34" s="274">
        <v>0.2</v>
      </c>
      <c r="Y34" s="276"/>
      <c r="Z34" s="276"/>
    </row>
    <row r="35" spans="2:26">
      <c r="B35" s="202" t="s">
        <v>485</v>
      </c>
      <c r="C35" s="132" t="s">
        <v>486</v>
      </c>
      <c r="D35" s="35" t="str">
        <f ca="1">COMM!$C$30</f>
        <v>TRDELC</v>
      </c>
      <c r="E35" s="71">
        <f ca="1">IEAData!$M83</f>
        <v>0</v>
      </c>
      <c r="F35" s="71">
        <f ca="1">AuxData!$M83</f>
        <v>2.0530936059256354E-3</v>
      </c>
      <c r="G35" s="228">
        <f ca="1">$U35+MATCH(D35,OFFSET(CalibData!$B$3,$U35,0,7),0)-1</f>
        <v>96</v>
      </c>
      <c r="H35" s="113">
        <f ca="1">OFFSET(CalibData!N$3,$G35,0)*OFFSET(CalibData!N$117,$V35,0)</f>
        <v>0.17035445702387825</v>
      </c>
      <c r="I35" s="113">
        <f ca="1">OFFSET(CalibData!O$3,$G35,0)*OFFSET(CalibData!O$117,$V35,0)</f>
        <v>0.17035445702387825</v>
      </c>
      <c r="J35" s="136">
        <v>1</v>
      </c>
      <c r="K35" s="133">
        <f t="shared" ca="1" si="9"/>
        <v>0</v>
      </c>
      <c r="L35" s="133">
        <f t="shared" ca="1" si="9"/>
        <v>3.4975364645665785E-4</v>
      </c>
      <c r="M35" s="134">
        <f ca="1">OFFSET(CalibData!$E$117,$V35,0)</f>
        <v>40</v>
      </c>
      <c r="N35" s="134">
        <f ca="1">OFFSET(CalibData!$D$117,$V35,0)</f>
        <v>15</v>
      </c>
      <c r="O35" s="147">
        <f t="shared" ca="1" si="10"/>
        <v>0</v>
      </c>
      <c r="P35" s="147">
        <f t="shared" ca="1" si="10"/>
        <v>8.743841161416446E-6</v>
      </c>
      <c r="Q35" s="96"/>
      <c r="R35" s="147">
        <f t="shared" ca="1" si="11"/>
        <v>4.371920580708223E-6</v>
      </c>
      <c r="S35" s="147">
        <f t="shared" ca="1" si="11"/>
        <v>1.7487682322832894E-6</v>
      </c>
      <c r="U35" s="274">
        <f ca="1">IF(B34="*",MATCH(LEFT(B35,3),OFFSET(CalibData!$C$3,1,0,200),0),U34)</f>
        <v>92</v>
      </c>
      <c r="V35" s="274">
        <f ca="1">IF(B34="*",MATCH(LEFT($B35,3),OFFSET(CalibData!$B$117,1,0,10),0),V34)</f>
        <v>5</v>
      </c>
      <c r="W35" s="274">
        <v>0.5</v>
      </c>
      <c r="X35" s="274">
        <v>0.2</v>
      </c>
      <c r="Y35" s="276"/>
      <c r="Z35" s="276"/>
    </row>
    <row r="36" spans="2:26">
      <c r="B36" s="202" t="s">
        <v>264</v>
      </c>
      <c r="C36" s="132" t="s">
        <v>31</v>
      </c>
      <c r="D36" s="35" t="str">
        <f ca="1">IEAData!$D$54</f>
        <v>TRAMET</v>
      </c>
      <c r="E36" s="71">
        <f ca="1">IEAData!$D83</f>
        <v>0</v>
      </c>
      <c r="F36" s="71">
        <f ca="1">AuxData!$D83</f>
        <v>0</v>
      </c>
      <c r="G36" s="228">
        <f ca="1">$U36+MATCH(D36,OFFSET(CalibData!$B$3,$U36,0,7),0)-1</f>
        <v>97</v>
      </c>
      <c r="H36" s="113">
        <f ca="1">OFFSET(CalibData!N$3,$G36,0)*OFFSET(CalibData!N$117,$V36,0)</f>
        <v>8.6858330707681244E-2</v>
      </c>
      <c r="I36" s="113">
        <f ca="1">OFFSET(CalibData!O$3,$G36,0)*OFFSET(CalibData!O$117,$V36,0)</f>
        <v>8.09023362403236E-2</v>
      </c>
      <c r="J36" s="58">
        <v>1</v>
      </c>
      <c r="K36" s="133">
        <f t="shared" ca="1" si="9"/>
        <v>0</v>
      </c>
      <c r="L36" s="133">
        <f t="shared" ca="1" si="9"/>
        <v>0</v>
      </c>
      <c r="M36" s="134">
        <f ca="1">OFFSET(CalibData!$E$117,$V36,0)</f>
        <v>40</v>
      </c>
      <c r="N36" s="134">
        <f ca="1">OFFSET(CalibData!$D$117,$V36,0)</f>
        <v>15</v>
      </c>
      <c r="O36" s="147">
        <f t="shared" ca="1" si="10"/>
        <v>0</v>
      </c>
      <c r="P36" s="147">
        <f t="shared" ca="1" si="10"/>
        <v>0</v>
      </c>
      <c r="Q36" s="96"/>
      <c r="R36" s="147">
        <f t="shared" ca="1" si="11"/>
        <v>0</v>
      </c>
      <c r="S36" s="147">
        <f t="shared" ca="1" si="11"/>
        <v>0</v>
      </c>
      <c r="U36" s="274">
        <f ca="1">IF(B34="*",MATCH(LEFT(B36,3),OFFSET(CalibData!$C$3,1,0,200),0),U34)</f>
        <v>92</v>
      </c>
      <c r="V36" s="274">
        <f ca="1">IF(B34="*",MATCH(LEFT($B36,3),OFFSET(CalibData!$B$117,1,0,10),0),V34)</f>
        <v>5</v>
      </c>
      <c r="W36" s="274">
        <v>0.5</v>
      </c>
      <c r="X36" s="274">
        <v>0.2</v>
      </c>
      <c r="Y36" s="276"/>
      <c r="Z36" s="276"/>
    </row>
    <row r="37" spans="2:26" ht="13.5" thickBot="1">
      <c r="B37" s="203" t="s">
        <v>265</v>
      </c>
      <c r="C37" s="137" t="s">
        <v>32</v>
      </c>
      <c r="D37" s="28" t="str">
        <f ca="1">IEAData!$E$54</f>
        <v>TRAETH</v>
      </c>
      <c r="E37" s="59">
        <f ca="1">IEAData!$E83</f>
        <v>0</v>
      </c>
      <c r="F37" s="59">
        <f ca="1">AuxData!$E83</f>
        <v>0</v>
      </c>
      <c r="G37" s="228">
        <f ca="1">$U37+MATCH(D37,OFFSET(CalibData!$B$3,$U37,0,7),0)-1</f>
        <v>98</v>
      </c>
      <c r="H37" s="113">
        <f ca="1">OFFSET(CalibData!N$3,$G37,0)*OFFSET(CalibData!N$117,$V37,0)</f>
        <v>8.6858330707681244E-2</v>
      </c>
      <c r="I37" s="113">
        <f ca="1">OFFSET(CalibData!O$3,$G37,0)*OFFSET(CalibData!O$117,$V37,0)</f>
        <v>8.09023362403236E-2</v>
      </c>
      <c r="J37" s="58">
        <v>1</v>
      </c>
      <c r="K37" s="133">
        <f t="shared" ca="1" si="9"/>
        <v>0</v>
      </c>
      <c r="L37" s="133">
        <f t="shared" ca="1" si="9"/>
        <v>0</v>
      </c>
      <c r="M37" s="134">
        <f ca="1">OFFSET(CalibData!$E$117,$V37,0)</f>
        <v>40</v>
      </c>
      <c r="N37" s="134">
        <f ca="1">OFFSET(CalibData!$D$117,$V37,0)</f>
        <v>15</v>
      </c>
      <c r="O37" s="147">
        <f t="shared" ca="1" si="10"/>
        <v>0</v>
      </c>
      <c r="P37" s="147">
        <f t="shared" ca="1" si="10"/>
        <v>0</v>
      </c>
      <c r="Q37" s="96"/>
      <c r="R37" s="147">
        <f t="shared" ca="1" si="11"/>
        <v>0</v>
      </c>
      <c r="S37" s="147">
        <f t="shared" ca="1" si="11"/>
        <v>0</v>
      </c>
      <c r="U37" s="274">
        <f ca="1">IF(B36="*",MATCH(LEFT(B37,3),OFFSET(CalibData!$C$3,1,0,200),0),U36)</f>
        <v>92</v>
      </c>
      <c r="V37" s="274">
        <f ca="1">IF(B36="*",MATCH(LEFT($B37,3),OFFSET(CalibData!$B$117,1,0,10),0),V36)</f>
        <v>5</v>
      </c>
      <c r="W37" s="274">
        <v>0.5</v>
      </c>
      <c r="X37" s="274">
        <v>0.2</v>
      </c>
      <c r="Y37" s="276"/>
      <c r="Z37" s="276"/>
    </row>
    <row r="38" spans="2:26" ht="13.5" thickBot="1">
      <c r="B38" s="384" t="s">
        <v>470</v>
      </c>
      <c r="C38" s="150" t="str">
        <f>LEFT(B37,3)</f>
        <v>TRM</v>
      </c>
      <c r="D38" s="150"/>
      <c r="E38" s="151">
        <f ca="1">SUM(E31:E37)</f>
        <v>16.101644859012321</v>
      </c>
      <c r="F38" s="151">
        <f ca="1">SUM(F31:F37)</f>
        <v>15.994982397593866</v>
      </c>
      <c r="G38" s="150"/>
      <c r="H38" s="150"/>
      <c r="I38" s="150"/>
      <c r="J38" s="150"/>
      <c r="K38" s="151">
        <f ca="1">SUM(K31:K37)</f>
        <v>1.398561994101728</v>
      </c>
      <c r="L38" s="151">
        <f ca="1">SUM(L31:L37)</f>
        <v>1.294151492532496</v>
      </c>
      <c r="M38" s="150"/>
      <c r="N38" s="150"/>
      <c r="O38" s="151"/>
      <c r="P38" s="151"/>
      <c r="Q38" s="150"/>
      <c r="R38" s="151"/>
      <c r="S38" s="151"/>
      <c r="U38" s="275"/>
      <c r="V38" s="275"/>
      <c r="W38" s="275"/>
      <c r="X38" s="275"/>
      <c r="Y38" s="275"/>
      <c r="Z38" s="275"/>
    </row>
    <row r="39" spans="2:26">
      <c r="B39" s="204" t="s">
        <v>138</v>
      </c>
      <c r="C39" s="132" t="s">
        <v>22</v>
      </c>
      <c r="D39" s="35" t="str">
        <f ca="1">IEAData!K$51</f>
        <v>TRADST</v>
      </c>
      <c r="E39" s="63">
        <f ca="1">IEAData!$K82</f>
        <v>30.022450310244068</v>
      </c>
      <c r="F39" s="63">
        <f ca="1">AuxData!$K82</f>
        <v>28.97873586222757</v>
      </c>
      <c r="G39" s="228">
        <f ca="1">$U39+MATCH(D39,OFFSET(CalibData!$B$3,$U39,0,7),0)-1</f>
        <v>99</v>
      </c>
      <c r="H39" s="113">
        <f ca="1">OFFSET(CalibData!N$3,$G39,0)*OFFSET(CalibData!N$117,$V39,0)</f>
        <v>7.0908882599273027E-2</v>
      </c>
      <c r="I39" s="113">
        <f ca="1">OFFSET(CalibData!O$3,$G39,0)*OFFSET(CalibData!O$117,$V39,0)</f>
        <v>5.7605243889022911E-2</v>
      </c>
      <c r="J39" s="58">
        <v>1</v>
      </c>
      <c r="K39" s="133">
        <f t="shared" ref="K39:L44" ca="1" si="12">E39*H39</f>
        <v>2.1288584043916048</v>
      </c>
      <c r="L39" s="133">
        <f t="shared" ca="1" si="12"/>
        <v>1.6693271469391937</v>
      </c>
      <c r="M39" s="134">
        <f ca="1">OFFSET(CalibData!$E$117,$V39,0)</f>
        <v>60</v>
      </c>
      <c r="N39" s="134">
        <f ca="1">OFFSET(CalibData!$D$117,$V39,0)</f>
        <v>15</v>
      </c>
      <c r="O39" s="147">
        <f t="shared" ref="O39:P44" ca="1" si="13">K39/$M39</f>
        <v>3.5480973406526749E-2</v>
      </c>
      <c r="P39" s="147">
        <f t="shared" ca="1" si="13"/>
        <v>2.7822119115653229E-2</v>
      </c>
      <c r="Q39" s="135"/>
      <c r="R39" s="147">
        <f t="shared" ref="R39:S44" ca="1" si="14">$P39*W39</f>
        <v>1.3911059557826615E-2</v>
      </c>
      <c r="S39" s="147">
        <f t="shared" ca="1" si="14"/>
        <v>5.5644238231306459E-3</v>
      </c>
      <c r="U39" s="274">
        <f ca="1">IF(B22="*",MATCH(LEFT(B39,3),OFFSET(CalibData!$C$3,1,0,200),0),U22)</f>
        <v>99</v>
      </c>
      <c r="V39" s="274">
        <f ca="1">IF(B22="*",MATCH(LEFT($B39,3),OFFSET(CalibData!$B$117,1,0,10),0),V22)</f>
        <v>4</v>
      </c>
      <c r="W39" s="274">
        <v>0.5</v>
      </c>
      <c r="X39" s="274">
        <v>0.2</v>
      </c>
      <c r="Y39" s="276"/>
      <c r="Z39" s="276"/>
    </row>
    <row r="40" spans="2:26">
      <c r="B40" s="202" t="s">
        <v>182</v>
      </c>
      <c r="C40" s="132" t="s">
        <v>21</v>
      </c>
      <c r="D40" s="35" t="str">
        <f ca="1">IEAData!H$51</f>
        <v>TRAGSL</v>
      </c>
      <c r="E40" s="71">
        <f ca="1">IEAData!$H82</f>
        <v>0</v>
      </c>
      <c r="F40" s="71">
        <f ca="1">AuxData!$H82</f>
        <v>0</v>
      </c>
      <c r="G40" s="228">
        <f ca="1">$U40+MATCH(D40,OFFSET(CalibData!$B$3,$U40,0,7),0)-1</f>
        <v>100</v>
      </c>
      <c r="H40" s="113">
        <f ca="1">OFFSET(CalibData!N$3,$G40,0)*OFFSET(CalibData!N$117,$V40,0)</f>
        <v>7.0908882599273027E-2</v>
      </c>
      <c r="I40" s="113">
        <f ca="1">OFFSET(CalibData!O$3,$G40,0)*OFFSET(CalibData!O$117,$V40,0)</f>
        <v>5.7605243889022911E-2</v>
      </c>
      <c r="J40" s="58">
        <v>1</v>
      </c>
      <c r="K40" s="133">
        <f t="shared" ca="1" si="12"/>
        <v>0</v>
      </c>
      <c r="L40" s="133">
        <f t="shared" ca="1" si="12"/>
        <v>0</v>
      </c>
      <c r="M40" s="134">
        <f ca="1">OFFSET(CalibData!$E$117,$V40,0)</f>
        <v>60</v>
      </c>
      <c r="N40" s="134">
        <f ca="1">OFFSET(CalibData!$D$117,$V40,0)</f>
        <v>15</v>
      </c>
      <c r="O40" s="147">
        <f t="shared" ca="1" si="13"/>
        <v>0</v>
      </c>
      <c r="P40" s="147">
        <f t="shared" ca="1" si="13"/>
        <v>0</v>
      </c>
      <c r="Q40" s="96"/>
      <c r="R40" s="147">
        <f t="shared" ca="1" si="14"/>
        <v>0</v>
      </c>
      <c r="S40" s="147">
        <f t="shared" ca="1" si="14"/>
        <v>0</v>
      </c>
      <c r="U40" s="274">
        <f ca="1">IF(B39="*",MATCH(LEFT(B40,3),OFFSET(CalibData!$C$3,1,0,200),0),U39)</f>
        <v>99</v>
      </c>
      <c r="V40" s="274">
        <f ca="1">IF(B39="*",MATCH(LEFT($B40,3),OFFSET(CalibData!$B$117,1,0,10),0),V39)</f>
        <v>4</v>
      </c>
      <c r="W40" s="274">
        <v>0.5</v>
      </c>
      <c r="X40" s="274">
        <v>0.2</v>
      </c>
      <c r="Y40" s="276"/>
      <c r="Z40" s="276"/>
    </row>
    <row r="41" spans="2:26">
      <c r="B41" s="202" t="s">
        <v>258</v>
      </c>
      <c r="C41" s="132" t="s">
        <v>23</v>
      </c>
      <c r="D41" s="35" t="str">
        <f ca="1">IEAData!G$51</f>
        <v>TRALPG</v>
      </c>
      <c r="E41" s="71">
        <f ca="1">IEAData!$G82</f>
        <v>0</v>
      </c>
      <c r="F41" s="71">
        <f ca="1">AuxData!$G82</f>
        <v>0</v>
      </c>
      <c r="G41" s="228">
        <f ca="1">$U41+MATCH(D41,OFFSET(CalibData!$B$3,$U41,0,7),0)-1</f>
        <v>101</v>
      </c>
      <c r="H41" s="113">
        <f ca="1">OFFSET(CalibData!N$3,$G41,0)*OFFSET(CalibData!N$117,$V41,0)</f>
        <v>7.0908882599273027E-2</v>
      </c>
      <c r="I41" s="113">
        <f ca="1">OFFSET(CalibData!O$3,$G41,0)*OFFSET(CalibData!O$117,$V41,0)</f>
        <v>5.7605243889022911E-2</v>
      </c>
      <c r="J41" s="58">
        <v>1</v>
      </c>
      <c r="K41" s="133">
        <f t="shared" ca="1" si="12"/>
        <v>0</v>
      </c>
      <c r="L41" s="133">
        <f t="shared" ca="1" si="12"/>
        <v>0</v>
      </c>
      <c r="M41" s="134">
        <f ca="1">OFFSET(CalibData!$E$117,$V41,0)</f>
        <v>60</v>
      </c>
      <c r="N41" s="134">
        <f ca="1">OFFSET(CalibData!$D$117,$V41,0)</f>
        <v>15</v>
      </c>
      <c r="O41" s="147">
        <f t="shared" ca="1" si="13"/>
        <v>0</v>
      </c>
      <c r="P41" s="147">
        <f t="shared" ca="1" si="13"/>
        <v>0</v>
      </c>
      <c r="Q41" s="96"/>
      <c r="R41" s="147">
        <f t="shared" ca="1" si="14"/>
        <v>0</v>
      </c>
      <c r="S41" s="147">
        <f t="shared" ca="1" si="14"/>
        <v>0</v>
      </c>
      <c r="U41" s="274">
        <f ca="1">IF(B40="*",MATCH(LEFT(B41,3),OFFSET(CalibData!$C$3,1,0,200),0),U40)</f>
        <v>99</v>
      </c>
      <c r="V41" s="274">
        <f ca="1">IF(B40="*",MATCH(LEFT($B41,3),OFFSET(CalibData!$B$117,1,0,10),0),V40)</f>
        <v>4</v>
      </c>
      <c r="W41" s="274">
        <v>0.5</v>
      </c>
      <c r="X41" s="274">
        <v>0.2</v>
      </c>
      <c r="Y41" s="276"/>
      <c r="Z41" s="276"/>
    </row>
    <row r="42" spans="2:26">
      <c r="B42" s="202" t="s">
        <v>259</v>
      </c>
      <c r="C42" s="132" t="s">
        <v>24</v>
      </c>
      <c r="D42" s="35" t="str">
        <f ca="1">IEAData!F$51</f>
        <v>TRANGA</v>
      </c>
      <c r="E42" s="71">
        <f ca="1">IEAData!$F82</f>
        <v>0</v>
      </c>
      <c r="F42" s="71">
        <f ca="1">AuxData!$F82</f>
        <v>0</v>
      </c>
      <c r="G42" s="228">
        <f ca="1">$U42+MATCH(D42,OFFSET(CalibData!$B$3,$U42,0,7),0)-1</f>
        <v>102</v>
      </c>
      <c r="H42" s="113">
        <f ca="1">OFFSET(CalibData!N$3,$G42,0)*OFFSET(CalibData!N$117,$V42,0)</f>
        <v>7.0908882599273027E-2</v>
      </c>
      <c r="I42" s="113">
        <f ca="1">OFFSET(CalibData!O$3,$G42,0)*OFFSET(CalibData!O$117,$V42,0)</f>
        <v>5.7605243889022911E-2</v>
      </c>
      <c r="J42" s="136">
        <v>1</v>
      </c>
      <c r="K42" s="133">
        <f t="shared" ca="1" si="12"/>
        <v>0</v>
      </c>
      <c r="L42" s="133">
        <f t="shared" ca="1" si="12"/>
        <v>0</v>
      </c>
      <c r="M42" s="134">
        <f ca="1">OFFSET(CalibData!$E$117,$V42,0)</f>
        <v>60</v>
      </c>
      <c r="N42" s="134">
        <f ca="1">OFFSET(CalibData!$D$117,$V42,0)</f>
        <v>15</v>
      </c>
      <c r="O42" s="147">
        <f t="shared" ca="1" si="13"/>
        <v>0</v>
      </c>
      <c r="P42" s="147">
        <f t="shared" ca="1" si="13"/>
        <v>0</v>
      </c>
      <c r="Q42" s="96"/>
      <c r="R42" s="147">
        <f t="shared" ca="1" si="14"/>
        <v>0</v>
      </c>
      <c r="S42" s="147">
        <f t="shared" ca="1" si="14"/>
        <v>0</v>
      </c>
      <c r="U42" s="274">
        <f ca="1">IF(B41="*",MATCH(LEFT(B42,3),OFFSET(CalibData!$C$3,1,0,200),0),U41)</f>
        <v>99</v>
      </c>
      <c r="V42" s="274">
        <f ca="1">IF(B41="*",MATCH(LEFT($B42,3),OFFSET(CalibData!$B$117,1,0,10),0),V41)</f>
        <v>4</v>
      </c>
      <c r="W42" s="274">
        <v>0.5</v>
      </c>
      <c r="X42" s="274">
        <v>0.2</v>
      </c>
      <c r="Y42" s="276"/>
      <c r="Z42" s="276"/>
    </row>
    <row r="43" spans="2:26">
      <c r="B43" s="202" t="s">
        <v>168</v>
      </c>
      <c r="C43" s="132" t="s">
        <v>25</v>
      </c>
      <c r="D43" s="35" t="str">
        <f ca="1">IEAData!$D$54</f>
        <v>TRAMET</v>
      </c>
      <c r="E43" s="71">
        <f ca="1">IEAData!$D$82</f>
        <v>0</v>
      </c>
      <c r="F43" s="71">
        <f ca="1">AuxData!$D$82</f>
        <v>0</v>
      </c>
      <c r="G43" s="228">
        <f ca="1">$U43+MATCH(D43,OFFSET(CalibData!$B$3,$U43,0,7),0)-1</f>
        <v>103</v>
      </c>
      <c r="H43" s="113">
        <f ca="1">OFFSET(CalibData!N$3,$G43,0)*OFFSET(CalibData!N$117,$V43,0)</f>
        <v>7.0908882599273027E-2</v>
      </c>
      <c r="I43" s="113">
        <f ca="1">OFFSET(CalibData!O$3,$G43,0)*OFFSET(CalibData!O$117,$V43,0)</f>
        <v>5.7605243889022911E-2</v>
      </c>
      <c r="J43" s="58">
        <v>1</v>
      </c>
      <c r="K43" s="133">
        <f t="shared" ca="1" si="12"/>
        <v>0</v>
      </c>
      <c r="L43" s="133">
        <f t="shared" ca="1" si="12"/>
        <v>0</v>
      </c>
      <c r="M43" s="134">
        <f ca="1">OFFSET(CalibData!$E$117,$V43,0)</f>
        <v>60</v>
      </c>
      <c r="N43" s="134">
        <f ca="1">OFFSET(CalibData!$D$117,$V43,0)</f>
        <v>15</v>
      </c>
      <c r="O43" s="147">
        <f t="shared" ca="1" si="13"/>
        <v>0</v>
      </c>
      <c r="P43" s="147">
        <f t="shared" ca="1" si="13"/>
        <v>0</v>
      </c>
      <c r="Q43" s="96"/>
      <c r="R43" s="147">
        <f t="shared" ca="1" si="14"/>
        <v>0</v>
      </c>
      <c r="S43" s="147">
        <f t="shared" ca="1" si="14"/>
        <v>0</v>
      </c>
      <c r="U43" s="274">
        <f ca="1">IF(B42="*",MATCH(LEFT(B43,3),OFFSET(CalibData!$C$3,1,0,200),0),U42)</f>
        <v>99</v>
      </c>
      <c r="V43" s="274">
        <f ca="1">IF(B42="*",MATCH(LEFT($B43,3),OFFSET(CalibData!$B$117,1,0,10),0),V42)</f>
        <v>4</v>
      </c>
      <c r="W43" s="274">
        <v>0.5</v>
      </c>
      <c r="X43" s="274">
        <v>0.2</v>
      </c>
      <c r="Y43" s="276"/>
      <c r="Z43" s="276"/>
    </row>
    <row r="44" spans="2:26" ht="13.5" thickBot="1">
      <c r="B44" s="203" t="s">
        <v>169</v>
      </c>
      <c r="C44" s="137" t="s">
        <v>26</v>
      </c>
      <c r="D44" s="28" t="str">
        <f ca="1">IEAData!$E$54</f>
        <v>TRAETH</v>
      </c>
      <c r="E44" s="59">
        <f ca="1">IEAData!$E$82</f>
        <v>0</v>
      </c>
      <c r="F44" s="59">
        <f ca="1">AuxData!$E$82</f>
        <v>0</v>
      </c>
      <c r="G44" s="228">
        <f ca="1">$U44+MATCH(D44,OFFSET(CalibData!$B$3,$U44,0,7),0)-1</f>
        <v>104</v>
      </c>
      <c r="H44" s="113">
        <f ca="1">OFFSET(CalibData!N$3,$G44,0)*OFFSET(CalibData!N$117,$V44,0)</f>
        <v>7.0908882599273027E-2</v>
      </c>
      <c r="I44" s="113">
        <f ca="1">OFFSET(CalibData!O$3,$G44,0)*OFFSET(CalibData!O$117,$V44,0)</f>
        <v>5.7605243889022911E-2</v>
      </c>
      <c r="J44" s="58">
        <v>1</v>
      </c>
      <c r="K44" s="133">
        <f t="shared" ca="1" si="12"/>
        <v>0</v>
      </c>
      <c r="L44" s="133">
        <f t="shared" ca="1" si="12"/>
        <v>0</v>
      </c>
      <c r="M44" s="134">
        <f ca="1">OFFSET(CalibData!$E$117,$V44,0)</f>
        <v>60</v>
      </c>
      <c r="N44" s="134">
        <f ca="1">OFFSET(CalibData!$D$117,$V44,0)</f>
        <v>15</v>
      </c>
      <c r="O44" s="147">
        <f t="shared" ca="1" si="13"/>
        <v>0</v>
      </c>
      <c r="P44" s="147">
        <f t="shared" ca="1" si="13"/>
        <v>0</v>
      </c>
      <c r="Q44" s="96"/>
      <c r="R44" s="147">
        <f t="shared" ca="1" si="14"/>
        <v>0</v>
      </c>
      <c r="S44" s="147">
        <f t="shared" ca="1" si="14"/>
        <v>0</v>
      </c>
      <c r="U44" s="274">
        <f ca="1">IF(B43="*",MATCH(LEFT(B44,3),OFFSET(CalibData!$C$3,1,0,200),0),U43)</f>
        <v>99</v>
      </c>
      <c r="V44" s="274">
        <f ca="1">IF(B43="*",MATCH(LEFT($B44,3),OFFSET(CalibData!$B$117,1,0,10),0),V43)</f>
        <v>4</v>
      </c>
      <c r="W44" s="274">
        <v>0.5</v>
      </c>
      <c r="X44" s="274">
        <v>0.2</v>
      </c>
      <c r="Y44" s="276"/>
      <c r="Z44" s="276"/>
    </row>
    <row r="45" spans="2:26" ht="13.5" thickBot="1">
      <c r="B45" s="384" t="s">
        <v>470</v>
      </c>
      <c r="C45" s="150" t="str">
        <f>LEFT(B44,3)</f>
        <v>TRH</v>
      </c>
      <c r="D45" s="150"/>
      <c r="E45" s="151">
        <f ca="1">SUM(E39:E44)</f>
        <v>30.022450310244068</v>
      </c>
      <c r="F45" s="151">
        <f ca="1">SUM(F39:F44)</f>
        <v>28.97873586222757</v>
      </c>
      <c r="G45" s="150"/>
      <c r="H45" s="150"/>
      <c r="I45" s="150"/>
      <c r="J45" s="150"/>
      <c r="K45" s="151">
        <f ca="1">SUM(K39:K44)</f>
        <v>2.1288584043916048</v>
      </c>
      <c r="L45" s="151">
        <f ca="1">SUM(L39:L44)</f>
        <v>1.6693271469391937</v>
      </c>
      <c r="M45" s="150"/>
      <c r="N45" s="150"/>
      <c r="O45" s="151"/>
      <c r="P45" s="151"/>
      <c r="Q45" s="150"/>
      <c r="R45" s="151"/>
      <c r="S45" s="151"/>
      <c r="U45" s="275"/>
      <c r="V45" s="275"/>
      <c r="W45" s="275"/>
      <c r="X45" s="275"/>
      <c r="Y45" s="275"/>
      <c r="Z45" s="275"/>
    </row>
    <row r="46" spans="2:26">
      <c r="B46" s="205" t="s">
        <v>184</v>
      </c>
      <c r="C46" s="132" t="s">
        <v>203</v>
      </c>
      <c r="D46" s="35" t="str">
        <f ca="1">IEAData!H$51</f>
        <v>TRAGSL</v>
      </c>
      <c r="E46" s="71">
        <f ca="1">ROAD!Y46*IEAData!$H$85</f>
        <v>0.98405710158404647</v>
      </c>
      <c r="F46" s="71">
        <f ca="1">ROAD!Z46*AuxData!$H$85</f>
        <v>0.85028241812004246</v>
      </c>
      <c r="G46" s="20" t="s">
        <v>248</v>
      </c>
      <c r="H46" s="142">
        <f ca="1">OFFSET(CalibData!N$3,$U46+1,0)</f>
        <v>1.4382345456768275</v>
      </c>
      <c r="I46" s="142">
        <f ca="1">OFFSET(CalibData!O$3,$U46+1,0)</f>
        <v>0.97398236096874136</v>
      </c>
      <c r="J46" s="136">
        <v>1</v>
      </c>
      <c r="K46" s="133">
        <f t="shared" ref="K46:L48" ca="1" si="15">E46*H46</f>
        <v>1.4153049184167867</v>
      </c>
      <c r="L46" s="133">
        <f t="shared" ca="1" si="15"/>
        <v>0.82816007709076944</v>
      </c>
      <c r="M46" s="134">
        <f ca="1">OFFSET(CalibData!$E$117,$V46,0)</f>
        <v>1</v>
      </c>
      <c r="N46" s="134">
        <f ca="1">OFFSET(CalibData!$D$117,$V46,0)</f>
        <v>10</v>
      </c>
      <c r="O46" s="147">
        <f t="shared" ref="O46:P48" ca="1" si="16">K46/$M46</f>
        <v>1.4153049184167867</v>
      </c>
      <c r="P46" s="147">
        <f t="shared" ca="1" si="16"/>
        <v>0.82816007709076944</v>
      </c>
      <c r="Q46" s="135"/>
      <c r="R46" s="135"/>
      <c r="S46" s="147">
        <f ca="1">$P46*X46</f>
        <v>0</v>
      </c>
      <c r="U46" s="274">
        <f ca="1">IF(B45="*",MATCH(LEFT(B46,3),OFFSET(CalibData!$C$3,1,0,200),0),U45)</f>
        <v>105</v>
      </c>
      <c r="V46" s="274">
        <f ca="1">IF(B45="*",MATCH(LEFT($B46,3),OFFSET(CalibData!$B$117,1,0,10),0),V45)</f>
        <v>7</v>
      </c>
      <c r="W46" s="274">
        <v>0.5</v>
      </c>
      <c r="X46" s="274">
        <v>0</v>
      </c>
      <c r="Y46" s="277">
        <f ca="1">OFFSET(CalibData!N$3,$U46,0)</f>
        <v>0.82302098709771365</v>
      </c>
      <c r="Z46" s="277">
        <f ca="1">OFFSET(CalibData!O$3,$U46,0)</f>
        <v>0.64531583675354298</v>
      </c>
    </row>
    <row r="47" spans="2:26">
      <c r="B47" s="202" t="s">
        <v>183</v>
      </c>
      <c r="C47" s="132" t="s">
        <v>204</v>
      </c>
      <c r="D47" s="35" t="str">
        <f ca="1">IEAData!H$51</f>
        <v>TRAGSL</v>
      </c>
      <c r="E47" s="71">
        <f ca="1">ROAD!Y47*IEAData!$H$85</f>
        <v>0.21160754975638613</v>
      </c>
      <c r="F47" s="71">
        <f ca="1">ROAD!Z47*AuxData!$H$85</f>
        <v>0.46733969758324789</v>
      </c>
      <c r="G47" s="96" t="s">
        <v>249</v>
      </c>
      <c r="H47" s="142">
        <f ca="1">OFFSET(CalibData!N$3,$U47+2,0)</f>
        <v>0.82302098709771365</v>
      </c>
      <c r="I47" s="142">
        <f ca="1">OFFSET(CalibData!O$3,$U47+2,0)</f>
        <v>0.64531583675354298</v>
      </c>
      <c r="J47" s="136">
        <v>1</v>
      </c>
      <c r="K47" s="133">
        <f t="shared" ca="1" si="15"/>
        <v>0.17415745447782946</v>
      </c>
      <c r="L47" s="133">
        <f t="shared" ca="1" si="15"/>
        <v>0.30158170799408135</v>
      </c>
      <c r="M47" s="134">
        <f ca="1">OFFSET(CalibData!$E$117,$V47,0)</f>
        <v>1</v>
      </c>
      <c r="N47" s="134">
        <f ca="1">OFFSET(CalibData!$D$117,$V47,0)</f>
        <v>10</v>
      </c>
      <c r="O47" s="147">
        <f t="shared" ca="1" si="16"/>
        <v>0.17415745447782946</v>
      </c>
      <c r="P47" s="147">
        <f t="shared" ca="1" si="16"/>
        <v>0.30158170799408135</v>
      </c>
      <c r="Q47" s="96"/>
      <c r="R47" s="96"/>
      <c r="S47" s="147">
        <f ca="1">$P47*X47</f>
        <v>0</v>
      </c>
      <c r="U47" s="274">
        <f ca="1">IF(B46="*",MATCH(LEFT(B47,3),OFFSET(CalibData!$C$3,1,0,200),0),U46)</f>
        <v>105</v>
      </c>
      <c r="V47" s="274">
        <f ca="1">IF(B46="*",MATCH(LEFT($B47,3),OFFSET(CalibData!$B$117,1,0,10),0),V46)</f>
        <v>7</v>
      </c>
      <c r="W47" s="274">
        <v>0.5</v>
      </c>
      <c r="X47" s="274">
        <v>0</v>
      </c>
      <c r="Y47" s="277">
        <f ca="1">1-Y46</f>
        <v>0.17697901290228635</v>
      </c>
      <c r="Z47" s="277">
        <f ca="1">1-Z46</f>
        <v>0.35468416324645702</v>
      </c>
    </row>
    <row r="48" spans="2:26">
      <c r="B48" s="202" t="s">
        <v>487</v>
      </c>
      <c r="C48" s="132" t="s">
        <v>492</v>
      </c>
      <c r="D48" s="35" t="str">
        <f ca="1">COMM!$C$30</f>
        <v>TRDELC</v>
      </c>
      <c r="E48" s="71">
        <f ca="1">IEAData!$M$85</f>
        <v>0</v>
      </c>
      <c r="F48" s="71">
        <f ca="1">AuxData!$M$85</f>
        <v>1.2859695273530606E-3</v>
      </c>
      <c r="G48" s="228">
        <f ca="1">$U48+MATCH(D48,OFFSET(CalibData!$B$3,$U48,0,7),0)-1</f>
        <v>108</v>
      </c>
      <c r="H48" s="113">
        <f ca="1">OFFSET(CalibData!N$3,$G48,0)*OFFSET(CalibData!N$117,$V48,0)</f>
        <v>2</v>
      </c>
      <c r="I48" s="113">
        <f ca="1">OFFSET(CalibData!O$3,$G48,0)*OFFSET(CalibData!O$117,$V48,0)</f>
        <v>2.0001174362026868</v>
      </c>
      <c r="J48" s="136">
        <v>1</v>
      </c>
      <c r="K48" s="133">
        <f t="shared" ca="1" si="15"/>
        <v>0</v>
      </c>
      <c r="L48" s="133">
        <f t="shared" ca="1" si="15"/>
        <v>2.5720900740841845E-3</v>
      </c>
      <c r="M48" s="134">
        <f ca="1">OFFSET(CalibData!$E$117,$V48,0)</f>
        <v>1</v>
      </c>
      <c r="N48" s="134">
        <f ca="1">OFFSET(CalibData!$D$117,$V48,0)</f>
        <v>10</v>
      </c>
      <c r="O48" s="147">
        <f t="shared" ca="1" si="16"/>
        <v>0</v>
      </c>
      <c r="P48" s="147">
        <f t="shared" ca="1" si="16"/>
        <v>2.5720900740841845E-3</v>
      </c>
      <c r="Q48" s="96"/>
      <c r="R48" s="96"/>
      <c r="S48" s="147">
        <f ca="1">$P48*X48</f>
        <v>0</v>
      </c>
      <c r="U48" s="274">
        <f ca="1">IF(B47="*",MATCH(LEFT(B48,3),OFFSET(CalibData!$C$3,1,0,200),0),U47)</f>
        <v>105</v>
      </c>
      <c r="V48" s="274">
        <f ca="1">IF(B47="*",MATCH(LEFT($B48,3),OFFSET(CalibData!$B$117,1,0,10),0),V47)</f>
        <v>7</v>
      </c>
      <c r="W48" s="274">
        <v>0.5</v>
      </c>
      <c r="X48" s="274">
        <v>0</v>
      </c>
      <c r="Y48" s="277"/>
      <c r="Z48" s="277"/>
    </row>
    <row r="49" spans="2:26" ht="13.5" thickBot="1">
      <c r="B49" s="384" t="s">
        <v>470</v>
      </c>
      <c r="C49" s="150" t="str">
        <f>LEFT(B47,3)</f>
        <v>TRW</v>
      </c>
      <c r="D49" s="150"/>
      <c r="E49" s="151"/>
      <c r="F49" s="151"/>
      <c r="G49" s="150"/>
      <c r="H49" s="150"/>
      <c r="I49" s="150"/>
      <c r="J49" s="150"/>
      <c r="K49" s="151">
        <f ca="1">SUM(K46:K47)</f>
        <v>1.5894623728946162</v>
      </c>
      <c r="L49" s="151">
        <f ca="1">SUM(L46:L47)</f>
        <v>1.1297417850848508</v>
      </c>
      <c r="M49" s="150"/>
      <c r="N49" s="150"/>
      <c r="O49" s="151"/>
      <c r="P49" s="151"/>
      <c r="Q49" s="150"/>
      <c r="R49" s="151"/>
      <c r="S49" s="151"/>
      <c r="U49" s="275"/>
      <c r="V49" s="275"/>
      <c r="W49" s="275"/>
      <c r="X49" s="275"/>
      <c r="Y49" s="275"/>
      <c r="Z49" s="275"/>
    </row>
    <row r="50" spans="2:26">
      <c r="B50" s="202" t="s">
        <v>206</v>
      </c>
      <c r="C50" s="132" t="s">
        <v>207</v>
      </c>
      <c r="D50" s="35" t="str">
        <f ca="1">IEAData!H$51</f>
        <v>TRAGSL</v>
      </c>
      <c r="E50" s="144">
        <f ca="1">IEAData!$H$80</f>
        <v>0</v>
      </c>
      <c r="F50" s="144">
        <f ca="1">AuxData!$H$80</f>
        <v>0</v>
      </c>
      <c r="G50" s="20" t="s">
        <v>248</v>
      </c>
      <c r="H50" s="142">
        <f ca="1">OFFSET(CalibData!N$3,$U50+0,0)</f>
        <v>0.82302098709771365</v>
      </c>
      <c r="I50" s="142">
        <f ca="1">OFFSET(CalibData!O$3,$U50+0,0)</f>
        <v>0.64531583675354298</v>
      </c>
      <c r="J50" s="136">
        <v>1</v>
      </c>
      <c r="K50" s="133">
        <f ca="1">E50*H50</f>
        <v>0</v>
      </c>
      <c r="L50" s="133">
        <f ca="1">F50*I50</f>
        <v>0</v>
      </c>
      <c r="M50" s="134">
        <f ca="1">OFFSET(CalibData!$E$117,$V50,0)</f>
        <v>1</v>
      </c>
      <c r="N50" s="134">
        <f ca="1">OFFSET(CalibData!$D$117,$V50,0)</f>
        <v>10</v>
      </c>
      <c r="O50" s="147">
        <f ca="1">K50/$M50</f>
        <v>0</v>
      </c>
      <c r="P50" s="147">
        <f ca="1">L50/$M50</f>
        <v>0</v>
      </c>
      <c r="Q50" s="135"/>
      <c r="R50" s="135"/>
      <c r="S50" s="147">
        <f ca="1">$P50*X50</f>
        <v>0</v>
      </c>
      <c r="U50" s="274">
        <f ca="1">IF(B49="*",MATCH(LEFT(B50,3),OFFSET(CalibData!$C$3,1,0,200),0),U49)</f>
        <v>109</v>
      </c>
      <c r="V50" s="274">
        <f ca="1">IF(B49="*",MATCH(LEFT($B50,3),OFFSET(CalibData!$B$117,1,0,10),0),V49)</f>
        <v>8</v>
      </c>
      <c r="W50" s="274">
        <v>0.5</v>
      </c>
      <c r="X50" s="274">
        <v>0</v>
      </c>
      <c r="Y50" s="276"/>
      <c r="Z50" s="276"/>
    </row>
    <row r="51" spans="2:26">
      <c r="B51" s="202" t="s">
        <v>208</v>
      </c>
      <c r="C51" s="132" t="s">
        <v>209</v>
      </c>
      <c r="D51" s="35" t="str">
        <f ca="1">IEAData!K$51</f>
        <v>TRADST</v>
      </c>
      <c r="E51" s="71">
        <f ca="1">IEAData!$K$80</f>
        <v>0</v>
      </c>
      <c r="F51" s="71">
        <f ca="1">AuxData!$K$80</f>
        <v>0</v>
      </c>
      <c r="G51" s="96" t="s">
        <v>249</v>
      </c>
      <c r="H51" s="143">
        <f ca="1">OFFSET(CalibData!N$3,$U51+1,0)</f>
        <v>0.82302098709771365</v>
      </c>
      <c r="I51" s="143">
        <f ca="1">OFFSET(CalibData!O$3,$U51+1,0)</f>
        <v>0.64531583675354298</v>
      </c>
      <c r="J51" s="136">
        <v>1</v>
      </c>
      <c r="K51" s="133">
        <f ca="1">E51*H51</f>
        <v>0</v>
      </c>
      <c r="L51" s="133">
        <f ca="1">F51*I51</f>
        <v>0</v>
      </c>
      <c r="M51" s="134">
        <f ca="1">OFFSET(CalibData!$E$117,$V51,0)</f>
        <v>1</v>
      </c>
      <c r="N51" s="134">
        <f ca="1">OFFSET(CalibData!$D$117,$V51,0)</f>
        <v>10</v>
      </c>
      <c r="O51" s="147">
        <f ca="1">K51/$M51</f>
        <v>0</v>
      </c>
      <c r="P51" s="147">
        <f ca="1">L51/$M51</f>
        <v>0</v>
      </c>
      <c r="Q51" s="96"/>
      <c r="R51" s="96"/>
      <c r="S51" s="147">
        <f ca="1">$P51*X51</f>
        <v>0</v>
      </c>
      <c r="U51" s="274">
        <f ca="1">IF(B50="*",MATCH(LEFT(B51,3),OFFSET(CalibData!$C$3,1,0,200),0),U50)</f>
        <v>109</v>
      </c>
      <c r="V51" s="274">
        <f ca="1">IF(B50="*",MATCH(LEFT($B51,3),OFFSET(CalibData!$B$117,1,0,10),0),V50)</f>
        <v>8</v>
      </c>
      <c r="W51" s="274">
        <v>0.5</v>
      </c>
      <c r="X51" s="274">
        <v>0</v>
      </c>
      <c r="Y51" s="276"/>
      <c r="Z51" s="276"/>
    </row>
    <row r="52" spans="2:26">
      <c r="B52" s="384" t="s">
        <v>470</v>
      </c>
      <c r="C52" s="150" t="str">
        <f>LEFT(B51,3)</f>
        <v>TRE</v>
      </c>
      <c r="D52" s="150"/>
      <c r="E52" s="151"/>
      <c r="F52" s="151"/>
      <c r="G52" s="150"/>
      <c r="H52" s="150"/>
      <c r="I52" s="150"/>
      <c r="J52" s="150"/>
      <c r="K52" s="151">
        <f ca="1">SUM(K50:K51)</f>
        <v>0</v>
      </c>
      <c r="L52" s="151">
        <f ca="1">SUM(L50:L51)</f>
        <v>0</v>
      </c>
      <c r="M52" s="150"/>
      <c r="N52" s="150"/>
      <c r="O52" s="151"/>
      <c r="P52" s="151"/>
      <c r="Q52" s="150"/>
      <c r="R52" s="151"/>
      <c r="S52" s="151"/>
      <c r="U52" s="275"/>
      <c r="V52" s="275"/>
      <c r="W52" s="275"/>
      <c r="X52" s="275"/>
      <c r="Y52" s="275"/>
      <c r="Z52" s="275"/>
    </row>
    <row r="57" spans="2:26" ht="18">
      <c r="B57" s="200" t="s">
        <v>289</v>
      </c>
      <c r="C57" s="138"/>
      <c r="D57" s="302" t="str">
        <f>"~FI_T: "&amp;Region</f>
        <v>~FI_T: FIN</v>
      </c>
      <c r="J57" t="s">
        <v>65</v>
      </c>
    </row>
    <row r="58" spans="2:26" ht="13.5" thickBot="1">
      <c r="B58" s="31" t="s">
        <v>292</v>
      </c>
      <c r="C58" s="31" t="s">
        <v>293</v>
      </c>
      <c r="D58" s="30" t="s">
        <v>61</v>
      </c>
      <c r="E58" s="102" t="s">
        <v>498</v>
      </c>
      <c r="F58" s="102" t="s">
        <v>344</v>
      </c>
      <c r="G58" s="102" t="str">
        <f ca="1">F58&amp;"~"&amp;AuxYear</f>
        <v>DEMAND~2017</v>
      </c>
      <c r="H58" s="271" t="s">
        <v>464</v>
      </c>
      <c r="I58" s="102" t="str">
        <f ca="1">H58&amp;"~"&amp;AuxYear</f>
        <v>COM_IE~2017</v>
      </c>
      <c r="J58" s="30"/>
      <c r="K58" s="30"/>
      <c r="M58" s="223" t="s">
        <v>475</v>
      </c>
      <c r="O58" s="223">
        <v>2010</v>
      </c>
      <c r="P58" s="223">
        <v>2017</v>
      </c>
      <c r="Q58" s="223">
        <v>2010</v>
      </c>
      <c r="R58" s="223">
        <v>2017</v>
      </c>
    </row>
    <row r="59" spans="2:26">
      <c r="B59" s="34" t="s">
        <v>179</v>
      </c>
      <c r="C59" s="17" t="s">
        <v>143</v>
      </c>
      <c r="D59" s="17" t="s">
        <v>518</v>
      </c>
      <c r="E59" s="310">
        <v>2</v>
      </c>
      <c r="F59" s="327"/>
      <c r="G59" s="327"/>
      <c r="H59" s="325">
        <f t="shared" ref="H59:H65" ca="1" si="17">IF(P59,O59/OFFSET(K$5,$M59,0),1)*I59</f>
        <v>1.6</v>
      </c>
      <c r="I59" s="325">
        <f ca="1">CalibData!C118</f>
        <v>1.6</v>
      </c>
      <c r="J59" s="20"/>
      <c r="K59" s="20"/>
      <c r="M59" s="224">
        <f t="shared" ref="M59:M65" si="18">MATCH($B59,$C$6:$C$54,0)</f>
        <v>9</v>
      </c>
      <c r="O59" s="309">
        <f t="shared" ref="O59:P65" ca="1" si="19">OFFSET(K$5,$M59,0)</f>
        <v>35.501607328818274</v>
      </c>
      <c r="P59" s="139">
        <f t="shared" ca="1" si="19"/>
        <v>36.383536732632571</v>
      </c>
      <c r="Q59" s="282">
        <f t="shared" ref="Q59:R65" ca="1" si="20">O59*H59</f>
        <v>56.802571726109242</v>
      </c>
      <c r="R59" s="282">
        <f t="shared" ca="1" si="20"/>
        <v>58.213658772212113</v>
      </c>
    </row>
    <row r="60" spans="2:26">
      <c r="B60" s="34" t="s">
        <v>51</v>
      </c>
      <c r="C60" s="17" t="s">
        <v>127</v>
      </c>
      <c r="D60" s="17" t="s">
        <v>518</v>
      </c>
      <c r="E60" s="310">
        <v>2</v>
      </c>
      <c r="F60" s="327"/>
      <c r="G60" s="327"/>
      <c r="H60" s="325">
        <f t="shared" ca="1" si="17"/>
        <v>13</v>
      </c>
      <c r="I60" s="325">
        <f ca="1">CalibData!C120</f>
        <v>13</v>
      </c>
      <c r="J60" s="20"/>
      <c r="K60" s="20"/>
      <c r="M60" s="224">
        <f t="shared" si="18"/>
        <v>17</v>
      </c>
      <c r="O60" s="139">
        <f t="shared" ca="1" si="19"/>
        <v>0.50377118446223013</v>
      </c>
      <c r="P60" s="139">
        <f t="shared" ca="1" si="19"/>
        <v>0.51059309940118935</v>
      </c>
      <c r="Q60" s="282">
        <f t="shared" ca="1" si="20"/>
        <v>6.5490253980089914</v>
      </c>
      <c r="R60" s="282">
        <f t="shared" ca="1" si="20"/>
        <v>6.6377102922154618</v>
      </c>
    </row>
    <row r="61" spans="2:26">
      <c r="B61" s="34" t="s">
        <v>50</v>
      </c>
      <c r="C61" s="234" t="s">
        <v>137</v>
      </c>
      <c r="D61" s="17" t="s">
        <v>518</v>
      </c>
      <c r="E61" s="310">
        <v>2</v>
      </c>
      <c r="F61" s="327"/>
      <c r="G61" s="327"/>
      <c r="H61" s="325">
        <f t="shared" ca="1" si="17"/>
        <v>0.2</v>
      </c>
      <c r="I61" s="325">
        <f ca="1">CalibData!C119</f>
        <v>0.2</v>
      </c>
      <c r="J61" s="20"/>
      <c r="K61" s="20"/>
      <c r="M61" s="224">
        <f t="shared" si="18"/>
        <v>25</v>
      </c>
      <c r="O61" s="139">
        <f t="shared" ca="1" si="19"/>
        <v>4.4958883844927184</v>
      </c>
      <c r="P61" s="139">
        <f t="shared" ca="1" si="19"/>
        <v>5.0147105648868875</v>
      </c>
      <c r="Q61" s="282">
        <f t="shared" ca="1" si="20"/>
        <v>0.89917767689854378</v>
      </c>
      <c r="R61" s="282">
        <f t="shared" ca="1" si="20"/>
        <v>1.0029421129773775</v>
      </c>
    </row>
    <row r="62" spans="2:26">
      <c r="B62" s="34" t="s">
        <v>257</v>
      </c>
      <c r="C62" s="234" t="s">
        <v>266</v>
      </c>
      <c r="D62" s="17" t="s">
        <v>518</v>
      </c>
      <c r="E62" s="310">
        <v>2</v>
      </c>
      <c r="F62" s="327"/>
      <c r="G62" s="327"/>
      <c r="H62" s="325">
        <f t="shared" ca="1" si="17"/>
        <v>2.4</v>
      </c>
      <c r="I62" s="325">
        <f ca="1">CalibData!C122</f>
        <v>2.4</v>
      </c>
      <c r="J62" s="20"/>
      <c r="K62" s="20"/>
      <c r="M62" s="224">
        <f t="shared" si="18"/>
        <v>33</v>
      </c>
      <c r="O62" s="139">
        <f t="shared" ca="1" si="19"/>
        <v>1.398561994101728</v>
      </c>
      <c r="P62" s="139">
        <f t="shared" ca="1" si="19"/>
        <v>1.294151492532496</v>
      </c>
      <c r="Q62" s="282">
        <f t="shared" ca="1" si="20"/>
        <v>3.3565487858441472</v>
      </c>
      <c r="R62" s="282">
        <f t="shared" ca="1" si="20"/>
        <v>3.1059635820779903</v>
      </c>
    </row>
    <row r="63" spans="2:26">
      <c r="B63" s="34" t="s">
        <v>52</v>
      </c>
      <c r="C63" s="17" t="s">
        <v>139</v>
      </c>
      <c r="D63" s="17" t="s">
        <v>518</v>
      </c>
      <c r="E63" s="310">
        <v>2</v>
      </c>
      <c r="F63" s="327"/>
      <c r="G63" s="327"/>
      <c r="H63" s="325">
        <f t="shared" ca="1" si="17"/>
        <v>12.2</v>
      </c>
      <c r="I63" s="325">
        <f ca="1">CalibData!C121</f>
        <v>12.2</v>
      </c>
      <c r="J63" s="20"/>
      <c r="K63" s="20"/>
      <c r="M63" s="224">
        <f t="shared" si="18"/>
        <v>40</v>
      </c>
      <c r="O63" s="139">
        <f t="shared" ca="1" si="19"/>
        <v>2.1288584043916048</v>
      </c>
      <c r="P63" s="139">
        <f t="shared" ca="1" si="19"/>
        <v>1.6693271469391937</v>
      </c>
      <c r="Q63" s="282">
        <f t="shared" ca="1" si="20"/>
        <v>25.972072533577578</v>
      </c>
      <c r="R63" s="282">
        <f t="shared" ca="1" si="20"/>
        <v>20.365791192658161</v>
      </c>
    </row>
    <row r="64" spans="2:26">
      <c r="B64" s="34" t="s">
        <v>140</v>
      </c>
      <c r="C64" s="17" t="s">
        <v>205</v>
      </c>
      <c r="D64" s="17" t="s">
        <v>518</v>
      </c>
      <c r="E64" s="310">
        <v>2</v>
      </c>
      <c r="F64" s="327"/>
      <c r="G64" s="327"/>
      <c r="H64" s="325">
        <f t="shared" ca="1" si="17"/>
        <v>1</v>
      </c>
      <c r="I64" s="325">
        <f ca="1">CalibData!C124</f>
        <v>1</v>
      </c>
      <c r="J64" s="20"/>
      <c r="K64" s="20"/>
      <c r="M64" s="224">
        <f t="shared" si="18"/>
        <v>44</v>
      </c>
      <c r="O64" s="139">
        <f t="shared" ca="1" si="19"/>
        <v>1.5894623728946162</v>
      </c>
      <c r="P64" s="139">
        <f t="shared" ca="1" si="19"/>
        <v>1.1297417850848508</v>
      </c>
      <c r="Q64" s="282">
        <f t="shared" ca="1" si="20"/>
        <v>1.5894623728946162</v>
      </c>
      <c r="R64" s="282">
        <f t="shared" ca="1" si="20"/>
        <v>1.1297417850848508</v>
      </c>
    </row>
    <row r="65" spans="2:18">
      <c r="B65" s="6" t="s">
        <v>202</v>
      </c>
      <c r="C65" s="5" t="s">
        <v>210</v>
      </c>
      <c r="D65" s="5" t="s">
        <v>518</v>
      </c>
      <c r="E65" s="4">
        <v>2</v>
      </c>
      <c r="F65" s="3"/>
      <c r="G65" s="3"/>
      <c r="H65" s="2">
        <f t="shared" ca="1" si="17"/>
        <v>1</v>
      </c>
      <c r="I65" s="2">
        <f ca="1">CalibData!C125</f>
        <v>1</v>
      </c>
      <c r="J65" s="1"/>
      <c r="K65" s="1"/>
      <c r="M65" s="224">
        <f t="shared" si="18"/>
        <v>47</v>
      </c>
      <c r="O65" s="139">
        <f t="shared" ca="1" si="19"/>
        <v>0</v>
      </c>
      <c r="P65" s="139">
        <f t="shared" ca="1" si="19"/>
        <v>0</v>
      </c>
      <c r="Q65" s="282">
        <f t="shared" ca="1" si="20"/>
        <v>0</v>
      </c>
      <c r="R65" s="282">
        <f t="shared" ca="1" si="20"/>
        <v>0</v>
      </c>
    </row>
    <row r="66" spans="2:18">
      <c r="B66" s="7" t="s">
        <v>533</v>
      </c>
      <c r="C66" s="17" t="s">
        <v>143</v>
      </c>
      <c r="D66" s="17" t="s">
        <v>519</v>
      </c>
      <c r="E66" s="310"/>
      <c r="F66" s="310">
        <v>1</v>
      </c>
      <c r="G66" s="310">
        <v>1</v>
      </c>
      <c r="H66" s="326">
        <f t="shared" ref="H66:I71" ca="1" si="21">IF(Q59,1/Q59,1)</f>
        <v>1.7604836710946859E-2</v>
      </c>
      <c r="I66" s="326">
        <f t="shared" ca="1" si="21"/>
        <v>1.7178099110948565E-2</v>
      </c>
      <c r="J66" s="20"/>
      <c r="K66" s="20"/>
    </row>
    <row r="67" spans="2:18">
      <c r="B67" s="7" t="s">
        <v>502</v>
      </c>
      <c r="C67" s="17" t="s">
        <v>127</v>
      </c>
      <c r="D67" s="17" t="s">
        <v>519</v>
      </c>
      <c r="E67" s="310"/>
      <c r="F67" s="310">
        <v>1</v>
      </c>
      <c r="G67" s="310">
        <v>1</v>
      </c>
      <c r="H67" s="326">
        <f t="shared" ca="1" si="21"/>
        <v>0.15269447577711578</v>
      </c>
      <c r="I67" s="326">
        <f t="shared" ca="1" si="21"/>
        <v>0.15065436061178727</v>
      </c>
      <c r="J67" s="20"/>
      <c r="K67" s="20"/>
    </row>
    <row r="68" spans="2:18">
      <c r="B68" s="7" t="s">
        <v>536</v>
      </c>
      <c r="C68" s="17" t="s">
        <v>137</v>
      </c>
      <c r="D68" s="17" t="s">
        <v>520</v>
      </c>
      <c r="E68" s="310"/>
      <c r="F68" s="310">
        <v>1</v>
      </c>
      <c r="G68" s="310">
        <v>1</v>
      </c>
      <c r="H68" s="326">
        <f t="shared" ca="1" si="21"/>
        <v>1.1121272532579034</v>
      </c>
      <c r="I68" s="326">
        <f t="shared" ca="1" si="21"/>
        <v>0.9970665176590866</v>
      </c>
      <c r="J68" s="20"/>
      <c r="K68" s="20"/>
    </row>
    <row r="69" spans="2:18">
      <c r="B69" s="7" t="s">
        <v>505</v>
      </c>
      <c r="C69" s="17" t="s">
        <v>266</v>
      </c>
      <c r="D69" s="17" t="s">
        <v>520</v>
      </c>
      <c r="E69" s="310"/>
      <c r="F69" s="310">
        <v>1</v>
      </c>
      <c r="G69" s="310">
        <v>1</v>
      </c>
      <c r="H69" s="326">
        <f t="shared" ca="1" si="21"/>
        <v>0.29792506047204892</v>
      </c>
      <c r="I69" s="326">
        <f t="shared" ca="1" si="21"/>
        <v>0.32196127661322016</v>
      </c>
      <c r="J69" s="20"/>
      <c r="K69" s="20"/>
    </row>
    <row r="70" spans="2:18">
      <c r="B70" s="7" t="s">
        <v>506</v>
      </c>
      <c r="C70" s="17" t="s">
        <v>139</v>
      </c>
      <c r="D70" s="17" t="s">
        <v>520</v>
      </c>
      <c r="E70" s="310"/>
      <c r="F70" s="310">
        <v>1</v>
      </c>
      <c r="G70" s="310">
        <v>1</v>
      </c>
      <c r="H70" s="326">
        <f t="shared" ca="1" si="21"/>
        <v>3.8502895704883237E-2</v>
      </c>
      <c r="I70" s="326">
        <f t="shared" ca="1" si="21"/>
        <v>4.9101947012031556E-2</v>
      </c>
      <c r="J70" s="20"/>
      <c r="K70" s="20"/>
    </row>
    <row r="71" spans="2:18">
      <c r="B71" s="7" t="s">
        <v>503</v>
      </c>
      <c r="C71" s="17" t="s">
        <v>205</v>
      </c>
      <c r="D71" s="17" t="s">
        <v>519</v>
      </c>
      <c r="E71" s="310"/>
      <c r="F71" s="310">
        <v>1</v>
      </c>
      <c r="G71" s="310">
        <v>1</v>
      </c>
      <c r="H71" s="326">
        <f t="shared" ca="1" si="21"/>
        <v>0.62914355007905653</v>
      </c>
      <c r="I71" s="326">
        <f t="shared" ca="1" si="21"/>
        <v>0.8851580185864274</v>
      </c>
      <c r="J71" s="20"/>
      <c r="K71" s="20"/>
    </row>
  </sheetData>
  <phoneticPr fontId="35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3:X34"/>
  <sheetViews>
    <sheetView zoomScale="80" workbookViewId="0">
      <selection activeCell="A17" sqref="A17"/>
    </sheetView>
  </sheetViews>
  <sheetFormatPr defaultRowHeight="12.75"/>
  <cols>
    <col min="3" max="3" width="33.140625" customWidth="1"/>
    <col min="4" max="4" width="11" customWidth="1"/>
    <col min="15" max="15" width="9" customWidth="1"/>
  </cols>
  <sheetData>
    <row r="3" spans="1:24" ht="18">
      <c r="A3" s="14" t="s">
        <v>66</v>
      </c>
      <c r="B3" s="14"/>
      <c r="C3" s="14"/>
      <c r="P3" s="324">
        <f ca="1">CEILING(AuxYear+7,5)</f>
        <v>2025</v>
      </c>
      <c r="Q3" s="324">
        <f ca="1">CEILING(AuxYear+17,5)</f>
        <v>2035</v>
      </c>
      <c r="R3" s="324">
        <f ca="1">CEILING(AuxYear+32,5)</f>
        <v>2050</v>
      </c>
      <c r="S3" s="324">
        <f ca="1">CEILING(AuxYear+52,5)</f>
        <v>2070</v>
      </c>
      <c r="T3" s="324">
        <f ca="1">CEILING(AuxYear+82,5)</f>
        <v>2100</v>
      </c>
      <c r="U3" s="324"/>
      <c r="V3" s="324">
        <f ca="1">AuxYear</f>
        <v>2017</v>
      </c>
      <c r="W3" s="324">
        <f ca="1">CEILING(AuxYear+32,5)</f>
        <v>2050</v>
      </c>
      <c r="X3" s="324">
        <f ca="1">CEILING(AuxYear+82,5)</f>
        <v>2100</v>
      </c>
    </row>
    <row r="4" spans="1:24" ht="18">
      <c r="A4" s="14" t="s">
        <v>149</v>
      </c>
      <c r="D4" s="193"/>
      <c r="G4" s="16"/>
    </row>
    <row r="5" spans="1:24" ht="18">
      <c r="A5" s="14"/>
      <c r="B5" s="18"/>
      <c r="C5" s="19"/>
      <c r="D5" s="193"/>
    </row>
    <row r="6" spans="1:24" ht="18">
      <c r="A6" s="14"/>
      <c r="B6" s="100" t="s">
        <v>288</v>
      </c>
      <c r="C6" s="128"/>
      <c r="D6" s="302" t="str">
        <f>"~FI_T: "&amp;Region</f>
        <v>~FI_T: FIN</v>
      </c>
      <c r="E6" s="60"/>
    </row>
    <row r="7" spans="1:24" ht="39" thickBot="1">
      <c r="A7" s="15"/>
      <c r="B7" s="48" t="s">
        <v>297</v>
      </c>
      <c r="C7" s="48" t="s">
        <v>298</v>
      </c>
      <c r="D7" s="48" t="s">
        <v>296</v>
      </c>
      <c r="E7" s="56" t="str">
        <f ca="1">CONCATENATE("\I:",IEAData!$D$2," final energy")</f>
        <v>\I:2010 final energy</v>
      </c>
      <c r="F7" s="56" t="str">
        <f ca="1">CONCATENATE("\I:",AuxYear," final energy")</f>
        <v>\I:2017 final energy</v>
      </c>
      <c r="G7" s="48" t="s">
        <v>390</v>
      </c>
      <c r="H7" s="56" t="str">
        <f ca="1">"CEFF~"&amp;AuxYear</f>
        <v>CEFF~2017</v>
      </c>
      <c r="I7" s="48" t="s">
        <v>304</v>
      </c>
      <c r="J7" s="48" t="str">
        <f ca="1">"Share~FX~"&amp;AuxYear</f>
        <v>Share~FX~2017</v>
      </c>
      <c r="K7" s="56" t="str">
        <f ca="1">CONCATENATE("\I:",IEAData!$D$2," Service Demand")</f>
        <v>\I:2010 Service Demand</v>
      </c>
      <c r="L7" s="56" t="str">
        <f ca="1">CONCATENATE("\I:",AuxYear," Service Demand")</f>
        <v>\I:2017 Service Demand</v>
      </c>
      <c r="M7" s="48" t="s">
        <v>313</v>
      </c>
      <c r="N7" s="48" t="s">
        <v>314</v>
      </c>
      <c r="O7" s="48" t="s">
        <v>305</v>
      </c>
      <c r="P7" s="48" t="str">
        <f>"CEFF~"&amp;P$3</f>
        <v>CEFF~2025</v>
      </c>
      <c r="Q7" s="48" t="str">
        <f>"CEFF~"&amp;Q$3</f>
        <v>CEFF~2035</v>
      </c>
      <c r="R7" s="48" t="str">
        <f>"CEFF~"&amp;R$3</f>
        <v>CEFF~2050</v>
      </c>
      <c r="S7" s="48" t="str">
        <f>"CEFF~"&amp;S$3</f>
        <v>CEFF~2070</v>
      </c>
      <c r="T7" s="48" t="str">
        <f>"CEFF~"&amp;T$3</f>
        <v>CEFF~2100</v>
      </c>
      <c r="U7" s="48" t="s">
        <v>308</v>
      </c>
      <c r="V7" s="48" t="str">
        <f>"EFF~"&amp;V$3</f>
        <v>EFF~2017</v>
      </c>
      <c r="W7" s="48" t="str">
        <f>"EFF~"&amp;W$3</f>
        <v>EFF~2050</v>
      </c>
      <c r="X7" s="48" t="str">
        <f>"EFF~"&amp;X$3</f>
        <v>EFF~2100</v>
      </c>
    </row>
    <row r="8" spans="1:24" ht="18.75" customHeight="1">
      <c r="B8" s="201" t="s">
        <v>154</v>
      </c>
      <c r="C8" s="29" t="s">
        <v>153</v>
      </c>
      <c r="D8" s="17" t="str">
        <f ca="1">IEAData!$H$51</f>
        <v>TRAGSL</v>
      </c>
      <c r="E8" s="32">
        <f ca="1">IEAData!$H88</f>
        <v>0</v>
      </c>
      <c r="F8" s="32">
        <f ca="1">AuxData!$H88</f>
        <v>0</v>
      </c>
      <c r="G8" s="11">
        <v>0.35</v>
      </c>
      <c r="I8" s="66">
        <f ca="1">IF($N$29=0,0,E8/$E$12)</f>
        <v>0</v>
      </c>
      <c r="J8" s="66">
        <f ca="1">IF($N$29=0,0,F8/F$12)</f>
        <v>0</v>
      </c>
      <c r="K8" s="92">
        <f t="shared" ref="K8:L11" ca="1" si="0">E8*$G8*U$9</f>
        <v>0</v>
      </c>
      <c r="L8" s="92">
        <f t="shared" ca="1" si="0"/>
        <v>0</v>
      </c>
      <c r="M8" s="96"/>
      <c r="N8" s="96"/>
      <c r="P8" s="20"/>
      <c r="Q8" s="20"/>
      <c r="R8" s="96"/>
      <c r="S8" s="96"/>
      <c r="T8" s="96"/>
      <c r="U8" s="96"/>
      <c r="V8" s="96"/>
      <c r="W8" s="96"/>
      <c r="X8" s="96"/>
    </row>
    <row r="9" spans="1:24">
      <c r="B9" s="17"/>
      <c r="C9" s="29"/>
      <c r="D9" s="17" t="str">
        <f ca="1">RAIL!$D$16</f>
        <v>TRADSO</v>
      </c>
      <c r="E9" s="32">
        <f ca="1">IEAData!$K$88</f>
        <v>0.19425318021000001</v>
      </c>
      <c r="F9" s="32">
        <f ca="1">AuxData!$K$88</f>
        <v>8.9034125399999983E-2</v>
      </c>
      <c r="G9" s="11">
        <v>0.4</v>
      </c>
      <c r="I9" s="66">
        <f ca="1">IF($E$12=0,0,E9/$E$12)</f>
        <v>0.13095717576806326</v>
      </c>
      <c r="J9" s="66">
        <f ca="1">IF($N$29=0,0,F9/F$12)</f>
        <v>6.6624666363161458E-2</v>
      </c>
      <c r="K9" s="92">
        <f t="shared" ca="1" si="0"/>
        <v>7.7701272084000017E-2</v>
      </c>
      <c r="L9" s="92">
        <f t="shared" ca="1" si="0"/>
        <v>3.6878981673043043E-2</v>
      </c>
      <c r="M9" s="92">
        <f ca="1">J9*0.6</f>
        <v>3.9974799817896874E-2</v>
      </c>
      <c r="N9" s="92">
        <f ca="1">M9*0.67</f>
        <v>2.6783115877990905E-2</v>
      </c>
      <c r="P9" s="20"/>
      <c r="Q9" s="20"/>
      <c r="R9" s="96">
        <v>0.45</v>
      </c>
      <c r="S9" s="96"/>
      <c r="T9" s="96">
        <v>0.49</v>
      </c>
      <c r="U9" s="280">
        <v>1</v>
      </c>
      <c r="V9" s="96">
        <f ca="1">U9*1.005^(AuxYear-BaseYear)</f>
        <v>1.0355293969407333</v>
      </c>
      <c r="W9" s="96">
        <f ca="1">V9*1.005^(W$3-AuxYear)</f>
        <v>1.2207942364867914</v>
      </c>
      <c r="X9" s="96">
        <f>W9*1.005^50</f>
        <v>1.5665546789841538</v>
      </c>
    </row>
    <row r="10" spans="1:24">
      <c r="A10" s="68"/>
      <c r="B10" s="35"/>
      <c r="C10" s="250"/>
      <c r="D10" s="35" t="str">
        <f ca="1">IEAData!$L$51</f>
        <v>TRAHFO</v>
      </c>
      <c r="E10" s="70">
        <f ca="1">IEAData!$L88</f>
        <v>0</v>
      </c>
      <c r="F10" s="70">
        <f ca="1">AuxData!$L88</f>
        <v>0</v>
      </c>
      <c r="G10" s="65">
        <v>0.4</v>
      </c>
      <c r="H10" s="68"/>
      <c r="I10" s="66">
        <f ca="1">IF($N$29=0,0,E10/$E$12)</f>
        <v>0</v>
      </c>
      <c r="J10" s="66">
        <f ca="1">IF($N$29=0,0,F10/F$12)</f>
        <v>0</v>
      </c>
      <c r="K10" s="92">
        <f t="shared" si="0"/>
        <v>0</v>
      </c>
      <c r="L10" s="92">
        <f t="shared" si="0"/>
        <v>0</v>
      </c>
      <c r="M10" s="92"/>
      <c r="N10" s="92"/>
      <c r="O10" s="68"/>
      <c r="P10" s="92"/>
      <c r="Q10" s="92"/>
      <c r="R10" s="92"/>
      <c r="S10" s="92"/>
      <c r="T10" s="92"/>
      <c r="U10" s="92"/>
      <c r="V10" s="92"/>
      <c r="W10" s="92"/>
      <c r="X10" s="92"/>
    </row>
    <row r="11" spans="1:24" ht="13.5" thickBot="1">
      <c r="A11" s="68"/>
      <c r="B11" s="64"/>
      <c r="C11" s="64"/>
      <c r="D11" s="64" t="str">
        <f ca="1">COMM!$C$31</f>
        <v>TTRELC</v>
      </c>
      <c r="E11" s="33">
        <f ca="1">IEAData!$M$88-E13</f>
        <v>1.2890804291986175</v>
      </c>
      <c r="F11" s="33">
        <f ca="1">AuxData!$M$88-F13</f>
        <v>1.247319664571537</v>
      </c>
      <c r="G11" s="21">
        <v>1</v>
      </c>
      <c r="H11" s="21"/>
      <c r="I11" s="95"/>
      <c r="J11" s="21"/>
      <c r="K11" s="91">
        <f t="shared" ca="1" si="0"/>
        <v>1.2890804291986175</v>
      </c>
      <c r="L11" s="91">
        <f t="shared" ca="1" si="0"/>
        <v>1.2916361800460814</v>
      </c>
      <c r="M11" s="91"/>
      <c r="N11" s="91"/>
      <c r="O11" s="21"/>
      <c r="P11" s="91"/>
      <c r="Q11" s="91"/>
      <c r="R11" s="91"/>
      <c r="S11" s="91"/>
      <c r="T11" s="91"/>
      <c r="U11" s="91"/>
      <c r="V11" s="91"/>
      <c r="W11" s="91"/>
      <c r="X11" s="91"/>
    </row>
    <row r="12" spans="1:24">
      <c r="B12" s="385" t="s">
        <v>470</v>
      </c>
      <c r="C12" s="322"/>
      <c r="D12" s="322"/>
      <c r="E12" s="323">
        <f ca="1">SUM(E8:E11)</f>
        <v>1.4833336094086176</v>
      </c>
      <c r="F12" s="323">
        <f ca="1">SUM(F8:F11)</f>
        <v>1.336353789971537</v>
      </c>
      <c r="G12" s="322"/>
      <c r="H12" s="322"/>
      <c r="I12" s="322" t="s">
        <v>65</v>
      </c>
      <c r="J12" s="322"/>
      <c r="K12" s="323">
        <f ca="1">SUM(K8:K11)</f>
        <v>1.3667817012826176</v>
      </c>
      <c r="L12" s="323">
        <f ca="1">SUM(L8:L11)</f>
        <v>1.3285151617191244</v>
      </c>
      <c r="M12" s="323"/>
      <c r="N12" s="322"/>
      <c r="O12" s="322"/>
      <c r="P12" s="322"/>
      <c r="Q12" s="322"/>
      <c r="R12" s="322"/>
      <c r="S12" s="322"/>
      <c r="T12" s="322"/>
      <c r="U12" s="322"/>
      <c r="V12" s="322"/>
      <c r="W12" s="322"/>
      <c r="X12" s="322"/>
    </row>
    <row r="13" spans="1:24">
      <c r="B13" s="35" t="s">
        <v>537</v>
      </c>
      <c r="C13" s="35" t="s">
        <v>512</v>
      </c>
      <c r="D13" s="252" t="s">
        <v>420</v>
      </c>
      <c r="E13" s="70">
        <f ca="1">MAX(0.005,IEAData!$M$88*CalibData!N$114)</f>
        <v>5.0000000000000001E-3</v>
      </c>
      <c r="F13" s="70">
        <f ca="1">AuxData!$M$88*CalibData!O$114</f>
        <v>1.2599188531025627E-2</v>
      </c>
      <c r="G13" s="65">
        <v>1</v>
      </c>
      <c r="H13" s="11">
        <v>1</v>
      </c>
      <c r="I13" s="66"/>
      <c r="J13" s="92"/>
      <c r="K13" s="92">
        <f ca="1">E13*$G13</f>
        <v>5.0000000000000001E-3</v>
      </c>
      <c r="L13" s="92">
        <f ca="1">F13*$G13</f>
        <v>1.2599188531025627E-2</v>
      </c>
      <c r="M13" s="92"/>
      <c r="N13" s="92"/>
      <c r="O13" s="318">
        <v>1</v>
      </c>
      <c r="P13" s="92">
        <f ca="1">$H13*1.004^(P$3-AuxYear)</f>
        <v>1.032451601977459</v>
      </c>
      <c r="Q13" s="92">
        <f ca="1">$H13*1.004^(Q$3-AuxYear)</f>
        <v>1.0745010162101949</v>
      </c>
      <c r="R13" s="92">
        <f ca="1">$H13*1.004^(R$3-AuxYear)</f>
        <v>1.1408079071595767</v>
      </c>
      <c r="S13" s="92"/>
      <c r="T13" s="92"/>
      <c r="U13" s="92"/>
      <c r="V13" s="92"/>
      <c r="W13" s="92"/>
      <c r="X13" s="92"/>
    </row>
    <row r="14" spans="1:24" ht="15" customHeight="1">
      <c r="B14" s="384" t="s">
        <v>470</v>
      </c>
      <c r="C14" s="150"/>
      <c r="D14" s="150"/>
      <c r="E14" s="151">
        <f ca="1">SUM(E13:E13)</f>
        <v>5.0000000000000001E-3</v>
      </c>
      <c r="F14" s="151">
        <f ca="1">SUM(F13:F13)</f>
        <v>1.2599188531025627E-2</v>
      </c>
      <c r="G14" s="150"/>
      <c r="H14" s="150"/>
      <c r="I14" s="150" t="s">
        <v>65</v>
      </c>
      <c r="J14" s="150"/>
      <c r="K14" s="151">
        <f ca="1">SUM(K13:K13)</f>
        <v>5.0000000000000001E-3</v>
      </c>
      <c r="L14" s="151">
        <f ca="1">SUM(L13:L13)</f>
        <v>1.2599188531025627E-2</v>
      </c>
      <c r="M14" s="151"/>
      <c r="N14" s="150"/>
      <c r="O14" s="150"/>
      <c r="P14" s="150"/>
      <c r="Q14" s="150"/>
      <c r="R14" s="150"/>
      <c r="S14" s="150"/>
      <c r="T14" s="150"/>
      <c r="U14" s="150"/>
      <c r="V14" s="150"/>
      <c r="W14" s="150"/>
      <c r="X14" s="150"/>
    </row>
    <row r="15" spans="1:24">
      <c r="B15" s="201" t="s">
        <v>150</v>
      </c>
      <c r="C15" s="29" t="s">
        <v>152</v>
      </c>
      <c r="D15" s="17" t="str">
        <f ca="1">IEAData!$H$51</f>
        <v>TRAGSL</v>
      </c>
      <c r="E15" s="32">
        <f ca="1">IEAData!$H87</f>
        <v>0</v>
      </c>
      <c r="F15" s="32">
        <f ca="1">AuxData!$H87</f>
        <v>0</v>
      </c>
      <c r="G15" s="11">
        <v>0.35</v>
      </c>
      <c r="H15" s="11">
        <f>G15*1.02</f>
        <v>0.35699999999999998</v>
      </c>
      <c r="I15" s="66">
        <f ca="1">IF($N$31=0,0,E15/$E$19)</f>
        <v>0</v>
      </c>
      <c r="J15" s="66">
        <f ca="1">IF($N$31=0,0,F15/F$19)</f>
        <v>0</v>
      </c>
      <c r="K15" s="92">
        <f t="shared" ref="K15:L18" ca="1" si="1">G15*E15</f>
        <v>0</v>
      </c>
      <c r="L15" s="92">
        <f t="shared" ca="1" si="1"/>
        <v>0</v>
      </c>
      <c r="M15" s="96"/>
      <c r="N15" s="96"/>
      <c r="O15" s="11"/>
      <c r="P15" s="96"/>
      <c r="Q15" s="96"/>
      <c r="R15" s="96"/>
      <c r="S15" s="96"/>
      <c r="T15" s="96"/>
      <c r="U15" s="92"/>
      <c r="V15" s="92"/>
      <c r="W15" s="92"/>
      <c r="X15" s="92"/>
    </row>
    <row r="16" spans="1:24">
      <c r="B16" s="17"/>
      <c r="C16" s="29"/>
      <c r="D16" s="17" t="s">
        <v>426</v>
      </c>
      <c r="E16" s="32">
        <f ca="1">IEAData!$K$87</f>
        <v>1.1007680211899999</v>
      </c>
      <c r="F16" s="32">
        <f ca="1">AuxData!$K$87</f>
        <v>0.72036701459999997</v>
      </c>
      <c r="G16" s="11">
        <v>0.4</v>
      </c>
      <c r="H16" s="11">
        <f>G16*1.02</f>
        <v>0.40800000000000003</v>
      </c>
      <c r="I16" s="66">
        <f ca="1">IF($N$31=0,0,E16/$E$19)</f>
        <v>0.56061857719494435</v>
      </c>
      <c r="J16" s="66">
        <f ca="1">IF($N$31=0,0,F16/F$19)</f>
        <v>0.48263360207172495</v>
      </c>
      <c r="K16" s="92">
        <f t="shared" ca="1" si="1"/>
        <v>0.44030720847600002</v>
      </c>
      <c r="L16" s="92">
        <f t="shared" ca="1" si="1"/>
        <v>0.29390974195680003</v>
      </c>
      <c r="M16" s="92"/>
      <c r="N16" s="92"/>
      <c r="O16" s="65"/>
      <c r="P16" s="67">
        <f ca="1">H16*1.003^(P$3-AuxYear)</f>
        <v>0.41789543521492001</v>
      </c>
      <c r="Q16" s="96"/>
      <c r="R16" s="67">
        <f ca="1">P16*1.003^(R$3-P$3)</f>
        <v>0.45039229548387405</v>
      </c>
      <c r="S16" s="96"/>
      <c r="T16" s="67">
        <f>R16*1.002^(T$3-R$3)</f>
        <v>0.49771075939820791</v>
      </c>
      <c r="U16" s="92"/>
      <c r="V16" s="92"/>
      <c r="W16" s="92"/>
      <c r="X16" s="92"/>
    </row>
    <row r="17" spans="2:24">
      <c r="B17" s="35"/>
      <c r="C17" s="35"/>
      <c r="D17" s="17" t="str">
        <f ca="1">IEAData!$L$51</f>
        <v>TRAHFO</v>
      </c>
      <c r="E17" s="32">
        <f ca="1">IEAData!$L87</f>
        <v>0</v>
      </c>
      <c r="F17" s="32">
        <f ca="1">AuxData!$L87</f>
        <v>0</v>
      </c>
      <c r="G17" s="11">
        <v>0.4</v>
      </c>
      <c r="H17" s="11">
        <f>G17*1.02</f>
        <v>0.40800000000000003</v>
      </c>
      <c r="I17" s="66">
        <f ca="1">IF($N$31=0,0,E17/$E$19)</f>
        <v>0</v>
      </c>
      <c r="J17" s="66">
        <f ca="1">IF($N$31=0,0,F17/F$19)</f>
        <v>0</v>
      </c>
      <c r="K17" s="92">
        <f t="shared" si="1"/>
        <v>0</v>
      </c>
      <c r="L17" s="92">
        <f t="shared" si="1"/>
        <v>0</v>
      </c>
      <c r="M17" s="92"/>
      <c r="N17" s="92"/>
      <c r="O17" s="65"/>
      <c r="P17" s="92"/>
      <c r="Q17" s="92"/>
      <c r="R17" s="92"/>
      <c r="S17" s="92"/>
      <c r="T17" s="92"/>
      <c r="U17" s="92"/>
      <c r="V17" s="92"/>
      <c r="W17" s="92"/>
      <c r="X17" s="92"/>
    </row>
    <row r="18" spans="2:24" ht="13.5" thickBot="1">
      <c r="B18" s="64"/>
      <c r="C18" s="64"/>
      <c r="D18" s="64" t="str">
        <f ca="1">COMM!$C$31</f>
        <v>TTRELC</v>
      </c>
      <c r="E18" s="33">
        <f ca="1">IEAData!$M$87</f>
        <v>0.8627202861324117</v>
      </c>
      <c r="F18" s="33">
        <f ca="1">AuxData!$M$87</f>
        <v>0.77220832932092554</v>
      </c>
      <c r="G18" s="21">
        <v>1</v>
      </c>
      <c r="H18" s="21">
        <v>1</v>
      </c>
      <c r="I18" s="95"/>
      <c r="J18" s="21"/>
      <c r="K18" s="91">
        <f t="shared" ca="1" si="1"/>
        <v>0.8627202861324117</v>
      </c>
      <c r="L18" s="91">
        <f t="shared" ca="1" si="1"/>
        <v>0.77220832932092554</v>
      </c>
      <c r="M18" s="91"/>
      <c r="N18" s="91"/>
      <c r="O18" s="21"/>
      <c r="P18" s="91"/>
      <c r="Q18" s="91"/>
      <c r="R18" s="91"/>
      <c r="S18" s="91"/>
      <c r="T18" s="91"/>
      <c r="U18" s="91"/>
      <c r="V18" s="91"/>
      <c r="W18" s="91"/>
      <c r="X18" s="91"/>
    </row>
    <row r="19" spans="2:24">
      <c r="B19" s="384" t="s">
        <v>470</v>
      </c>
      <c r="C19" s="150"/>
      <c r="D19" s="150"/>
      <c r="E19" s="151">
        <f ca="1">SUM(E15:E18)</f>
        <v>1.9634883073224116</v>
      </c>
      <c r="F19" s="151">
        <f ca="1">SUM(F15:F18)</f>
        <v>1.4925753439209255</v>
      </c>
      <c r="G19" s="150"/>
      <c r="H19" s="150"/>
      <c r="I19" s="150" t="s">
        <v>65</v>
      </c>
      <c r="J19" s="150"/>
      <c r="K19" s="151">
        <f ca="1">SUM(K15:K18)</f>
        <v>1.3030274946084117</v>
      </c>
      <c r="L19" s="151">
        <f ca="1">SUM(L15:L18)</f>
        <v>1.0661180712777256</v>
      </c>
      <c r="M19" s="151"/>
      <c r="N19" s="150"/>
      <c r="O19" s="150"/>
      <c r="P19" s="150"/>
      <c r="Q19" s="150"/>
      <c r="R19" s="150"/>
      <c r="S19" s="150"/>
      <c r="T19" s="150"/>
      <c r="U19" s="150"/>
      <c r="V19" s="150"/>
      <c r="W19" s="150"/>
      <c r="X19" s="150"/>
    </row>
    <row r="26" spans="2:24">
      <c r="C26" s="140"/>
      <c r="D26" s="188"/>
      <c r="E26" s="11"/>
      <c r="J26" s="11"/>
    </row>
    <row r="27" spans="2:24" ht="18">
      <c r="B27" s="200" t="s">
        <v>289</v>
      </c>
      <c r="C27" s="138"/>
      <c r="D27" s="302" t="str">
        <f>"~FI_T: "&amp;Region</f>
        <v>~FI_T: FIN</v>
      </c>
      <c r="F27" s="16"/>
      <c r="G27" s="16"/>
      <c r="H27" s="16"/>
      <c r="I27" s="16"/>
    </row>
    <row r="28" spans="2:24" ht="13.5" thickBot="1">
      <c r="B28" s="31" t="s">
        <v>292</v>
      </c>
      <c r="C28" s="31" t="s">
        <v>293</v>
      </c>
      <c r="D28" s="30" t="s">
        <v>61</v>
      </c>
      <c r="E28" s="102" t="s">
        <v>498</v>
      </c>
      <c r="F28" s="102" t="s">
        <v>344</v>
      </c>
      <c r="G28" s="102" t="str">
        <f ca="1">F28&amp;"~"&amp;AuxYear</f>
        <v>DEMAND~2017</v>
      </c>
      <c r="H28" s="271" t="s">
        <v>464</v>
      </c>
      <c r="I28" s="102" t="str">
        <f ca="1">H28&amp;"~"&amp;AuxYear</f>
        <v>COM_IE~2017</v>
      </c>
      <c r="J28" s="30"/>
      <c r="K28" s="30"/>
      <c r="N28" s="223">
        <v>2010</v>
      </c>
      <c r="O28" s="223">
        <v>2017</v>
      </c>
      <c r="P28" s="223">
        <v>2010</v>
      </c>
      <c r="Q28" s="223">
        <v>2017</v>
      </c>
    </row>
    <row r="29" spans="2:24" ht="12.95" customHeight="1">
      <c r="B29" s="34" t="s">
        <v>155</v>
      </c>
      <c r="C29" s="73" t="s">
        <v>157</v>
      </c>
      <c r="D29" s="73" t="s">
        <v>64</v>
      </c>
      <c r="E29" s="310">
        <v>2</v>
      </c>
      <c r="F29" s="327"/>
      <c r="G29" s="327"/>
      <c r="H29" s="325">
        <v>2.6756366688288153</v>
      </c>
      <c r="I29" s="325">
        <v>2.6914378184777412</v>
      </c>
      <c r="J29" s="20"/>
      <c r="K29" s="20"/>
      <c r="N29" s="139">
        <f ca="1">K12</f>
        <v>1.3667817012826176</v>
      </c>
      <c r="O29" s="139">
        <f ca="1">L12</f>
        <v>1.3285151617191244</v>
      </c>
      <c r="P29" s="319">
        <f t="shared" ref="P29:Q31" ca="1" si="2">N29*H29</f>
        <v>3.6570112382360036</v>
      </c>
      <c r="Q29" s="319">
        <f t="shared" ca="1" si="2"/>
        <v>3.5756159486719237</v>
      </c>
    </row>
    <row r="30" spans="2:24" ht="12.95" customHeight="1">
      <c r="B30" s="34" t="s">
        <v>513</v>
      </c>
      <c r="C30" s="73" t="s">
        <v>514</v>
      </c>
      <c r="D30" s="73" t="s">
        <v>64</v>
      </c>
      <c r="E30" s="310">
        <v>2</v>
      </c>
      <c r="F30" s="327"/>
      <c r="G30" s="327"/>
      <c r="H30" s="325">
        <v>1.9541043565466183</v>
      </c>
      <c r="I30" s="325">
        <v>1.5548555201889394</v>
      </c>
      <c r="J30" s="20"/>
      <c r="K30" s="20"/>
      <c r="N30" s="139">
        <f ca="1">K14</f>
        <v>5.0000000000000001E-3</v>
      </c>
      <c r="O30" s="139">
        <f ca="1">L14</f>
        <v>1.2599188531025627E-2</v>
      </c>
      <c r="P30" s="319">
        <f t="shared" ca="1" si="2"/>
        <v>9.7705217827330909E-3</v>
      </c>
      <c r="Q30" s="319">
        <f t="shared" ca="1" si="2"/>
        <v>1.9589917837366369E-2</v>
      </c>
    </row>
    <row r="31" spans="2:24" ht="12.95" customHeight="1">
      <c r="B31" s="34" t="s">
        <v>151</v>
      </c>
      <c r="C31" s="73" t="s">
        <v>156</v>
      </c>
      <c r="D31" s="73" t="s">
        <v>64</v>
      </c>
      <c r="E31" s="310">
        <v>2</v>
      </c>
      <c r="F31" s="327"/>
      <c r="G31" s="327"/>
      <c r="H31" s="325">
        <v>7.0549999999999997</v>
      </c>
      <c r="I31" s="325">
        <f ca="1">1.06277*H31*N31/O31</f>
        <v>9.1639894262183201</v>
      </c>
      <c r="J31" s="20"/>
      <c r="K31" s="20"/>
      <c r="N31" s="139">
        <f ca="1">K19</f>
        <v>1.3030274946084117</v>
      </c>
      <c r="O31" s="139">
        <f ca="1">L19</f>
        <v>1.0661180712777256</v>
      </c>
      <c r="P31" s="319">
        <f t="shared" ca="1" si="2"/>
        <v>9.1928589744623448</v>
      </c>
      <c r="Q31" s="319">
        <f t="shared" ca="1" si="2"/>
        <v>9.7698947322893464</v>
      </c>
    </row>
    <row r="32" spans="2:24" ht="12.95" customHeight="1">
      <c r="B32" s="34" t="s">
        <v>530</v>
      </c>
      <c r="C32" s="73" t="s">
        <v>157</v>
      </c>
      <c r="D32" s="73" t="s">
        <v>64</v>
      </c>
      <c r="E32" s="310"/>
      <c r="F32" s="310">
        <v>1</v>
      </c>
      <c r="G32" s="310">
        <v>1</v>
      </c>
      <c r="H32" s="325">
        <f t="shared" ref="H32:I34" ca="1" si="3">IF(P29,1/P29,1)</f>
        <v>0.27344734124534986</v>
      </c>
      <c r="I32" s="325">
        <f t="shared" ca="1" si="3"/>
        <v>0.27967209408253868</v>
      </c>
      <c r="J32" s="20"/>
      <c r="K32" s="20"/>
    </row>
    <row r="33" spans="2:11" ht="12.95" customHeight="1">
      <c r="B33" s="34" t="s">
        <v>531</v>
      </c>
      <c r="C33" s="73" t="s">
        <v>514</v>
      </c>
      <c r="D33" s="73" t="s">
        <v>64</v>
      </c>
      <c r="E33" s="310"/>
      <c r="F33" s="310">
        <v>1</v>
      </c>
      <c r="G33" s="310">
        <v>1</v>
      </c>
      <c r="H33" s="325">
        <f t="shared" ca="1" si="3"/>
        <v>102.34867924528302</v>
      </c>
      <c r="I33" s="325">
        <f t="shared" ca="1" si="3"/>
        <v>51.046666366949808</v>
      </c>
      <c r="J33" s="20"/>
      <c r="K33" s="20"/>
    </row>
    <row r="34" spans="2:11" ht="12.95" customHeight="1">
      <c r="B34" s="34" t="s">
        <v>532</v>
      </c>
      <c r="C34" s="73" t="s">
        <v>156</v>
      </c>
      <c r="D34" s="73" t="s">
        <v>64</v>
      </c>
      <c r="E34" s="310"/>
      <c r="F34" s="310">
        <v>1</v>
      </c>
      <c r="G34" s="310">
        <v>1</v>
      </c>
      <c r="H34" s="325">
        <f t="shared" ca="1" si="3"/>
        <v>0.10878008710652348</v>
      </c>
      <c r="I34" s="325">
        <f t="shared" ca="1" si="3"/>
        <v>0.10235524817836736</v>
      </c>
      <c r="J34" s="20"/>
      <c r="K34" s="20"/>
    </row>
  </sheetData>
  <phoneticPr fontId="35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17"/>
  <sheetViews>
    <sheetView zoomScale="80" workbookViewId="0">
      <selection activeCell="A17" sqref="A17"/>
    </sheetView>
  </sheetViews>
  <sheetFormatPr defaultRowHeight="12.75"/>
  <cols>
    <col min="3" max="3" width="36" customWidth="1"/>
  </cols>
  <sheetData>
    <row r="1" spans="1:22" ht="18">
      <c r="A1" s="14" t="s">
        <v>128</v>
      </c>
      <c r="B1" s="14"/>
      <c r="C1" s="14"/>
      <c r="Q1">
        <f ca="1">CEILING(AuxYear+7,5)</f>
        <v>2025</v>
      </c>
      <c r="R1">
        <f ca="1">CEILING(AuxYear+17,5)</f>
        <v>2035</v>
      </c>
      <c r="S1">
        <f ca="1">CEILING(AuxYear+32,5)</f>
        <v>2050</v>
      </c>
      <c r="T1">
        <f ca="1">CEILING(AuxYear+47,5)</f>
        <v>2065</v>
      </c>
      <c r="U1">
        <f ca="1">CEILING(AuxYear+62,5)</f>
        <v>2080</v>
      </c>
      <c r="V1">
        <f ca="1">CEILING(AuxYear+82,5)</f>
        <v>2100</v>
      </c>
    </row>
    <row r="2" spans="1:22" ht="18">
      <c r="A2" s="14" t="s">
        <v>147</v>
      </c>
      <c r="D2" s="193"/>
      <c r="G2" s="16"/>
    </row>
    <row r="3" spans="1:22" ht="18">
      <c r="A3" s="14"/>
      <c r="B3" s="18"/>
      <c r="C3" s="19"/>
      <c r="D3" s="193"/>
    </row>
    <row r="4" spans="1:22" ht="18">
      <c r="A4" s="14"/>
      <c r="B4" s="100" t="s">
        <v>288</v>
      </c>
      <c r="C4" s="128"/>
      <c r="D4" s="302" t="str">
        <f>"~FI_T: "&amp;Region</f>
        <v>~FI_T: FIN</v>
      </c>
      <c r="E4" s="60"/>
    </row>
    <row r="5" spans="1:22" ht="39" thickBot="1">
      <c r="A5" s="15"/>
      <c r="B5" s="48" t="s">
        <v>297</v>
      </c>
      <c r="C5" s="48" t="s">
        <v>298</v>
      </c>
      <c r="D5" s="48" t="s">
        <v>296</v>
      </c>
      <c r="E5" s="56" t="str">
        <f ca="1">CONCATENATE("\I:",IEAData!$D$2," final energy")</f>
        <v>\I:2010 final energy</v>
      </c>
      <c r="F5" s="56" t="str">
        <f ca="1">CONCATENATE("\I:",AuxYear," final energy")</f>
        <v>\I:2017 final energy</v>
      </c>
      <c r="G5" s="48" t="s">
        <v>304</v>
      </c>
      <c r="H5" s="56" t="s">
        <v>308</v>
      </c>
      <c r="I5" s="56" t="str">
        <f ca="1">"EFF~"&amp;AuxYear</f>
        <v>EFF~2017</v>
      </c>
      <c r="J5" s="48" t="s">
        <v>55</v>
      </c>
      <c r="K5" s="56" t="str">
        <f ca="1">CONCATENATE("\I:",IEAData!$D$2," Service Demand")</f>
        <v>\I:2010 Service Demand</v>
      </c>
      <c r="L5" s="56" t="str">
        <f ca="1">CONCATENATE("\I:",AuxYear," Service Demand")</f>
        <v>\I:2017 Service Demand</v>
      </c>
      <c r="M5" s="48" t="s">
        <v>312</v>
      </c>
      <c r="N5" s="48" t="s">
        <v>465</v>
      </c>
      <c r="O5" s="48" t="s">
        <v>314</v>
      </c>
      <c r="P5" s="48" t="s">
        <v>305</v>
      </c>
      <c r="Q5" s="48" t="str">
        <f t="shared" ref="Q5:V5" si="0">"EFF~"&amp;Q$1</f>
        <v>EFF~2025</v>
      </c>
      <c r="R5" s="48" t="str">
        <f t="shared" si="0"/>
        <v>EFF~2035</v>
      </c>
      <c r="S5" s="48" t="str">
        <f t="shared" si="0"/>
        <v>EFF~2050</v>
      </c>
      <c r="T5" s="48" t="str">
        <f t="shared" si="0"/>
        <v>EFF~2065</v>
      </c>
      <c r="U5" s="48" t="str">
        <f t="shared" si="0"/>
        <v>EFF~2080</v>
      </c>
      <c r="V5" s="48" t="str">
        <f t="shared" si="0"/>
        <v>EFF~2100</v>
      </c>
    </row>
    <row r="6" spans="1:22" ht="19.5" customHeight="1">
      <c r="B6" s="201" t="s">
        <v>525</v>
      </c>
      <c r="C6" s="29" t="s">
        <v>129</v>
      </c>
      <c r="D6" s="17" t="s">
        <v>440</v>
      </c>
      <c r="E6" s="32">
        <f ca="1">IEAData!$J75</f>
        <v>2.2445979083999994</v>
      </c>
      <c r="F6" s="32">
        <f ca="1">AuxData!$J75</f>
        <v>2.8294000799999992</v>
      </c>
      <c r="H6" s="11">
        <v>1</v>
      </c>
      <c r="I6" s="12">
        <f ca="1">H6*1.007^(AuxYear-BaseYear)</f>
        <v>1.0500410893887704</v>
      </c>
      <c r="J6" s="11">
        <v>1</v>
      </c>
      <c r="K6" s="145">
        <f ca="1">E6*H6</f>
        <v>2.2445979083999994</v>
      </c>
      <c r="L6" s="145">
        <f ca="1">F6*I6</f>
        <v>2.9709863423198732</v>
      </c>
      <c r="M6" s="145"/>
      <c r="N6" s="146"/>
      <c r="O6" s="135"/>
      <c r="P6" s="11">
        <v>1</v>
      </c>
      <c r="Q6" s="20">
        <f ca="1">I6*1.008^(Q$1-AuxYear)</f>
        <v>1.1191558025222916</v>
      </c>
      <c r="R6" s="20">
        <f>Q6*1.008^(R$1-Q$1)</f>
        <v>1.2119811683242634</v>
      </c>
      <c r="S6" s="20">
        <f>R6*1.008^(S$1-R$1)</f>
        <v>1.3658526622108624</v>
      </c>
      <c r="T6" s="20">
        <f>S6*1.01^(T$1-S$1)</f>
        <v>1.5857125384362762</v>
      </c>
      <c r="U6" s="20">
        <f>T6*1.01^(U$1-T$1)</f>
        <v>1.8409630292654722</v>
      </c>
      <c r="V6" s="20">
        <f>U6*1.01^(V$1-U$1)</f>
        <v>2.2463247522221668</v>
      </c>
    </row>
    <row r="7" spans="1:22" ht="13.5" thickBot="1">
      <c r="B7" s="384" t="s">
        <v>470</v>
      </c>
      <c r="C7" s="150"/>
      <c r="D7" s="150"/>
      <c r="E7" s="151"/>
      <c r="F7" s="150"/>
      <c r="G7" s="150" t="s">
        <v>65</v>
      </c>
      <c r="H7" s="150" t="s">
        <v>65</v>
      </c>
      <c r="I7" s="150" t="s">
        <v>65</v>
      </c>
      <c r="J7" s="150"/>
      <c r="K7" s="151">
        <f ca="1">SUM(K6)</f>
        <v>2.2445979083999994</v>
      </c>
      <c r="L7" s="151">
        <f ca="1">SUM(L6)</f>
        <v>2.9709863423198732</v>
      </c>
      <c r="M7" s="150"/>
      <c r="N7" s="150"/>
      <c r="O7" s="151"/>
      <c r="P7" s="150"/>
      <c r="Q7" s="150"/>
      <c r="R7" s="150"/>
      <c r="S7" s="150"/>
      <c r="T7" s="150"/>
      <c r="U7" s="150"/>
      <c r="V7" s="150"/>
    </row>
    <row r="8" spans="1:22" ht="14.25" customHeight="1">
      <c r="B8" s="201" t="s">
        <v>526</v>
      </c>
      <c r="C8" s="29" t="s">
        <v>148</v>
      </c>
      <c r="D8" s="17" t="str">
        <f ca="1">IEAData!J51</f>
        <v>TRAJTK</v>
      </c>
      <c r="E8" s="32">
        <f ca="1">IEAData!$J76</f>
        <v>3.4829989200000004</v>
      </c>
      <c r="F8" s="32">
        <f ca="1">AuxData!$J76</f>
        <v>2.8379997599999998</v>
      </c>
      <c r="G8" s="12">
        <f ca="1">IF($E$10=0,1,E8/$E$10)</f>
        <v>0.98506593156757993</v>
      </c>
      <c r="H8" s="11">
        <v>1</v>
      </c>
      <c r="I8" s="12">
        <f ca="1">H8*1.007^(AuxYear-BaseYear)</f>
        <v>1.0500410893887704</v>
      </c>
      <c r="J8" s="11">
        <v>1</v>
      </c>
      <c r="K8" s="145">
        <f ca="1">E8*H8</f>
        <v>3.4829989200000004</v>
      </c>
      <c r="L8" s="145">
        <f ca="1">F8*I8</f>
        <v>2.9800163596754685</v>
      </c>
      <c r="M8" s="146">
        <f>IF(F10,F8/F10,1)</f>
        <v>0.99078359614970157</v>
      </c>
      <c r="N8" s="135"/>
      <c r="O8" s="135">
        <f>M8</f>
        <v>0.99078359614970157</v>
      </c>
      <c r="P8" s="11">
        <v>1</v>
      </c>
      <c r="Q8" s="20">
        <f ca="1">I8*1.008^(Q$1-AuxYear)</f>
        <v>1.1191558025222916</v>
      </c>
      <c r="R8" s="20">
        <f>Q8*1.008^(R$1-Q$1)</f>
        <v>1.2119811683242634</v>
      </c>
      <c r="S8" s="20">
        <f>R8*1.008^(S$1-R$1)</f>
        <v>1.3658526622108624</v>
      </c>
      <c r="T8" s="20">
        <f>S8*1.01^(T$1-S$1)</f>
        <v>1.5857125384362762</v>
      </c>
      <c r="U8" s="20">
        <f>T8*1.01^(U$1-T$1)</f>
        <v>1.8409630292654722</v>
      </c>
      <c r="V8" s="20">
        <f>U8*1.01^(V$1-U$1)</f>
        <v>2.2463247522221668</v>
      </c>
    </row>
    <row r="9" spans="1:22" ht="13.5" thickBot="1">
      <c r="B9" s="28"/>
      <c r="C9" s="28"/>
      <c r="D9" s="28" t="str">
        <f ca="1">IEAData!I51</f>
        <v>TRAAVG</v>
      </c>
      <c r="E9" s="33">
        <f ca="1">IEAData!$I76</f>
        <v>5.2803921599999998E-2</v>
      </c>
      <c r="F9" s="33">
        <f ca="1">AuxData!$I76</f>
        <v>2.639946E-2</v>
      </c>
      <c r="G9" s="95"/>
      <c r="H9" s="21"/>
      <c r="I9" s="21"/>
      <c r="J9" s="21"/>
      <c r="K9" s="91">
        <f>E9*H8</f>
        <v>5.2803921599999998E-2</v>
      </c>
      <c r="L9" s="91">
        <f>F9*I8</f>
        <v>2.7720517737675268E-2</v>
      </c>
      <c r="M9" s="54"/>
      <c r="N9" s="53"/>
      <c r="O9" s="53"/>
      <c r="P9" s="21"/>
      <c r="Q9" s="53"/>
      <c r="R9" s="53"/>
      <c r="S9" s="53"/>
      <c r="T9" s="53"/>
      <c r="U9" s="53"/>
      <c r="V9" s="53"/>
    </row>
    <row r="10" spans="1:22">
      <c r="B10" s="384" t="s">
        <v>470</v>
      </c>
      <c r="C10" s="150"/>
      <c r="D10" s="150"/>
      <c r="E10" s="151">
        <f>SUM(E8:E9)</f>
        <v>3.5358028416000002</v>
      </c>
      <c r="F10" s="151">
        <f>SUM(F8:F9)</f>
        <v>2.8643992199999997</v>
      </c>
      <c r="G10" s="150" t="s">
        <v>65</v>
      </c>
      <c r="H10" s="150"/>
      <c r="I10" s="150"/>
      <c r="J10" s="150"/>
      <c r="K10" s="151">
        <f>SUM(K8:K9)</f>
        <v>3.5358028416000002</v>
      </c>
      <c r="L10" s="151">
        <f>SUM(L8:L9)</f>
        <v>3.0077368774131439</v>
      </c>
      <c r="M10" s="150"/>
      <c r="N10" s="151"/>
      <c r="O10" s="150"/>
      <c r="P10" s="150"/>
      <c r="Q10" s="150"/>
      <c r="R10" s="150"/>
      <c r="S10" s="150"/>
      <c r="T10" s="150"/>
      <c r="U10" s="150"/>
      <c r="V10" s="150"/>
    </row>
    <row r="13" spans="1:22">
      <c r="C13" s="140"/>
      <c r="D13" s="188"/>
      <c r="E13" s="11"/>
      <c r="J13" s="11"/>
    </row>
    <row r="14" spans="1:22" ht="18">
      <c r="B14" s="200" t="s">
        <v>289</v>
      </c>
      <c r="C14" s="138"/>
      <c r="D14" s="302" t="str">
        <f>"~FI_T: "&amp;Region</f>
        <v>~FI_T: FIN</v>
      </c>
      <c r="F14" s="16"/>
      <c r="G14" s="16"/>
      <c r="H14" s="16"/>
      <c r="I14" s="16"/>
    </row>
    <row r="15" spans="1:22" ht="13.5" thickBot="1">
      <c r="B15" s="31" t="s">
        <v>292</v>
      </c>
      <c r="C15" s="31" t="s">
        <v>293</v>
      </c>
      <c r="D15" s="30" t="s">
        <v>61</v>
      </c>
      <c r="E15" s="102" t="s">
        <v>344</v>
      </c>
      <c r="F15" s="102" t="str">
        <f ca="1">E15&amp;"~"&amp;AuxYear</f>
        <v>DEMAND~2017</v>
      </c>
      <c r="G15" s="271" t="s">
        <v>464</v>
      </c>
      <c r="H15" s="102" t="str">
        <f ca="1">G15&amp;"~"&amp;AuxYear</f>
        <v>COM_IE~2017</v>
      </c>
      <c r="I15" s="30"/>
      <c r="J15" s="30"/>
      <c r="M15" s="223">
        <v>2010</v>
      </c>
      <c r="N15" s="223">
        <v>2017</v>
      </c>
    </row>
    <row r="16" spans="1:22" ht="13.5" customHeight="1">
      <c r="B16" s="34" t="s">
        <v>524</v>
      </c>
      <c r="C16" s="73" t="s">
        <v>128</v>
      </c>
      <c r="D16" s="73" t="s">
        <v>64</v>
      </c>
      <c r="E16" s="325">
        <f>M16*G16</f>
        <v>0.99999999999999989</v>
      </c>
      <c r="F16" s="325">
        <f>N16*H16</f>
        <v>1</v>
      </c>
      <c r="G16" s="325">
        <f>IF(M16,1/M16,1)</f>
        <v>0.44551409241614359</v>
      </c>
      <c r="H16" s="325">
        <f>IF(N16,1/N16,1)</f>
        <v>0.33658855503831003</v>
      </c>
      <c r="I16" s="20"/>
      <c r="J16" s="20"/>
      <c r="M16" s="139">
        <f>K7</f>
        <v>2.2445979083999994</v>
      </c>
      <c r="N16" s="139">
        <f>L7</f>
        <v>2.9709863423198732</v>
      </c>
    </row>
    <row r="17" spans="2:14" ht="13.5" customHeight="1">
      <c r="B17" s="34" t="s">
        <v>523</v>
      </c>
      <c r="C17" s="73" t="s">
        <v>147</v>
      </c>
      <c r="D17" s="73" t="s">
        <v>64</v>
      </c>
      <c r="E17" s="325">
        <f>M17*G17</f>
        <v>0.99999999999999989</v>
      </c>
      <c r="F17" s="325">
        <f>N17*H17</f>
        <v>1</v>
      </c>
      <c r="G17" s="325">
        <f>IF(M17,1/M17,1)</f>
        <v>0.28282119925767296</v>
      </c>
      <c r="H17" s="325">
        <f>IF(N17,1/N17,1)</f>
        <v>0.33247589159463553</v>
      </c>
      <c r="I17" s="20"/>
      <c r="J17" s="20"/>
      <c r="M17" s="139">
        <f>K10</f>
        <v>3.5358028416000002</v>
      </c>
      <c r="N17" s="139">
        <f>L10</f>
        <v>3.0077368774131439</v>
      </c>
    </row>
  </sheetData>
  <phoneticPr fontId="35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2"/>
  <sheetViews>
    <sheetView zoomScale="80" workbookViewId="0">
      <selection activeCell="A17" sqref="A17"/>
    </sheetView>
  </sheetViews>
  <sheetFormatPr defaultRowHeight="12.75"/>
  <cols>
    <col min="2" max="2" width="11.7109375" customWidth="1"/>
    <col min="3" max="3" width="41.28515625" customWidth="1"/>
  </cols>
  <sheetData>
    <row r="1" spans="1:20" ht="18">
      <c r="A1" s="14" t="s">
        <v>170</v>
      </c>
      <c r="B1" s="14"/>
      <c r="C1" s="14"/>
    </row>
    <row r="2" spans="1:20" ht="18">
      <c r="A2" s="14" t="s">
        <v>186</v>
      </c>
      <c r="D2" s="193"/>
      <c r="G2" s="16"/>
    </row>
    <row r="3" spans="1:20" ht="18">
      <c r="A3" s="14" t="s">
        <v>46</v>
      </c>
      <c r="D3" s="193"/>
      <c r="G3" s="16"/>
    </row>
    <row r="4" spans="1:20" ht="18">
      <c r="A4" s="14"/>
      <c r="B4" s="18"/>
      <c r="C4" s="19"/>
      <c r="D4" s="193"/>
    </row>
    <row r="5" spans="1:20" ht="18">
      <c r="A5" s="14"/>
      <c r="B5" s="100" t="s">
        <v>288</v>
      </c>
      <c r="C5" s="128"/>
      <c r="D5" s="302" t="str">
        <f>"~FI_T: "&amp;Region</f>
        <v>~FI_T: FIN</v>
      </c>
      <c r="E5" s="60"/>
    </row>
    <row r="6" spans="1:20" ht="39" thickBot="1">
      <c r="A6" s="15"/>
      <c r="B6" s="48" t="s">
        <v>297</v>
      </c>
      <c r="C6" s="48" t="s">
        <v>298</v>
      </c>
      <c r="D6" s="48" t="s">
        <v>296</v>
      </c>
      <c r="E6" s="56" t="str">
        <f ca="1">CONCATENATE("\I:",IEAData!$D$2," final energy")</f>
        <v>\I:2010 final energy</v>
      </c>
      <c r="F6" s="56" t="str">
        <f ca="1">CONCATENATE("\I:",AuxYear," final energy")</f>
        <v>\I:2017 final energy</v>
      </c>
      <c r="G6" s="48" t="s">
        <v>308</v>
      </c>
      <c r="H6" s="48" t="s">
        <v>304</v>
      </c>
      <c r="I6" s="48" t="str">
        <f ca="1">"Share~FX~"&amp;AuxYear</f>
        <v>Share~FX~2017</v>
      </c>
      <c r="J6" s="48" t="s">
        <v>55</v>
      </c>
      <c r="K6" s="48" t="s">
        <v>305</v>
      </c>
      <c r="L6" s="56" t="str">
        <f ca="1">CONCATENATE("\I:",IEAData!$D$2," Service Demand")</f>
        <v>\I:2010 Service Demand</v>
      </c>
      <c r="M6" s="56" t="str">
        <f ca="1">CONCATENATE("\I:",AuxYear," Service Demand")</f>
        <v>\I:2017 Service Demand</v>
      </c>
      <c r="N6" s="48" t="str">
        <f ca="1">"EFF~"&amp;CEILING(AuxYear+10,5)</f>
        <v>EFF~2030</v>
      </c>
      <c r="O6" s="48" t="s">
        <v>300</v>
      </c>
      <c r="P6" s="48" t="s">
        <v>301</v>
      </c>
      <c r="Q6" s="48" t="s">
        <v>302</v>
      </c>
      <c r="R6" s="48" t="s">
        <v>303</v>
      </c>
      <c r="S6" s="255" t="s">
        <v>59</v>
      </c>
      <c r="T6" s="253" t="s">
        <v>444</v>
      </c>
    </row>
    <row r="7" spans="1:20" ht="21.75" customHeight="1">
      <c r="B7" s="201" t="s">
        <v>527</v>
      </c>
      <c r="C7" s="29" t="s">
        <v>185</v>
      </c>
      <c r="D7" s="35" t="str">
        <f ca="1">RAIL!$D$16</f>
        <v>TRADSO</v>
      </c>
      <c r="E7" s="32">
        <f ca="1">IEAData!$K90</f>
        <v>3.2617901793600002</v>
      </c>
      <c r="F7" s="32">
        <f ca="1">AuxData!$K90</f>
        <v>3.4696828220000002</v>
      </c>
      <c r="G7" s="74">
        <v>1</v>
      </c>
      <c r="H7" s="216">
        <f>IF(M$20=0,0,E7/E$10)</f>
        <v>0.44091151137193335</v>
      </c>
      <c r="I7" s="216">
        <f>IF(N$20=0,0,F7/F$10)</f>
        <v>0.66474586863397656</v>
      </c>
      <c r="J7" s="74">
        <v>1</v>
      </c>
      <c r="K7" s="74">
        <v>1</v>
      </c>
      <c r="L7" s="146"/>
      <c r="M7" s="145"/>
      <c r="N7" s="20">
        <f ca="1">G7*1.008^(RIGHT(N$6,4)-AuxYear)</f>
        <v>1.109141403265876</v>
      </c>
      <c r="O7" s="20">
        <f>N7*1.008^(2050-RIGHT(N$6,4))</f>
        <v>1.3007611568857043</v>
      </c>
      <c r="P7" s="20">
        <f>$O$7*1.01^15</f>
        <v>1.5101433214954667</v>
      </c>
      <c r="Q7" s="20">
        <f>$P$7*1.01^15</f>
        <v>1.7532295144155716</v>
      </c>
      <c r="R7" s="20">
        <f>$Q$7*1.01^20</f>
        <v>2.1392731912326912</v>
      </c>
      <c r="S7" s="256"/>
      <c r="T7" s="145"/>
    </row>
    <row r="8" spans="1:20">
      <c r="B8" s="35"/>
      <c r="C8" s="35"/>
      <c r="D8" s="35" t="str">
        <f ca="1">IEAData!L51</f>
        <v>TRAHFO</v>
      </c>
      <c r="E8" s="70">
        <f ca="1">IEAData!$L90</f>
        <v>2.1727804719599999</v>
      </c>
      <c r="F8" s="70">
        <f ca="1">AuxData!$L90</f>
        <v>0.42679922399999998</v>
      </c>
      <c r="G8" s="141"/>
      <c r="H8" s="216">
        <f>IF(M$20=0,0,E8/E$10)</f>
        <v>0.29370495007109176</v>
      </c>
      <c r="I8" s="216">
        <f>IF(N$20=0,0,F8/F$10)</f>
        <v>8.1769151661721287E-2</v>
      </c>
      <c r="J8" s="141"/>
      <c r="K8" s="141"/>
      <c r="L8" s="67"/>
      <c r="M8" s="96"/>
      <c r="N8" s="96"/>
      <c r="O8" s="96"/>
      <c r="P8" s="96"/>
      <c r="Q8" s="96"/>
      <c r="R8" s="96"/>
      <c r="S8" s="256"/>
      <c r="T8" s="96"/>
    </row>
    <row r="9" spans="1:20" ht="13.5" thickBot="1">
      <c r="B9" s="28"/>
      <c r="C9" s="28"/>
      <c r="D9" s="28" t="str">
        <f ca="1">IEAData!H51</f>
        <v>TRAGSL</v>
      </c>
      <c r="E9" s="33">
        <f ca="1">IEAData!$H90</f>
        <v>1.96326337032</v>
      </c>
      <c r="F9" s="33">
        <f ca="1">AuxData!$H90</f>
        <v>1.3230807759999998</v>
      </c>
      <c r="G9" s="303"/>
      <c r="H9" s="303"/>
      <c r="I9" s="303"/>
      <c r="J9" s="303"/>
      <c r="K9" s="303"/>
      <c r="L9" s="54"/>
      <c r="M9" s="53"/>
      <c r="N9" s="53"/>
      <c r="O9" s="53"/>
      <c r="P9" s="53"/>
      <c r="Q9" s="53"/>
      <c r="R9" s="53"/>
      <c r="S9" s="256"/>
      <c r="T9" s="53"/>
    </row>
    <row r="10" spans="1:20">
      <c r="B10" s="384" t="s">
        <v>470</v>
      </c>
      <c r="C10" s="150" t="str">
        <f>LEFT(B7,3)</f>
        <v>TFS</v>
      </c>
      <c r="D10" s="150"/>
      <c r="E10" s="151">
        <f ca="1">SUM(E7:E9)</f>
        <v>7.3978340216399996</v>
      </c>
      <c r="F10" s="151">
        <f ca="1">SUM(F7:F9)</f>
        <v>5.2195628220000003</v>
      </c>
      <c r="G10" s="150"/>
      <c r="H10" s="150" t="s">
        <v>65</v>
      </c>
      <c r="I10" s="150" t="s">
        <v>65</v>
      </c>
      <c r="J10" s="150"/>
      <c r="K10" s="150"/>
      <c r="L10" s="151">
        <f>E10</f>
        <v>7.3978340216399996</v>
      </c>
      <c r="M10" s="151">
        <f ca="1">F10*(N7^((AuxYear-BaseYear)/(RIGHT(N$6,4)-BaseYear)))</f>
        <v>5.4122711989096191</v>
      </c>
      <c r="N10" s="150"/>
      <c r="O10" s="150"/>
      <c r="P10" s="150"/>
      <c r="Q10" s="150"/>
      <c r="R10" s="150"/>
      <c r="S10" s="150"/>
      <c r="T10" s="150"/>
    </row>
    <row r="11" spans="1:20" ht="20.25" customHeight="1">
      <c r="B11" s="201" t="s">
        <v>528</v>
      </c>
      <c r="C11" s="29" t="s">
        <v>496</v>
      </c>
      <c r="D11" s="35" t="str">
        <f ca="1">TRA_Fuels!$E$74</f>
        <v>TRAOIL</v>
      </c>
      <c r="E11" s="32">
        <f ca="1">SUM(IEAData!$F94:$L94)</f>
        <v>7.2216188420234975</v>
      </c>
      <c r="F11" s="32">
        <f ca="1">SUM(AuxData!$F94:$L94)</f>
        <v>13.56639521427514</v>
      </c>
      <c r="G11" s="74">
        <v>1</v>
      </c>
      <c r="H11" s="17"/>
      <c r="I11" s="17"/>
      <c r="J11" s="74">
        <v>1</v>
      </c>
      <c r="K11" s="74">
        <v>1</v>
      </c>
      <c r="L11" s="20"/>
      <c r="M11" s="20"/>
      <c r="N11" s="20">
        <f ca="1">G11*1.008^(RIGHT(N$6,4)-AuxYear)</f>
        <v>1.109141403265876</v>
      </c>
      <c r="O11" s="20">
        <f>N11*1.008^(2050-RIGHT(N$6,4))</f>
        <v>1.3007611568857043</v>
      </c>
      <c r="P11" s="20">
        <f>$O$11*1.01^15</f>
        <v>1.5101433214954667</v>
      </c>
      <c r="Q11" s="20">
        <f>$P$11*1.01^15</f>
        <v>1.7532295144155716</v>
      </c>
      <c r="R11" s="20">
        <f>$Q$11*1.01^20</f>
        <v>2.1392731912326912</v>
      </c>
      <c r="S11" s="256">
        <v>5</v>
      </c>
      <c r="T11" s="254"/>
    </row>
    <row r="12" spans="1:20">
      <c r="B12" s="384" t="s">
        <v>470</v>
      </c>
      <c r="C12" s="150" t="str">
        <f>LEFT(B11,3)</f>
        <v>TFS</v>
      </c>
      <c r="D12" s="150"/>
      <c r="E12" s="151">
        <f ca="1">SUM(E11:E11)</f>
        <v>7.2216188420234975</v>
      </c>
      <c r="F12" s="151">
        <f ca="1">SUM(F11:F11)</f>
        <v>13.56639521427514</v>
      </c>
      <c r="G12" s="150"/>
      <c r="H12" s="150"/>
      <c r="I12" s="150"/>
      <c r="J12" s="150"/>
      <c r="K12" s="150"/>
      <c r="L12" s="151">
        <f>E12</f>
        <v>7.2216188420234975</v>
      </c>
      <c r="M12" s="151">
        <f ca="1">F12*(N11^((AuxYear-BaseYear)/(RIGHT(N$6,4)-BaseYear)))</f>
        <v>14.067272029329093</v>
      </c>
      <c r="N12" s="150"/>
      <c r="O12" s="150"/>
      <c r="P12" s="150"/>
      <c r="Q12" s="150"/>
      <c r="R12" s="150"/>
      <c r="S12" s="150"/>
      <c r="T12" s="150"/>
    </row>
    <row r="13" spans="1:20" ht="20.25" customHeight="1">
      <c r="B13" s="201" t="s">
        <v>47</v>
      </c>
      <c r="C13" s="29" t="s">
        <v>46</v>
      </c>
      <c r="D13" s="35" t="str">
        <f ca="1">IEAData!$W$102</f>
        <v>OILLUB</v>
      </c>
      <c r="E13" s="32">
        <f ca="1">IEAData!$W101</f>
        <v>0</v>
      </c>
      <c r="F13" s="32">
        <f ca="1">AuxData!$W101</f>
        <v>0</v>
      </c>
      <c r="G13" s="74">
        <v>1</v>
      </c>
      <c r="H13" s="17"/>
      <c r="I13" s="17"/>
      <c r="J13" s="74">
        <v>1</v>
      </c>
      <c r="K13" s="74">
        <v>1</v>
      </c>
      <c r="L13" s="20"/>
      <c r="M13" s="20"/>
      <c r="N13" s="20"/>
      <c r="O13" s="20"/>
      <c r="P13" s="20"/>
      <c r="Q13" s="20"/>
      <c r="R13" s="20"/>
      <c r="S13" s="256"/>
      <c r="T13" s="254"/>
    </row>
    <row r="14" spans="1:20">
      <c r="B14" s="384" t="s">
        <v>470</v>
      </c>
      <c r="C14" s="150" t="s">
        <v>48</v>
      </c>
      <c r="D14" s="150"/>
      <c r="E14" s="151">
        <f>SUM(E13:E13)</f>
        <v>0</v>
      </c>
      <c r="F14" s="151">
        <f>SUM(F13:F13)</f>
        <v>0</v>
      </c>
      <c r="G14" s="150"/>
      <c r="H14" s="150"/>
      <c r="I14" s="150"/>
      <c r="J14" s="150"/>
      <c r="K14" s="150"/>
      <c r="L14" s="151">
        <f>E13*$G13</f>
        <v>0</v>
      </c>
      <c r="M14" s="151">
        <f>F13*$G13</f>
        <v>0</v>
      </c>
      <c r="N14" s="150"/>
      <c r="O14" s="150"/>
      <c r="P14" s="150"/>
      <c r="Q14" s="150"/>
      <c r="R14" s="150"/>
      <c r="S14" s="150"/>
      <c r="T14" s="150"/>
    </row>
    <row r="17" spans="2:14">
      <c r="C17" s="140"/>
      <c r="D17" s="188"/>
      <c r="E17" s="11"/>
      <c r="K17" s="11"/>
    </row>
    <row r="18" spans="2:14" ht="18">
      <c r="B18" s="200" t="s">
        <v>289</v>
      </c>
      <c r="C18" s="138"/>
      <c r="D18" s="302" t="str">
        <f>"~FI_T: "&amp;Region</f>
        <v>~FI_T: FIN</v>
      </c>
      <c r="F18" s="16"/>
      <c r="G18" s="16"/>
      <c r="H18" s="16"/>
      <c r="I18" s="16"/>
    </row>
    <row r="19" spans="2:14" ht="13.5" thickBot="1">
      <c r="B19" s="31" t="s">
        <v>292</v>
      </c>
      <c r="C19" s="31" t="s">
        <v>293</v>
      </c>
      <c r="D19" s="30" t="s">
        <v>61</v>
      </c>
      <c r="E19" s="102" t="s">
        <v>344</v>
      </c>
      <c r="F19" s="102" t="str">
        <f ca="1">E19&amp;"~"&amp;AuxYear</f>
        <v>DEMAND~2017</v>
      </c>
      <c r="G19" s="271" t="s">
        <v>464</v>
      </c>
      <c r="H19" s="102" t="str">
        <f ca="1">G19&amp;"~"&amp;AuxYear</f>
        <v>COM_IE~2017</v>
      </c>
      <c r="I19" s="30"/>
      <c r="J19" s="30"/>
      <c r="K19" s="30"/>
      <c r="M19" s="223">
        <v>2010</v>
      </c>
      <c r="N19" s="223">
        <v>2017</v>
      </c>
    </row>
    <row r="20" spans="2:14">
      <c r="B20" s="34" t="s">
        <v>521</v>
      </c>
      <c r="C20" s="73" t="s">
        <v>230</v>
      </c>
      <c r="D20" s="73" t="s">
        <v>64</v>
      </c>
      <c r="E20" s="325">
        <f t="shared" ref="E20:F22" si="0">M20*G20</f>
        <v>1</v>
      </c>
      <c r="F20" s="325">
        <f t="shared" si="0"/>
        <v>1</v>
      </c>
      <c r="G20" s="325">
        <f t="shared" ref="G20:H22" si="1">IF(M20,1/M20,1)</f>
        <v>0.13517470074008414</v>
      </c>
      <c r="H20" s="325">
        <f t="shared" si="1"/>
        <v>0.18476531630592802</v>
      </c>
      <c r="I20" s="20"/>
      <c r="J20" s="20"/>
      <c r="K20" s="20"/>
      <c r="M20" s="139">
        <f>L10</f>
        <v>7.3978340216399996</v>
      </c>
      <c r="N20" s="139">
        <f>M10</f>
        <v>5.4122711989096191</v>
      </c>
    </row>
    <row r="21" spans="2:14">
      <c r="B21" s="34" t="s">
        <v>522</v>
      </c>
      <c r="C21" s="73" t="s">
        <v>158</v>
      </c>
      <c r="D21" s="73" t="s">
        <v>64</v>
      </c>
      <c r="E21" s="325">
        <f t="shared" si="0"/>
        <v>1</v>
      </c>
      <c r="F21" s="325">
        <f t="shared" si="0"/>
        <v>1</v>
      </c>
      <c r="G21" s="325">
        <f t="shared" si="1"/>
        <v>0.13847310719043709</v>
      </c>
      <c r="H21" s="325">
        <f t="shared" si="1"/>
        <v>7.1086988146321695E-2</v>
      </c>
      <c r="I21" s="20"/>
      <c r="J21" s="20"/>
      <c r="K21" s="20"/>
      <c r="M21" s="139">
        <f>L12</f>
        <v>7.2216188420234975</v>
      </c>
      <c r="N21" s="139">
        <f>M12</f>
        <v>14.067272029329093</v>
      </c>
    </row>
    <row r="22" spans="2:14">
      <c r="B22" s="34" t="s">
        <v>48</v>
      </c>
      <c r="C22" s="29" t="s">
        <v>46</v>
      </c>
      <c r="D22" s="73" t="s">
        <v>64</v>
      </c>
      <c r="E22" s="325">
        <f t="shared" si="0"/>
        <v>0</v>
      </c>
      <c r="F22" s="325">
        <f t="shared" si="0"/>
        <v>0</v>
      </c>
      <c r="G22" s="325">
        <f t="shared" si="1"/>
        <v>1</v>
      </c>
      <c r="H22" s="325">
        <f t="shared" si="1"/>
        <v>1</v>
      </c>
      <c r="I22" s="20"/>
      <c r="J22" s="20"/>
      <c r="K22" s="20"/>
      <c r="M22" s="139">
        <f>L14</f>
        <v>0</v>
      </c>
      <c r="N22" s="139">
        <f>M14</f>
        <v>0</v>
      </c>
    </row>
  </sheetData>
  <phoneticPr fontId="35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71"/>
  <sheetViews>
    <sheetView topLeftCell="A17" zoomScale="75" workbookViewId="0">
      <selection activeCell="A17" sqref="A17"/>
    </sheetView>
  </sheetViews>
  <sheetFormatPr defaultRowHeight="12.75"/>
  <cols>
    <col min="1" max="1" width="9.28515625" customWidth="1"/>
    <col min="2" max="2" width="14.7109375" customWidth="1"/>
    <col min="3" max="3" width="25.28515625" customWidth="1"/>
    <col min="4" max="4" width="11.7109375" customWidth="1"/>
    <col min="5" max="5" width="12.42578125" customWidth="1"/>
    <col min="6" max="14" width="9.7109375" customWidth="1"/>
  </cols>
  <sheetData>
    <row r="1" spans="1:22" ht="15">
      <c r="B1" s="211" t="s">
        <v>499</v>
      </c>
      <c r="C1" s="212"/>
      <c r="D1" s="213"/>
      <c r="E1" s="212"/>
      <c r="F1" s="212"/>
      <c r="G1" s="213"/>
      <c r="H1" s="212"/>
      <c r="I1" s="212"/>
      <c r="J1" s="213"/>
      <c r="K1" s="212"/>
      <c r="L1" s="212"/>
      <c r="M1" s="213"/>
      <c r="N1" s="212"/>
    </row>
    <row r="2" spans="1:22">
      <c r="B2" s="273"/>
      <c r="C2" s="224">
        <v>1</v>
      </c>
      <c r="D2" s="224">
        <v>2</v>
      </c>
      <c r="E2" s="224">
        <v>3</v>
      </c>
      <c r="F2" s="224">
        <v>4</v>
      </c>
      <c r="G2" s="224">
        <v>5</v>
      </c>
      <c r="H2" s="224">
        <v>6</v>
      </c>
    </row>
    <row r="3" spans="1:22">
      <c r="A3" s="98"/>
      <c r="B3" s="279" t="s">
        <v>412</v>
      </c>
      <c r="C3" s="224">
        <v>1</v>
      </c>
      <c r="D3" s="224">
        <f ca="1">$C3+OFFSET(ROAD!$M$58,C$2,0)-1</f>
        <v>9</v>
      </c>
      <c r="E3" s="224">
        <f ca="1">$C3+OFFSET(ROAD!$M$58,D$2,0)-1</f>
        <v>17</v>
      </c>
      <c r="F3" s="224">
        <f ca="1">$C3+OFFSET(ROAD!$M$58,E$2,0)-1</f>
        <v>25</v>
      </c>
      <c r="G3" s="224">
        <f ca="1">$C3+OFFSET(ROAD!$M$58,F$2,0)-1</f>
        <v>33</v>
      </c>
      <c r="H3" s="224">
        <f ca="1">$C3+OFFSET(ROAD!$M$58,G$2,0)-1</f>
        <v>40</v>
      </c>
      <c r="U3" s="22"/>
      <c r="V3" s="22"/>
    </row>
    <row r="4" spans="1:22">
      <c r="A4" s="98"/>
      <c r="B4" s="279" t="s">
        <v>476</v>
      </c>
      <c r="C4" s="224">
        <f ca="1">D3-C3-1</f>
        <v>7</v>
      </c>
      <c r="D4" s="224">
        <f ca="1">E3-D3-1</f>
        <v>7</v>
      </c>
      <c r="E4" s="224">
        <f ca="1">F3-E3-1</f>
        <v>7</v>
      </c>
      <c r="F4" s="224">
        <f ca="1">G3-F3-1</f>
        <v>7</v>
      </c>
      <c r="G4" s="224">
        <f ca="1">H3-G3-1</f>
        <v>6</v>
      </c>
      <c r="H4" s="224">
        <f ca="1">$C3+OFFSET(ROAD!$M$58,H$2,0)-1-H3-1</f>
        <v>3</v>
      </c>
      <c r="U4" s="22"/>
      <c r="V4" s="22"/>
    </row>
    <row r="5" spans="1:22">
      <c r="A5" s="98"/>
      <c r="U5" s="22"/>
      <c r="V5" s="22"/>
    </row>
    <row r="6" spans="1:22">
      <c r="A6" s="98"/>
      <c r="B6" s="13" t="s">
        <v>413</v>
      </c>
      <c r="C6" s="281" t="s">
        <v>179</v>
      </c>
      <c r="D6" s="281" t="s">
        <v>51</v>
      </c>
      <c r="E6" s="281" t="s">
        <v>50</v>
      </c>
      <c r="F6" s="281" t="s">
        <v>257</v>
      </c>
      <c r="G6" s="281" t="s">
        <v>52</v>
      </c>
      <c r="H6" s="281" t="s">
        <v>140</v>
      </c>
      <c r="U6" s="22"/>
      <c r="V6" s="22"/>
    </row>
    <row r="7" spans="1:22">
      <c r="A7" s="98"/>
      <c r="B7" s="201" t="s">
        <v>172</v>
      </c>
      <c r="C7" s="282">
        <f ca="1">SUMIF(OFFSET(ROAD!$D$6,C$3,0,C$4),$B7,OFFSET(ROAD!$L$6,C$3,0,C$4))</f>
        <v>21.653465450902718</v>
      </c>
      <c r="D7" s="282">
        <f ca="1">SUMIF(OFFSET(ROAD!$D$6,D$3,0,D$4),$B7,OFFSET(ROAD!$L$6,D$3,0,D$4))</f>
        <v>0</v>
      </c>
      <c r="E7" s="282">
        <f ca="1">SUMIF(OFFSET(ROAD!$D$6,E$3,0,E$4),$B7,OFFSET(ROAD!$L$6,E$3,0,E$4))</f>
        <v>0.35267417459596301</v>
      </c>
      <c r="F7" s="282">
        <f ca="1">SUMIF(OFFSET(ROAD!$D$6,F$3,0,F$4),$B7,OFFSET(ROAD!$L$6,F$3,0,F$4))</f>
        <v>1.9000373873104184E-2</v>
      </c>
      <c r="G7" s="282">
        <f ca="1">SUMIF(OFFSET(ROAD!$D$6,G$3,0,G$4),$B7,OFFSET(ROAD!$L$6,G$3,0,G$4))</f>
        <v>0</v>
      </c>
      <c r="H7" s="282">
        <f ca="1">SUMIF(OFFSET(ROAD!$D$6,H$3,0,H$4),$B7,OFFSET(ROAD!$L$6,H$3,0,H$4))</f>
        <v>1.1297417850848508</v>
      </c>
      <c r="U7" s="22"/>
      <c r="V7" s="22"/>
    </row>
    <row r="8" spans="1:22">
      <c r="A8" s="98"/>
      <c r="B8" s="201" t="s">
        <v>104</v>
      </c>
      <c r="C8" s="282">
        <f ca="1">SUMIF(OFFSET(ROAD!$D$6,C$3,0,C$4),$B8,OFFSET(ROAD!$L$6,C$3,0,C$4))</f>
        <v>14.250384620913755</v>
      </c>
      <c r="D8" s="282">
        <f ca="1">SUMIF(OFFSET(ROAD!$D$6,D$3,0,D$4),$B8,OFFSET(ROAD!$L$6,D$3,0,D$4))</f>
        <v>0.50286158827822114</v>
      </c>
      <c r="E8" s="282">
        <f ca="1">SUMIF(OFFSET(ROAD!$D$6,E$3,0,E$4),$B8,OFFSET(ROAD!$L$6,E$3,0,E$4))</f>
        <v>4.6347773935263552</v>
      </c>
      <c r="F8" s="282">
        <f ca="1">SUMIF(OFFSET(ROAD!$D$6,F$3,0,F$4),$B8,OFFSET(ROAD!$L$6,F$3,0,F$4))</f>
        <v>1.2744617114723298</v>
      </c>
      <c r="G8" s="282">
        <f ca="1">SUMIF(OFFSET(ROAD!$D$6,G$3,0,G$4),$B8,OFFSET(ROAD!$L$6,G$3,0,G$4))</f>
        <v>1.6693271469391937</v>
      </c>
      <c r="H8" s="282">
        <f ca="1">SUMIF(OFFSET(ROAD!$D$6,H$3,0,H$4),$B8,OFFSET(ROAD!$L$6,H$3,0,H$4))</f>
        <v>0</v>
      </c>
      <c r="U8" s="22"/>
      <c r="V8" s="22"/>
    </row>
    <row r="9" spans="1:22">
      <c r="A9" s="98"/>
      <c r="B9" s="201" t="s">
        <v>101</v>
      </c>
      <c r="C9" s="282">
        <f ca="1">SUMIF(OFFSET(ROAD!$D$6,C$3,0,C$4),$B9,OFFSET(ROAD!$L$6,C$3,0,C$4))</f>
        <v>0</v>
      </c>
      <c r="D9" s="282">
        <f ca="1">SUMIF(OFFSET(ROAD!$D$6,D$3,0,D$4),$B9,OFFSET(ROAD!$L$6,D$3,0,D$4))</f>
        <v>0</v>
      </c>
      <c r="E9" s="282">
        <f ca="1">SUMIF(OFFSET(ROAD!$D$6,E$3,0,E$4),$B9,OFFSET(ROAD!$L$6,E$3,0,E$4))</f>
        <v>0</v>
      </c>
      <c r="F9" s="282">
        <f ca="1">SUMIF(OFFSET(ROAD!$D$6,F$3,0,F$4),$B9,OFFSET(ROAD!$L$6,F$3,0,F$4))</f>
        <v>0</v>
      </c>
      <c r="G9" s="282">
        <f ca="1">SUMIF(OFFSET(ROAD!$D$6,G$3,0,G$4),$B9,OFFSET(ROAD!$L$6,G$3,0,G$4))</f>
        <v>0</v>
      </c>
      <c r="H9" s="282">
        <f ca="1">SUMIF(OFFSET(ROAD!$D$6,H$3,0,H$4),$B9,OFFSET(ROAD!$L$6,H$3,0,H$4))</f>
        <v>0</v>
      </c>
      <c r="U9" s="22"/>
      <c r="V9" s="22"/>
    </row>
    <row r="10" spans="1:22">
      <c r="A10" s="98"/>
      <c r="B10" s="201" t="s">
        <v>100</v>
      </c>
      <c r="C10" s="282">
        <f ca="1">SUMIF(OFFSET(ROAD!$D$6,C$3,0,C$4),$B10,OFFSET(ROAD!$L$6,C$3,0,C$4))</f>
        <v>7.7567275497772439E-2</v>
      </c>
      <c r="D10" s="282">
        <f ca="1">SUMIF(OFFSET(ROAD!$D$6,D$3,0,D$4),$B10,OFFSET(ROAD!$L$6,D$3,0,D$4))</f>
        <v>7.613924044307047E-3</v>
      </c>
      <c r="E10" s="282">
        <f ca="1">SUMIF(OFFSET(ROAD!$D$6,E$3,0,E$4),$B10,OFFSET(ROAD!$L$6,E$3,0,E$4))</f>
        <v>1.0520894090102505E-2</v>
      </c>
      <c r="F10" s="282">
        <f ca="1">SUMIF(OFFSET(ROAD!$D$6,F$3,0,F$4),$B10,OFFSET(ROAD!$L$6,F$3,0,F$4))</f>
        <v>3.3965354060529554E-4</v>
      </c>
      <c r="G10" s="282">
        <f ca="1">SUMIF(OFFSET(ROAD!$D$6,G$3,0,G$4),$B10,OFFSET(ROAD!$L$6,G$3,0,G$4))</f>
        <v>0</v>
      </c>
      <c r="H10" s="282">
        <f ca="1">SUMIF(OFFSET(ROAD!$D$6,H$3,0,H$4),$B10,OFFSET(ROAD!$L$6,H$3,0,H$4))</f>
        <v>0</v>
      </c>
      <c r="U10" s="22"/>
      <c r="V10" s="22"/>
    </row>
    <row r="11" spans="1:22">
      <c r="A11" s="98"/>
      <c r="B11" s="201" t="s">
        <v>397</v>
      </c>
      <c r="C11" s="282">
        <f ca="1">SUMIF(OFFSET(ROAD!$D$6,C$3,0,C$4),$B11,OFFSET(ROAD!$L$6,C$3,0,C$4))</f>
        <v>6.9540211174355313E-2</v>
      </c>
      <c r="D11" s="282">
        <f ca="1">SUMIF(OFFSET(ROAD!$D$6,D$3,0,D$4),$B11,OFFSET(ROAD!$L$6,D$3,0,D$4))</f>
        <v>1.1758707866117807E-4</v>
      </c>
      <c r="E11" s="282">
        <f ca="1">SUMIF(OFFSET(ROAD!$D$6,E$3,0,E$4),$B11,OFFSET(ROAD!$L$6,E$3,0,E$4))</f>
        <v>6.1427837750589907E-3</v>
      </c>
      <c r="F11" s="282">
        <f ca="1">SUMIF(OFFSET(ROAD!$D$6,F$3,0,F$4),$B11,OFFSET(ROAD!$L$6,F$3,0,F$4))</f>
        <v>3.4975364645665785E-4</v>
      </c>
      <c r="G11" s="282">
        <f ca="1">SUMIF(OFFSET(ROAD!$D$6,G$3,0,G$4),$B11,OFFSET(ROAD!$L$6,G$3,0,G$4))</f>
        <v>0</v>
      </c>
      <c r="H11" s="282">
        <f ca="1">SUMIF(OFFSET(ROAD!$D$6,H$3,0,H$4),$B11,OFFSET(ROAD!$L$6,H$3,0,H$4))</f>
        <v>2.5720900740841845E-3</v>
      </c>
      <c r="U11" s="22"/>
      <c r="V11" s="22"/>
    </row>
    <row r="12" spans="1:22">
      <c r="A12" s="98"/>
      <c r="B12" s="201" t="s">
        <v>162</v>
      </c>
      <c r="C12" s="282">
        <f ca="1">SUMIF(OFFSET(ROAD!$D$6,C$3,0,C$4),$B12,OFFSET(ROAD!$L$6,C$3,0,C$4))</f>
        <v>0</v>
      </c>
      <c r="D12" s="282">
        <f ca="1">SUMIF(OFFSET(ROAD!$D$6,D$3,0,D$4),$B12,OFFSET(ROAD!$L$6,D$3,0,D$4))</f>
        <v>0</v>
      </c>
      <c r="E12" s="282">
        <f ca="1">SUMIF(OFFSET(ROAD!$D$6,E$3,0,E$4),$B12,OFFSET(ROAD!$L$6,E$3,0,E$4))</f>
        <v>0</v>
      </c>
      <c r="F12" s="282">
        <f ca="1">SUMIF(OFFSET(ROAD!$D$6,F$3,0,F$4),$B12,OFFSET(ROAD!$L$6,F$3,0,F$4))</f>
        <v>0</v>
      </c>
      <c r="G12" s="282">
        <f ca="1">SUMIF(OFFSET(ROAD!$D$6,G$3,0,G$4),$B12,OFFSET(ROAD!$L$6,G$3,0,G$4))</f>
        <v>0</v>
      </c>
      <c r="H12" s="282">
        <f ca="1">SUMIF(OFFSET(ROAD!$D$6,H$3,0,H$4),$B12,OFFSET(ROAD!$L$6,H$3,0,H$4))</f>
        <v>0</v>
      </c>
      <c r="U12" s="22"/>
      <c r="V12" s="22"/>
    </row>
    <row r="13" spans="1:22">
      <c r="A13" s="98"/>
      <c r="B13" s="201" t="s">
        <v>163</v>
      </c>
      <c r="C13" s="282">
        <f ca="1">SUMIF(OFFSET(ROAD!$D$6,C$3,0,C$4),$B13,OFFSET(ROAD!$L$6,C$3,0,C$4))</f>
        <v>0.33257917414397586</v>
      </c>
      <c r="D13" s="282">
        <f ca="1">SUMIF(OFFSET(ROAD!$D$6,D$3,0,D$4),$B13,OFFSET(ROAD!$L$6,D$3,0,D$4))</f>
        <v>0</v>
      </c>
      <c r="E13" s="282">
        <f ca="1">SUMIF(OFFSET(ROAD!$D$6,E$3,0,E$4),$B13,OFFSET(ROAD!$L$6,E$3,0,E$4))</f>
        <v>1.0595318899407307E-2</v>
      </c>
      <c r="F13" s="282">
        <f ca="1">SUMIF(OFFSET(ROAD!$D$6,F$3,0,F$4),$B13,OFFSET(ROAD!$L$6,F$3,0,F$4))</f>
        <v>0</v>
      </c>
      <c r="G13" s="282">
        <f ca="1">SUMIF(OFFSET(ROAD!$D$6,G$3,0,G$4),$B13,OFFSET(ROAD!$L$6,G$3,0,G$4))</f>
        <v>0</v>
      </c>
      <c r="H13" s="282">
        <f ca="1">SUMIF(OFFSET(ROAD!$D$6,H$3,0,H$4),$B13,OFFSET(ROAD!$L$6,H$3,0,H$4))</f>
        <v>0</v>
      </c>
      <c r="U13" s="22"/>
      <c r="V13" s="22"/>
    </row>
    <row r="14" spans="1:22">
      <c r="A14" s="98"/>
      <c r="C14" s="283">
        <f t="shared" ref="C14:H14" ca="1" si="0">SUM(C7:C13)</f>
        <v>36.383536732632571</v>
      </c>
      <c r="D14" s="283">
        <f t="shared" ca="1" si="0"/>
        <v>0.51059309940118935</v>
      </c>
      <c r="E14" s="283">
        <f t="shared" ca="1" si="0"/>
        <v>5.0147105648868875</v>
      </c>
      <c r="F14" s="283">
        <f t="shared" ca="1" si="0"/>
        <v>1.294151492532496</v>
      </c>
      <c r="G14" s="283">
        <f t="shared" ca="1" si="0"/>
        <v>1.6693271469391937</v>
      </c>
      <c r="H14" s="283">
        <f t="shared" ca="1" si="0"/>
        <v>1.132313875158935</v>
      </c>
      <c r="U14" s="22"/>
      <c r="V14" s="22"/>
    </row>
    <row r="15" spans="1:22">
      <c r="A15" s="98"/>
      <c r="U15" s="22"/>
      <c r="V15" s="22"/>
    </row>
    <row r="16" spans="1:22">
      <c r="A16" s="98"/>
      <c r="U16" s="22"/>
      <c r="V16" s="22"/>
    </row>
    <row r="17" spans="1:26">
      <c r="A17" s="98"/>
      <c r="U17" s="22"/>
      <c r="V17" s="22"/>
    </row>
    <row r="18" spans="1:26">
      <c r="A18" s="98"/>
      <c r="U18" s="22"/>
      <c r="V18" s="22"/>
    </row>
    <row r="19" spans="1:26" ht="18">
      <c r="B19" s="123" t="s">
        <v>404</v>
      </c>
      <c r="C19" s="100"/>
      <c r="D19" s="188" t="str">
        <f>"~FI_T: FLO_MARK~"&amp;Region</f>
        <v>~FI_T: FLO_MARK~FIN</v>
      </c>
    </row>
    <row r="20" spans="1:26">
      <c r="A20" s="140"/>
      <c r="B20" s="9" t="s">
        <v>297</v>
      </c>
      <c r="C20" s="9" t="s">
        <v>292</v>
      </c>
      <c r="D20" s="9" t="s">
        <v>405</v>
      </c>
      <c r="E20" s="386">
        <v>0</v>
      </c>
      <c r="F20" s="9">
        <f ca="1">AuxYear</f>
        <v>2017</v>
      </c>
      <c r="G20" s="9">
        <f ca="1">BaseYear-5</f>
        <v>2005</v>
      </c>
      <c r="H20" s="9">
        <f ca="1">CEILING(AuxYear+7,5)</f>
        <v>2025</v>
      </c>
      <c r="I20" s="9">
        <f ca="1">CEILING(AuxYear+12,5)</f>
        <v>2030</v>
      </c>
      <c r="J20" s="9">
        <f ca="1">CEILING(AuxYear+22,5)</f>
        <v>2040</v>
      </c>
      <c r="K20" s="9">
        <v>2050</v>
      </c>
      <c r="L20" s="9">
        <v>2070</v>
      </c>
      <c r="M20" s="9">
        <v>2100</v>
      </c>
      <c r="N20" s="315" t="s">
        <v>406</v>
      </c>
      <c r="O20" s="315" t="s">
        <v>407</v>
      </c>
      <c r="P20" s="315" t="s">
        <v>408</v>
      </c>
      <c r="Q20" s="315" t="s">
        <v>409</v>
      </c>
      <c r="R20" s="387" t="s">
        <v>410</v>
      </c>
      <c r="Z20" s="383"/>
    </row>
    <row r="21" spans="1:26">
      <c r="A21" s="140"/>
      <c r="B21" s="235" t="s">
        <v>414</v>
      </c>
      <c r="C21" s="235"/>
      <c r="D21" s="235"/>
      <c r="E21" s="236">
        <v>0</v>
      </c>
      <c r="F21" s="237">
        <f t="shared" ref="F21:M21" si="1">RIGHT(F20,4)*1</f>
        <v>2017</v>
      </c>
      <c r="G21" s="237">
        <f t="shared" si="1"/>
        <v>2005</v>
      </c>
      <c r="H21" s="237">
        <f t="shared" si="1"/>
        <v>2025</v>
      </c>
      <c r="I21" s="237">
        <f t="shared" si="1"/>
        <v>2030</v>
      </c>
      <c r="J21" s="237">
        <f t="shared" si="1"/>
        <v>2040</v>
      </c>
      <c r="K21" s="237">
        <f t="shared" si="1"/>
        <v>2050</v>
      </c>
      <c r="L21" s="237">
        <f t="shared" si="1"/>
        <v>2070</v>
      </c>
      <c r="M21" s="237">
        <f t="shared" si="1"/>
        <v>2100</v>
      </c>
      <c r="N21" s="238"/>
      <c r="O21" s="235"/>
      <c r="P21" s="235"/>
      <c r="Q21" s="235"/>
      <c r="R21" s="235"/>
    </row>
    <row r="22" spans="1:26">
      <c r="A22" s="140"/>
      <c r="B22" s="17" t="s">
        <v>180</v>
      </c>
      <c r="C22" s="17" t="s">
        <v>179</v>
      </c>
      <c r="D22" s="304" t="s">
        <v>411</v>
      </c>
      <c r="E22" s="305">
        <f ca="1">BaseYear</f>
        <v>2010</v>
      </c>
      <c r="F22" s="306">
        <f ca="1">MAX(0,N22-0.001)</f>
        <v>0.59414460097777189</v>
      </c>
      <c r="G22" s="35">
        <v>0</v>
      </c>
      <c r="H22" s="306">
        <f>-O22</f>
        <v>-3.5000000000000003E-2</v>
      </c>
      <c r="I22" s="306">
        <f>-($O22*2/3+$Q22*1/3)</f>
        <v>-4.6666666666666669E-2</v>
      </c>
      <c r="J22" s="306">
        <f>-($O22*1/3+$Q22*2/3)</f>
        <v>-5.8333333333333334E-2</v>
      </c>
      <c r="K22" s="306">
        <f>-Q22</f>
        <v>-7.0000000000000007E-2</v>
      </c>
      <c r="L22" s="306">
        <v>-1</v>
      </c>
      <c r="M22" s="306"/>
      <c r="N22" s="307">
        <f ca="1">IF(C7&gt;0,C7/C$14)</f>
        <v>0.59514460097777189</v>
      </c>
      <c r="O22" s="17">
        <v>3.5000000000000003E-2</v>
      </c>
      <c r="P22" s="304"/>
      <c r="Q22" s="304">
        <v>7.0000000000000007E-2</v>
      </c>
      <c r="R22" s="17" t="s">
        <v>415</v>
      </c>
      <c r="S22" s="22"/>
      <c r="V22" s="22"/>
    </row>
    <row r="23" spans="1:26">
      <c r="A23" s="140"/>
      <c r="B23" s="17" t="s">
        <v>173</v>
      </c>
      <c r="C23" s="17" t="s">
        <v>179</v>
      </c>
      <c r="D23" s="304" t="s">
        <v>411</v>
      </c>
      <c r="E23" s="305">
        <f ca="1">BaseYear</f>
        <v>2010</v>
      </c>
      <c r="F23" s="306">
        <f ca="1">MAX(0,N23-0.001)</f>
        <v>0.39067123101950985</v>
      </c>
      <c r="G23" s="17">
        <v>0</v>
      </c>
      <c r="H23" s="306">
        <f>-O23</f>
        <v>-2.5000000000000001E-2</v>
      </c>
      <c r="I23" s="306">
        <f>-($O23*2/3+$Q23*1/3)</f>
        <v>-3.3333333333333333E-2</v>
      </c>
      <c r="J23" s="306">
        <f>-($O23*1/3+$Q23*2/3)</f>
        <v>-4.1666666666666664E-2</v>
      </c>
      <c r="K23" s="306">
        <f>-Q23</f>
        <v>-0.05</v>
      </c>
      <c r="L23" s="306">
        <v>-1</v>
      </c>
      <c r="M23" s="306"/>
      <c r="N23" s="307">
        <f ca="1">IF(C8&gt;0,C8/C$14)</f>
        <v>0.39167123101950985</v>
      </c>
      <c r="O23" s="17">
        <v>2.5000000000000001E-2</v>
      </c>
      <c r="P23" s="304"/>
      <c r="Q23" s="304">
        <v>0.05</v>
      </c>
      <c r="R23" s="17" t="s">
        <v>416</v>
      </c>
      <c r="S23" s="22"/>
      <c r="V23" s="22"/>
    </row>
    <row r="24" spans="1:26">
      <c r="A24" s="140"/>
      <c r="B24" s="235" t="s">
        <v>417</v>
      </c>
      <c r="C24" s="235"/>
      <c r="D24" s="284"/>
      <c r="E24" s="236"/>
      <c r="F24" s="235"/>
      <c r="G24" s="235"/>
      <c r="H24" s="235"/>
      <c r="I24" s="235"/>
      <c r="J24" s="235"/>
      <c r="K24" s="235"/>
      <c r="L24" s="235"/>
      <c r="M24" s="235"/>
      <c r="N24" s="238"/>
      <c r="O24" s="235"/>
      <c r="P24" s="235"/>
      <c r="Q24" s="235"/>
      <c r="R24" s="235"/>
      <c r="S24" s="22"/>
      <c r="V24" s="22"/>
    </row>
    <row r="25" spans="1:26">
      <c r="A25" s="140"/>
      <c r="B25" s="17" t="s">
        <v>136</v>
      </c>
      <c r="C25" s="17" t="s">
        <v>50</v>
      </c>
      <c r="D25" s="304" t="s">
        <v>411</v>
      </c>
      <c r="E25" s="305">
        <f ca="1">BaseYear</f>
        <v>2010</v>
      </c>
      <c r="F25" s="306">
        <f ca="1">MAX(0,N25-0.001)</f>
        <v>6.9327922226537914E-2</v>
      </c>
      <c r="G25" s="35">
        <v>0</v>
      </c>
      <c r="H25" s="306">
        <f>-O25</f>
        <v>-1.4999999999999999E-2</v>
      </c>
      <c r="I25" s="306">
        <f>-($O25*2/3+$Q25*1/3)</f>
        <v>-0.03</v>
      </c>
      <c r="J25" s="306">
        <f>-($O25*1/3+$Q25*2/3)</f>
        <v>-4.4999999999999998E-2</v>
      </c>
      <c r="K25" s="306">
        <f>-Q25</f>
        <v>-0.06</v>
      </c>
      <c r="L25" s="306">
        <v>-1</v>
      </c>
      <c r="M25" s="306"/>
      <c r="N25" s="307">
        <f ca="1">IF(E7&gt;0,E7/E$14)</f>
        <v>7.0327922226537914E-2</v>
      </c>
      <c r="O25" s="17">
        <v>1.4999999999999999E-2</v>
      </c>
      <c r="P25" s="304"/>
      <c r="Q25" s="304">
        <v>0.06</v>
      </c>
      <c r="R25" s="17" t="s">
        <v>415</v>
      </c>
      <c r="S25" s="22"/>
      <c r="V25" s="22"/>
    </row>
    <row r="26" spans="1:26">
      <c r="A26" s="140"/>
      <c r="B26" s="17" t="s">
        <v>144</v>
      </c>
      <c r="C26" s="17" t="s">
        <v>50</v>
      </c>
      <c r="D26" s="304" t="s">
        <v>411</v>
      </c>
      <c r="E26" s="305">
        <f ca="1">BaseYear</f>
        <v>2010</v>
      </c>
      <c r="F26" s="306">
        <f ca="1">MAX(0,N26-0.001)</f>
        <v>0.92323627117767626</v>
      </c>
      <c r="G26" s="17">
        <v>0</v>
      </c>
      <c r="H26" s="306">
        <f>-O26</f>
        <v>-1.4999999999999999E-2</v>
      </c>
      <c r="I26" s="306">
        <f>-($O26*2/3+$Q26*1/3)</f>
        <v>-2.5000000000000001E-2</v>
      </c>
      <c r="J26" s="306">
        <f>-($O26*1/3+$Q26*2/3)</f>
        <v>-3.4999999999999996E-2</v>
      </c>
      <c r="K26" s="306">
        <f>-Q26</f>
        <v>-4.4999999999999998E-2</v>
      </c>
      <c r="L26" s="306">
        <v>-1</v>
      </c>
      <c r="M26" s="306"/>
      <c r="N26" s="307">
        <f ca="1">IF(E8&gt;0,E8/E$14)</f>
        <v>0.92423627117767626</v>
      </c>
      <c r="O26" s="17">
        <v>1.4999999999999999E-2</v>
      </c>
      <c r="P26" s="304"/>
      <c r="Q26" s="304">
        <v>4.4999999999999998E-2</v>
      </c>
      <c r="R26" s="17" t="s">
        <v>416</v>
      </c>
      <c r="S26" s="22"/>
      <c r="V26" s="22"/>
    </row>
    <row r="27" spans="1:26">
      <c r="A27" s="140"/>
      <c r="B27" s="235" t="s">
        <v>418</v>
      </c>
      <c r="C27" s="235"/>
      <c r="D27" s="284"/>
      <c r="E27" s="236"/>
      <c r="F27" s="235"/>
      <c r="G27" s="235"/>
      <c r="H27" s="235"/>
      <c r="I27" s="235"/>
      <c r="J27" s="235"/>
      <c r="K27" s="235"/>
      <c r="L27" s="235"/>
      <c r="M27" s="235"/>
      <c r="N27" s="238"/>
      <c r="O27" s="235"/>
      <c r="P27" s="235"/>
      <c r="Q27" s="235"/>
      <c r="R27" s="235"/>
      <c r="S27" s="22"/>
      <c r="V27" s="22"/>
    </row>
    <row r="28" spans="1:26">
      <c r="A28" s="140"/>
      <c r="B28" s="17" t="s">
        <v>120</v>
      </c>
      <c r="C28" s="17" t="s">
        <v>51</v>
      </c>
      <c r="D28" s="304" t="s">
        <v>411</v>
      </c>
      <c r="E28" s="305">
        <f ca="1">BaseYear</f>
        <v>2010</v>
      </c>
      <c r="F28" s="306">
        <f ca="1">MAX(0,N28-0.001)</f>
        <v>0.98385778375768196</v>
      </c>
      <c r="G28" s="35">
        <v>0</v>
      </c>
      <c r="H28" s="306">
        <f>-O28</f>
        <v>-1.4999999999999999E-2</v>
      </c>
      <c r="I28" s="306">
        <f>-($O28*2/3+$Q28*1/3)</f>
        <v>-2.6666666666666665E-2</v>
      </c>
      <c r="J28" s="306">
        <f>-($O28*1/3+$Q28*2/3)</f>
        <v>-3.833333333333333E-2</v>
      </c>
      <c r="K28" s="306">
        <f>-Q28</f>
        <v>-0.05</v>
      </c>
      <c r="L28" s="306">
        <v>-1</v>
      </c>
      <c r="M28" s="306"/>
      <c r="N28" s="307">
        <f ca="1">IF(D$8&gt;0,D$8/D$14)</f>
        <v>0.98485778375768196</v>
      </c>
      <c r="O28" s="17">
        <v>1.4999999999999999E-2</v>
      </c>
      <c r="P28" s="304"/>
      <c r="Q28" s="304">
        <v>0.05</v>
      </c>
      <c r="R28" s="17" t="s">
        <v>416</v>
      </c>
      <c r="S28" s="22"/>
      <c r="V28" s="22"/>
    </row>
    <row r="29" spans="1:26">
      <c r="A29" s="140"/>
      <c r="B29" s="17" t="s">
        <v>138</v>
      </c>
      <c r="C29" s="17" t="s">
        <v>52</v>
      </c>
      <c r="D29" s="304" t="s">
        <v>411</v>
      </c>
      <c r="E29" s="305">
        <f ca="1">BaseYear</f>
        <v>2010</v>
      </c>
      <c r="F29" s="306">
        <f ca="1">MAX(0,N29-0.001)</f>
        <v>0.999</v>
      </c>
      <c r="G29" s="17">
        <v>0</v>
      </c>
      <c r="H29" s="306">
        <f>-O29</f>
        <v>-1.4999999999999999E-2</v>
      </c>
      <c r="I29" s="306">
        <f>-($O29*2/3+$Q29*1/3)</f>
        <v>-2.6666666666666665E-2</v>
      </c>
      <c r="J29" s="306">
        <f>-($O29*1/3+$Q29*2/3)</f>
        <v>-3.833333333333333E-2</v>
      </c>
      <c r="K29" s="306">
        <f>-Q29</f>
        <v>-0.05</v>
      </c>
      <c r="L29" s="306">
        <v>-1</v>
      </c>
      <c r="M29" s="306"/>
      <c r="N29" s="307">
        <f ca="1">IF(G$8&gt;0,G$8/G$14)</f>
        <v>1</v>
      </c>
      <c r="O29" s="17">
        <v>1.4999999999999999E-2</v>
      </c>
      <c r="P29" s="304"/>
      <c r="Q29" s="304">
        <v>0.05</v>
      </c>
      <c r="R29" s="17" t="s">
        <v>416</v>
      </c>
      <c r="S29" s="22"/>
      <c r="V29" s="22"/>
    </row>
    <row r="30" spans="1:26">
      <c r="A30" s="140"/>
      <c r="B30" s="17" t="s">
        <v>261</v>
      </c>
      <c r="C30" s="17" t="s">
        <v>257</v>
      </c>
      <c r="D30" s="304" t="s">
        <v>411</v>
      </c>
      <c r="E30" s="305">
        <f ca="1">BaseYear</f>
        <v>2010</v>
      </c>
      <c r="F30" s="306">
        <f ca="1">MAX(0,N30-0.001)</f>
        <v>0.98378556708872178</v>
      </c>
      <c r="G30" s="17">
        <v>0</v>
      </c>
      <c r="H30" s="306">
        <f>-O30</f>
        <v>-1.4999999999999999E-2</v>
      </c>
      <c r="I30" s="306">
        <f>-($O30*2/3+$Q30*1/3)</f>
        <v>-2.6666666666666665E-2</v>
      </c>
      <c r="J30" s="306">
        <f>-($O30*1/3+$Q30*2/3)</f>
        <v>-3.833333333333333E-2</v>
      </c>
      <c r="K30" s="306">
        <f>-Q30</f>
        <v>-0.05</v>
      </c>
      <c r="L30" s="306">
        <v>-1</v>
      </c>
      <c r="M30" s="306"/>
      <c r="N30" s="307">
        <f ca="1">IF(F$8&gt;0,F$8/F$14)</f>
        <v>0.98478556708872178</v>
      </c>
      <c r="O30" s="17">
        <v>1.4999999999999999E-2</v>
      </c>
      <c r="P30" s="304"/>
      <c r="Q30" s="304">
        <v>0.05</v>
      </c>
      <c r="R30" s="17" t="s">
        <v>416</v>
      </c>
      <c r="S30" s="22"/>
      <c r="V30" s="22"/>
    </row>
    <row r="31" spans="1:26">
      <c r="A31" s="140"/>
      <c r="B31" s="235" t="s">
        <v>488</v>
      </c>
      <c r="C31" s="235"/>
      <c r="D31" s="284"/>
      <c r="E31" s="236"/>
      <c r="F31" s="235"/>
      <c r="G31" s="235"/>
      <c r="H31" s="235"/>
      <c r="I31" s="235"/>
      <c r="J31" s="235"/>
      <c r="K31" s="235"/>
      <c r="L31" s="235"/>
      <c r="M31" s="235"/>
      <c r="N31" s="238"/>
      <c r="O31" s="235"/>
      <c r="P31" s="235"/>
      <c r="Q31" s="235"/>
      <c r="R31" s="235"/>
      <c r="S31" s="22"/>
      <c r="V31" s="22"/>
    </row>
    <row r="32" spans="1:26">
      <c r="A32" s="140"/>
      <c r="B32" s="17" t="s">
        <v>184</v>
      </c>
      <c r="C32" s="17" t="s">
        <v>140</v>
      </c>
      <c r="D32" s="304" t="s">
        <v>411</v>
      </c>
      <c r="E32" s="305">
        <f ca="1">BaseYear</f>
        <v>2010</v>
      </c>
      <c r="F32" s="306">
        <f ca="1">MAX(0,N32-0.001)</f>
        <v>0.99672846546305616</v>
      </c>
      <c r="G32" s="17">
        <v>0</v>
      </c>
      <c r="H32" s="306">
        <f>-O32</f>
        <v>-5.0000000000000001E-3</v>
      </c>
      <c r="I32" s="306">
        <f>-($O32*2/3+$Q32*1/3)</f>
        <v>-0.02</v>
      </c>
      <c r="J32" s="306">
        <f>-($O32*1/3+$Q32*2/3)</f>
        <v>-3.4999999999999996E-2</v>
      </c>
      <c r="K32" s="306">
        <f>-Q32</f>
        <v>-0.05</v>
      </c>
      <c r="L32" s="306">
        <v>-1</v>
      </c>
      <c r="M32" s="306"/>
      <c r="N32" s="307">
        <f ca="1">IF(H$7&gt;0,H$7/H$14)</f>
        <v>0.99772846546305616</v>
      </c>
      <c r="O32" s="17">
        <v>5.0000000000000001E-3</v>
      </c>
      <c r="P32" s="304"/>
      <c r="Q32" s="304">
        <v>0.05</v>
      </c>
      <c r="R32" s="17" t="s">
        <v>489</v>
      </c>
      <c r="S32" s="22"/>
      <c r="V32" s="22"/>
    </row>
    <row r="33" spans="1:23">
      <c r="A33" s="140"/>
      <c r="B33" s="235" t="s">
        <v>435</v>
      </c>
      <c r="C33" s="235"/>
      <c r="D33" s="284"/>
      <c r="E33" s="236"/>
      <c r="F33" s="235"/>
      <c r="G33" s="235"/>
      <c r="H33" s="235"/>
      <c r="I33" s="235"/>
      <c r="J33" s="235"/>
      <c r="K33" s="235"/>
      <c r="L33" s="235"/>
      <c r="M33" s="235"/>
      <c r="N33" s="238"/>
      <c r="O33" s="235"/>
      <c r="P33" s="235"/>
      <c r="Q33" s="235"/>
      <c r="R33" s="235"/>
      <c r="S33" s="22"/>
      <c r="V33" s="22"/>
    </row>
    <row r="34" spans="1:23">
      <c r="A34" s="140"/>
      <c r="B34" s="17" t="s">
        <v>527</v>
      </c>
      <c r="C34" s="17" t="s">
        <v>521</v>
      </c>
      <c r="D34" s="304" t="s">
        <v>411</v>
      </c>
      <c r="E34" s="304">
        <v>1</v>
      </c>
      <c r="F34" s="17"/>
      <c r="G34" s="17"/>
      <c r="H34" s="17">
        <v>0.9</v>
      </c>
      <c r="I34" s="17">
        <v>0.85</v>
      </c>
      <c r="J34" s="17">
        <v>0.35</v>
      </c>
      <c r="K34" s="17">
        <v>0.05</v>
      </c>
      <c r="L34" s="17"/>
      <c r="M34" s="17"/>
      <c r="N34" s="308"/>
      <c r="O34" s="17"/>
      <c r="P34" s="17"/>
      <c r="Q34" s="17"/>
      <c r="R34" s="17"/>
      <c r="S34" s="22"/>
      <c r="V34" s="22"/>
    </row>
    <row r="35" spans="1:23">
      <c r="A35" s="140"/>
      <c r="B35" s="17" t="s">
        <v>528</v>
      </c>
      <c r="C35" s="17" t="s">
        <v>522</v>
      </c>
      <c r="D35" s="304" t="s">
        <v>411</v>
      </c>
      <c r="E35" s="304">
        <v>1</v>
      </c>
      <c r="F35" s="17"/>
      <c r="G35" s="17"/>
      <c r="H35" s="17">
        <v>0.9</v>
      </c>
      <c r="I35" s="17">
        <v>0.85</v>
      </c>
      <c r="J35" s="17">
        <v>0.35</v>
      </c>
      <c r="K35" s="17">
        <v>0.05</v>
      </c>
      <c r="L35" s="17"/>
      <c r="M35" s="17"/>
      <c r="N35" s="308"/>
      <c r="O35" s="17"/>
      <c r="P35" s="17"/>
      <c r="Q35" s="17"/>
      <c r="R35" s="17"/>
      <c r="S35" s="22"/>
      <c r="V35" s="22"/>
    </row>
    <row r="36" spans="1:23">
      <c r="A36" s="140"/>
      <c r="B36" s="17" t="s">
        <v>525</v>
      </c>
      <c r="C36" s="17" t="s">
        <v>524</v>
      </c>
      <c r="D36" s="304" t="s">
        <v>411</v>
      </c>
      <c r="E36" s="304">
        <v>1</v>
      </c>
      <c r="F36" s="17"/>
      <c r="G36" s="17"/>
      <c r="H36" s="17">
        <v>0.9</v>
      </c>
      <c r="I36" s="17">
        <v>0.8</v>
      </c>
      <c r="J36" s="17">
        <v>0.28000000000000003</v>
      </c>
      <c r="K36" s="17">
        <v>0.05</v>
      </c>
      <c r="L36" s="17"/>
      <c r="M36" s="17"/>
      <c r="N36" s="308"/>
      <c r="O36" s="17"/>
      <c r="P36" s="17"/>
      <c r="Q36" s="17"/>
      <c r="R36" s="17"/>
      <c r="S36" s="22"/>
      <c r="V36" s="22"/>
    </row>
    <row r="37" spans="1:23">
      <c r="A37" s="140"/>
      <c r="B37" s="17" t="s">
        <v>526</v>
      </c>
      <c r="C37" s="17" t="s">
        <v>523</v>
      </c>
      <c r="D37" s="304" t="s">
        <v>411</v>
      </c>
      <c r="E37" s="304">
        <v>1</v>
      </c>
      <c r="F37" s="17"/>
      <c r="G37" s="17"/>
      <c r="H37" s="17">
        <v>0.9</v>
      </c>
      <c r="I37" s="17">
        <v>0.8</v>
      </c>
      <c r="J37" s="17">
        <v>0.28000000000000003</v>
      </c>
      <c r="K37" s="17">
        <v>0.05</v>
      </c>
      <c r="L37" s="17"/>
      <c r="M37" s="17"/>
      <c r="N37" s="308"/>
      <c r="O37" s="17"/>
      <c r="P37" s="17"/>
      <c r="Q37" s="17"/>
      <c r="R37" s="17"/>
      <c r="S37" s="22"/>
      <c r="V37" s="22"/>
    </row>
    <row r="38" spans="1:23">
      <c r="A38" s="140"/>
      <c r="S38" s="22"/>
      <c r="V38" s="22"/>
    </row>
    <row r="39" spans="1:23">
      <c r="A39" s="140"/>
      <c r="U39" s="22"/>
      <c r="V39" s="22"/>
    </row>
    <row r="40" spans="1:23">
      <c r="A40" s="140"/>
      <c r="H40" t="s">
        <v>419</v>
      </c>
      <c r="U40" s="22"/>
      <c r="V40" s="22"/>
    </row>
    <row r="41" spans="1:23">
      <c r="A41" s="140"/>
      <c r="H41" s="10">
        <f ca="1">N22</f>
        <v>0.59514460097777189</v>
      </c>
      <c r="I41" s="12">
        <f ca="1">H41*(1+H22)^(H$20-F$20)</f>
        <v>0.44754942642504436</v>
      </c>
      <c r="J41" s="12">
        <f t="shared" ref="J41:L42" ca="1" si="2">I41*(1+I22)^(I$20-H$20)</f>
        <v>0.35242352999921706</v>
      </c>
      <c r="K41" s="12">
        <f t="shared" ca="1" si="2"/>
        <v>0.19321323466687665</v>
      </c>
      <c r="L41" s="12">
        <f t="shared" ca="1" si="2"/>
        <v>9.351178709164909E-2</v>
      </c>
      <c r="N41" t="s">
        <v>180</v>
      </c>
      <c r="U41" s="22"/>
      <c r="V41" s="22"/>
    </row>
    <row r="42" spans="1:23">
      <c r="A42" s="140"/>
      <c r="H42" s="10">
        <f ca="1">N23</f>
        <v>0.39167123101950985</v>
      </c>
      <c r="I42" s="12">
        <f ca="1">H42*(1+H23)^(H$20-G$20)</f>
        <v>0.23605542563170764</v>
      </c>
      <c r="J42" s="12">
        <f t="shared" ca="1" si="2"/>
        <v>0.199249712238287</v>
      </c>
      <c r="K42" s="12">
        <f t="shared" ca="1" si="2"/>
        <v>0.130185808906047</v>
      </c>
      <c r="L42" s="12">
        <f t="shared" ca="1" si="2"/>
        <v>7.7947052756679069E-2</v>
      </c>
      <c r="N42" t="s">
        <v>173</v>
      </c>
      <c r="U42" s="22"/>
      <c r="V42" s="22"/>
    </row>
    <row r="43" spans="1:23">
      <c r="A43" s="140"/>
      <c r="U43" s="22"/>
      <c r="V43" s="22"/>
    </row>
    <row r="44" spans="1:23">
      <c r="A44" s="140"/>
      <c r="U44" s="22"/>
      <c r="V44" s="22"/>
    </row>
    <row r="45" spans="1:23" ht="18">
      <c r="A45" s="140"/>
      <c r="B45" s="123" t="s">
        <v>534</v>
      </c>
      <c r="C45" s="100"/>
      <c r="F45" s="8" t="str">
        <f>"~FI_T: "&amp;Region</f>
        <v>~FI_T: FIN</v>
      </c>
      <c r="U45" s="22"/>
      <c r="V45" s="22"/>
    </row>
    <row r="46" spans="1:23" ht="13.5" thickBot="1">
      <c r="A46" s="140"/>
      <c r="B46" s="55" t="s">
        <v>297</v>
      </c>
      <c r="C46" s="55" t="s">
        <v>298</v>
      </c>
      <c r="D46" s="55" t="s">
        <v>296</v>
      </c>
      <c r="E46" s="55" t="s">
        <v>299</v>
      </c>
      <c r="F46" s="55" t="s">
        <v>389</v>
      </c>
      <c r="G46" s="55" t="s">
        <v>500</v>
      </c>
      <c r="J46" s="317" t="s">
        <v>511</v>
      </c>
      <c r="L46" s="31" t="s">
        <v>516</v>
      </c>
      <c r="M46" s="311">
        <v>2010</v>
      </c>
      <c r="N46" s="311">
        <v>2017</v>
      </c>
      <c r="P46" s="31" t="s">
        <v>516</v>
      </c>
      <c r="Q46" s="311">
        <v>2010</v>
      </c>
      <c r="R46" s="311">
        <v>2017</v>
      </c>
      <c r="U46" s="31"/>
      <c r="V46" s="311">
        <v>2010</v>
      </c>
      <c r="W46" s="311">
        <v>2017</v>
      </c>
    </row>
    <row r="47" spans="1:23">
      <c r="A47" s="140"/>
      <c r="B47" s="17" t="s">
        <v>501</v>
      </c>
      <c r="C47" s="17" t="s">
        <v>509</v>
      </c>
      <c r="D47" s="17" t="str">
        <f ca="1">ROAD!B59</f>
        <v>TRT</v>
      </c>
      <c r="E47" s="17" t="s">
        <v>533</v>
      </c>
      <c r="F47" s="17" t="str">
        <f t="shared" ref="F47:F55" si="3">D47</f>
        <v>TRT</v>
      </c>
      <c r="G47" s="304">
        <v>1</v>
      </c>
      <c r="J47" s="316" t="s">
        <v>507</v>
      </c>
      <c r="L47" s="17" t="str">
        <f>D47</f>
        <v>TRT</v>
      </c>
      <c r="M47" s="320">
        <f ca="1">ROAD!O59</f>
        <v>35.501607328818274</v>
      </c>
      <c r="N47" s="320">
        <f ca="1">ROAD!P59</f>
        <v>36.383536732632571</v>
      </c>
      <c r="P47" s="17" t="str">
        <f ca="1">E47</f>
        <v>TPRC</v>
      </c>
      <c r="Q47" s="295">
        <f ca="1">ROAD!Q59</f>
        <v>56.802571726109242</v>
      </c>
      <c r="R47" s="295">
        <f ca="1">ROAD!R59</f>
        <v>58.213658772212113</v>
      </c>
      <c r="U47" s="17" t="s">
        <v>523</v>
      </c>
      <c r="V47" s="295">
        <v>0.18649229879050955</v>
      </c>
      <c r="W47" s="295">
        <v>0.24397080925214354</v>
      </c>
    </row>
    <row r="48" spans="1:23">
      <c r="A48" s="140"/>
      <c r="B48" s="17"/>
      <c r="C48" s="17"/>
      <c r="D48" s="17" t="str">
        <f ca="1">ROAD!B60</f>
        <v>TRB</v>
      </c>
      <c r="E48" s="17" t="str">
        <f>"T"&amp;J48&amp;MID(D48,2,2)</f>
        <v>TPRB</v>
      </c>
      <c r="F48" s="17" t="str">
        <f t="shared" si="3"/>
        <v>TRB</v>
      </c>
      <c r="G48" s="304">
        <v>1</v>
      </c>
      <c r="J48" s="316" t="s">
        <v>507</v>
      </c>
      <c r="L48" s="17" t="str">
        <f>D48</f>
        <v>TRB</v>
      </c>
      <c r="M48" s="320">
        <f ca="1">ROAD!O60</f>
        <v>0.50377118446223013</v>
      </c>
      <c r="N48" s="320">
        <f ca="1">ROAD!P60</f>
        <v>0.51059309940118935</v>
      </c>
      <c r="P48" s="17" t="str">
        <f ca="1">E48</f>
        <v>TPRB</v>
      </c>
      <c r="Q48" s="295">
        <f ca="1">ROAD!Q60</f>
        <v>6.5490253980089914</v>
      </c>
      <c r="R48" s="295">
        <f ca="1">ROAD!R60</f>
        <v>6.6377102922154618</v>
      </c>
      <c r="U48" s="17" t="s">
        <v>521</v>
      </c>
      <c r="V48" s="295">
        <v>0.51136589289973822</v>
      </c>
      <c r="W48" s="295">
        <v>0.51078371692773805</v>
      </c>
    </row>
    <row r="49" spans="1:22">
      <c r="A49" s="140"/>
      <c r="B49" s="17"/>
      <c r="C49" s="17"/>
      <c r="D49" s="17" t="str">
        <f ca="1">ROAD!B64</f>
        <v>TRW</v>
      </c>
      <c r="E49" s="17" t="str">
        <f>"T"&amp;J49&amp;MID(D49,2,2)</f>
        <v>TPRW</v>
      </c>
      <c r="F49" s="17" t="str">
        <f t="shared" si="3"/>
        <v>TRW</v>
      </c>
      <c r="G49" s="304">
        <v>1</v>
      </c>
      <c r="J49" s="316" t="s">
        <v>507</v>
      </c>
      <c r="L49" s="17" t="str">
        <f>D49</f>
        <v>TRW</v>
      </c>
      <c r="M49" s="320">
        <f ca="1">ROAD!O64</f>
        <v>1.5894623728946162</v>
      </c>
      <c r="N49" s="320">
        <f ca="1">ROAD!P64</f>
        <v>1.1297417850848508</v>
      </c>
      <c r="P49" s="17" t="str">
        <f ca="1">E49</f>
        <v>TPRW</v>
      </c>
      <c r="Q49" s="295">
        <f ca="1">ROAD!Q64</f>
        <v>1.5894623728946162</v>
      </c>
      <c r="R49" s="295">
        <f ca="1">ROAD!R64</f>
        <v>1.1297417850848508</v>
      </c>
    </row>
    <row r="50" spans="1:22">
      <c r="A50" s="140"/>
      <c r="B50" s="17"/>
      <c r="C50" s="17"/>
      <c r="D50" s="17" t="s">
        <v>155</v>
      </c>
      <c r="E50" s="17" t="s">
        <v>530</v>
      </c>
      <c r="F50" s="17" t="str">
        <f t="shared" si="3"/>
        <v>TTP</v>
      </c>
      <c r="G50" s="304">
        <v>1</v>
      </c>
      <c r="J50" s="316" t="s">
        <v>507</v>
      </c>
      <c r="L50" s="17" t="str">
        <f>D50</f>
        <v>TTP</v>
      </c>
      <c r="M50" s="17"/>
      <c r="N50" s="17"/>
      <c r="P50" s="17" t="str">
        <f>E50</f>
        <v>TPTN</v>
      </c>
      <c r="Q50" s="295">
        <f ca="1">RAIL!P31</f>
        <v>9.1928589744623448</v>
      </c>
      <c r="R50" s="295">
        <f ca="1">RAIL!Q31</f>
        <v>9.7698947322893464</v>
      </c>
      <c r="U50" s="22"/>
      <c r="V50" s="22"/>
    </row>
    <row r="51" spans="1:22">
      <c r="A51" s="140"/>
      <c r="B51" s="17"/>
      <c r="C51" s="17"/>
      <c r="D51" s="17" t="s">
        <v>513</v>
      </c>
      <c r="E51" s="17" t="s">
        <v>531</v>
      </c>
      <c r="F51" s="17" t="str">
        <f t="shared" si="3"/>
        <v>TTM</v>
      </c>
      <c r="G51" s="304">
        <v>1</v>
      </c>
      <c r="J51" s="316" t="s">
        <v>507</v>
      </c>
      <c r="L51" s="17" t="str">
        <f>D51</f>
        <v>TTM</v>
      </c>
      <c r="M51" s="17"/>
      <c r="N51" s="17"/>
      <c r="P51" s="17" t="str">
        <f>E51</f>
        <v>TPTM</v>
      </c>
      <c r="Q51" s="295">
        <f ca="1">RAIL!P29</f>
        <v>3.6570112382360036</v>
      </c>
      <c r="R51" s="295">
        <f ca="1">RAIL!Q29</f>
        <v>3.5756159486719237</v>
      </c>
      <c r="U51" s="22"/>
      <c r="V51" s="22"/>
    </row>
    <row r="52" spans="1:22">
      <c r="A52" s="140"/>
      <c r="B52" s="17" t="s">
        <v>504</v>
      </c>
      <c r="C52" s="17" t="s">
        <v>510</v>
      </c>
      <c r="D52" s="17" t="str">
        <f ca="1">ROAD!B61</f>
        <v>TRL</v>
      </c>
      <c r="E52" s="17" t="str">
        <f>"T"&amp;J52&amp;MID(D52,2,2)</f>
        <v>TFRL</v>
      </c>
      <c r="F52" s="17" t="str">
        <f t="shared" si="3"/>
        <v>TRL</v>
      </c>
      <c r="G52" s="304">
        <v>1</v>
      </c>
      <c r="J52" s="316" t="s">
        <v>508</v>
      </c>
      <c r="L52" s="219" t="s">
        <v>516</v>
      </c>
      <c r="M52" s="219"/>
      <c r="N52" s="219"/>
      <c r="P52" s="219" t="s">
        <v>517</v>
      </c>
      <c r="Q52" s="219"/>
      <c r="R52" s="219"/>
      <c r="U52" s="22"/>
      <c r="V52" s="22"/>
    </row>
    <row r="53" spans="1:22">
      <c r="A53" s="140"/>
      <c r="B53" s="17"/>
      <c r="C53" s="17"/>
      <c r="D53" s="17" t="str">
        <f ca="1">ROAD!B62</f>
        <v>TRM</v>
      </c>
      <c r="E53" s="17" t="str">
        <f>"T"&amp;J53&amp;MID(D53,2,2)</f>
        <v>TFRM</v>
      </c>
      <c r="F53" s="17" t="str">
        <f t="shared" si="3"/>
        <v>TRM</v>
      </c>
      <c r="G53" s="304">
        <v>1</v>
      </c>
      <c r="J53" s="316" t="s">
        <v>508</v>
      </c>
      <c r="L53" s="17" t="str">
        <f>D52</f>
        <v>TRL</v>
      </c>
      <c r="M53" s="320">
        <f ca="1">ROAD!O61</f>
        <v>4.4958883844927184</v>
      </c>
      <c r="N53" s="320">
        <f ca="1">ROAD!P61</f>
        <v>5.0147105648868875</v>
      </c>
      <c r="P53" s="17" t="str">
        <f ca="1">E52</f>
        <v>TFRL</v>
      </c>
      <c r="Q53" s="295">
        <f ca="1">ROAD!Q61</f>
        <v>0.89917767689854378</v>
      </c>
      <c r="R53" s="295">
        <f ca="1">ROAD!R61</f>
        <v>1.0029421129773775</v>
      </c>
      <c r="U53" s="22"/>
      <c r="V53" s="22"/>
    </row>
    <row r="54" spans="1:22">
      <c r="A54" s="140"/>
      <c r="B54" s="17"/>
      <c r="C54" s="17"/>
      <c r="D54" s="17" t="str">
        <f ca="1">ROAD!B63</f>
        <v>TRH</v>
      </c>
      <c r="E54" s="17" t="str">
        <f>"T"&amp;J54&amp;MID(D54,2,2)</f>
        <v>TFRH</v>
      </c>
      <c r="F54" s="17" t="str">
        <f t="shared" si="3"/>
        <v>TRH</v>
      </c>
      <c r="G54" s="304">
        <v>1</v>
      </c>
      <c r="J54" s="316" t="s">
        <v>508</v>
      </c>
      <c r="L54" s="17" t="str">
        <f>D53</f>
        <v>TRM</v>
      </c>
      <c r="M54" s="320">
        <f ca="1">ROAD!O62</f>
        <v>1.398561994101728</v>
      </c>
      <c r="N54" s="320">
        <f ca="1">ROAD!P62</f>
        <v>1.294151492532496</v>
      </c>
      <c r="P54" s="17" t="str">
        <f ca="1">E53</f>
        <v>TFRM</v>
      </c>
      <c r="Q54" s="295">
        <f ca="1">ROAD!Q62</f>
        <v>3.3565487858441472</v>
      </c>
      <c r="R54" s="295">
        <f ca="1">ROAD!R62</f>
        <v>3.1059635820779903</v>
      </c>
      <c r="U54" s="22"/>
      <c r="V54" s="22"/>
    </row>
    <row r="55" spans="1:22">
      <c r="A55" s="140"/>
      <c r="B55" s="17"/>
      <c r="C55" s="17"/>
      <c r="D55" s="17" t="s">
        <v>151</v>
      </c>
      <c r="E55" s="17" t="s">
        <v>532</v>
      </c>
      <c r="F55" s="17" t="str">
        <f t="shared" si="3"/>
        <v>TTF</v>
      </c>
      <c r="G55" s="304">
        <v>1</v>
      </c>
      <c r="J55" s="316" t="s">
        <v>508</v>
      </c>
      <c r="L55" s="17" t="str">
        <f>D54</f>
        <v>TRH</v>
      </c>
      <c r="M55" s="320">
        <f ca="1">ROAD!O63</f>
        <v>2.1288584043916048</v>
      </c>
      <c r="N55" s="320">
        <f ca="1">ROAD!P63</f>
        <v>1.6693271469391937</v>
      </c>
      <c r="P55" s="17" t="str">
        <f ca="1">E54</f>
        <v>TFRH</v>
      </c>
      <c r="Q55" s="295">
        <f ca="1">ROAD!Q63</f>
        <v>25.972072533577578</v>
      </c>
      <c r="R55" s="295">
        <f ca="1">ROAD!R63</f>
        <v>20.365791192658161</v>
      </c>
      <c r="U55" s="22"/>
      <c r="V55" s="22"/>
    </row>
    <row r="56" spans="1:22">
      <c r="L56" s="17" t="str">
        <f>D55</f>
        <v>TTF</v>
      </c>
      <c r="M56" s="17"/>
      <c r="N56" s="17"/>
      <c r="P56" s="17" t="str">
        <f>E55</f>
        <v>TFTN</v>
      </c>
      <c r="Q56" s="295">
        <f ca="1">RAIL!P31</f>
        <v>9.1928589744623448</v>
      </c>
      <c r="R56" s="295">
        <f ca="1">RAIL!Q31</f>
        <v>9.7698947322893464</v>
      </c>
      <c r="U56" s="22"/>
      <c r="V56" s="22"/>
    </row>
    <row r="57" spans="1:22">
      <c r="A57" s="140"/>
      <c r="U57" s="22"/>
      <c r="V57" s="22"/>
    </row>
    <row r="58" spans="1:22">
      <c r="A58" s="140"/>
      <c r="U58" s="22"/>
      <c r="V58" s="22"/>
    </row>
    <row r="59" spans="1:22">
      <c r="A59" s="140"/>
      <c r="C59" s="188" t="str">
        <f>"~FI_T: VA_Attrib_TC~"&amp;Region</f>
        <v>~FI_T: VA_Attrib_TC~FIN</v>
      </c>
      <c r="U59" s="22"/>
      <c r="V59" s="22"/>
    </row>
    <row r="60" spans="1:22" ht="13.5" thickBot="1">
      <c r="A60" s="140"/>
      <c r="B60" s="55" t="s">
        <v>297</v>
      </c>
      <c r="C60" s="55" t="s">
        <v>292</v>
      </c>
      <c r="D60" s="55">
        <v>2010</v>
      </c>
      <c r="E60" s="55">
        <f ca="1">AuxYear</f>
        <v>2017</v>
      </c>
      <c r="U60" s="22"/>
      <c r="V60" s="22"/>
    </row>
    <row r="61" spans="1:22">
      <c r="A61" s="140"/>
      <c r="B61" s="17" t="s">
        <v>501</v>
      </c>
      <c r="C61" s="17" t="str">
        <f>D47</f>
        <v>TRT</v>
      </c>
      <c r="D61" s="74">
        <f ca="1">ROAD!H59</f>
        <v>1.6</v>
      </c>
      <c r="E61" s="74">
        <f ca="1">ROAD!I59</f>
        <v>1.6</v>
      </c>
      <c r="U61" s="22"/>
      <c r="V61" s="22"/>
    </row>
    <row r="62" spans="1:22">
      <c r="B62" s="17" t="s">
        <v>501</v>
      </c>
      <c r="C62" s="17" t="str">
        <f>D48</f>
        <v>TRB</v>
      </c>
      <c r="D62" s="74">
        <f ca="1">ROAD!H60</f>
        <v>13</v>
      </c>
      <c r="E62" s="74">
        <f ca="1">ROAD!I60</f>
        <v>13</v>
      </c>
    </row>
    <row r="63" spans="1:22">
      <c r="B63" s="17" t="s">
        <v>501</v>
      </c>
      <c r="C63" s="17" t="str">
        <f>D49</f>
        <v>TRW</v>
      </c>
      <c r="D63" s="74">
        <f ca="1">ROAD!H64</f>
        <v>1</v>
      </c>
      <c r="E63" s="74">
        <f ca="1">ROAD!I64</f>
        <v>1</v>
      </c>
    </row>
    <row r="64" spans="1:22">
      <c r="B64" s="17" t="s">
        <v>501</v>
      </c>
      <c r="C64" s="17" t="str">
        <f>D50</f>
        <v>TTP</v>
      </c>
      <c r="D64" s="74">
        <f ca="1">RAIL!H29</f>
        <v>2.6756366688288153</v>
      </c>
      <c r="E64" s="74">
        <f ca="1">RAIL!I29</f>
        <v>2.6914378184777412</v>
      </c>
    </row>
    <row r="65" spans="2:5">
      <c r="B65" s="17" t="s">
        <v>501</v>
      </c>
      <c r="C65" s="17" t="str">
        <f>D51</f>
        <v>TTM</v>
      </c>
      <c r="D65" s="74">
        <f ca="1">RAIL!H30</f>
        <v>1.9541043565466183</v>
      </c>
      <c r="E65" s="74">
        <f ca="1">RAIL!I30</f>
        <v>1.5548555201889394</v>
      </c>
    </row>
    <row r="66" spans="2:5">
      <c r="B66" s="5" t="s">
        <v>501</v>
      </c>
      <c r="C66" s="5" t="s">
        <v>523</v>
      </c>
      <c r="D66" s="381">
        <f>V47</f>
        <v>0.18649229879050955</v>
      </c>
      <c r="E66" s="381">
        <f>W47</f>
        <v>0.24397080925214354</v>
      </c>
    </row>
    <row r="67" spans="2:5">
      <c r="B67" s="17" t="s">
        <v>504</v>
      </c>
      <c r="C67" s="17" t="str">
        <f>D52</f>
        <v>TRL</v>
      </c>
      <c r="D67" s="74">
        <f ca="1">ROAD!H61</f>
        <v>0.2</v>
      </c>
      <c r="E67" s="74">
        <f ca="1">ROAD!I61</f>
        <v>0.2</v>
      </c>
    </row>
    <row r="68" spans="2:5">
      <c r="B68" s="17" t="s">
        <v>504</v>
      </c>
      <c r="C68" s="17" t="str">
        <f>D53</f>
        <v>TRM</v>
      </c>
      <c r="D68" s="74">
        <f ca="1">ROAD!H62</f>
        <v>2.4</v>
      </c>
      <c r="E68" s="74">
        <f ca="1">ROAD!I62</f>
        <v>2.4</v>
      </c>
    </row>
    <row r="69" spans="2:5">
      <c r="B69" s="17" t="s">
        <v>504</v>
      </c>
      <c r="C69" s="17" t="str">
        <f>D54</f>
        <v>TRH</v>
      </c>
      <c r="D69" s="74">
        <f ca="1">ROAD!H63</f>
        <v>12.2</v>
      </c>
      <c r="E69" s="74">
        <f ca="1">ROAD!I63</f>
        <v>12.2</v>
      </c>
    </row>
    <row r="70" spans="2:5">
      <c r="B70" s="17" t="s">
        <v>504</v>
      </c>
      <c r="C70" s="17" t="str">
        <f>D55</f>
        <v>TTF</v>
      </c>
      <c r="D70" s="74">
        <f ca="1">RAIL!H31</f>
        <v>7.0549999999999997</v>
      </c>
      <c r="E70" s="74">
        <f ca="1">RAIL!I31</f>
        <v>9.1639894262183201</v>
      </c>
    </row>
    <row r="71" spans="2:5">
      <c r="B71" s="17" t="s">
        <v>504</v>
      </c>
      <c r="C71" s="17" t="s">
        <v>521</v>
      </c>
      <c r="D71" s="295">
        <f>V48</f>
        <v>0.51136589289973822</v>
      </c>
      <c r="E71" s="295">
        <f>W48</f>
        <v>0.51078371692773805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"/>
  <dimension ref="A1:AB107"/>
  <sheetViews>
    <sheetView topLeftCell="A71" zoomScale="75" workbookViewId="0">
      <selection activeCell="B101" sqref="B101:X101"/>
    </sheetView>
  </sheetViews>
  <sheetFormatPr defaultRowHeight="12.75"/>
  <cols>
    <col min="1" max="1" width="17.85546875" style="22" customWidth="1"/>
    <col min="2" max="2" width="28.42578125" style="22" customWidth="1"/>
    <col min="3" max="3" width="16.140625" style="22" customWidth="1"/>
    <col min="4" max="4" width="10.85546875" style="22" customWidth="1"/>
    <col min="5" max="5" width="14.140625" style="22" customWidth="1"/>
    <col min="6" max="6" width="12.7109375" style="22" customWidth="1"/>
    <col min="7" max="7" width="17.42578125" style="22" customWidth="1"/>
    <col min="8" max="8" width="15" style="22" customWidth="1"/>
    <col min="9" max="9" width="11.7109375" style="22" customWidth="1"/>
    <col min="10" max="10" width="11.140625" style="22" bestFit="1" customWidth="1"/>
    <col min="11" max="11" width="11.7109375" style="22" customWidth="1"/>
    <col min="12" max="12" width="10.5703125" style="22" bestFit="1" customWidth="1"/>
    <col min="13" max="13" width="12.140625" style="22" customWidth="1"/>
    <col min="14" max="14" width="14" style="22" customWidth="1"/>
    <col min="15" max="15" width="15.7109375" style="22" customWidth="1"/>
    <col min="16" max="16" width="12.7109375" style="22" bestFit="1" customWidth="1"/>
    <col min="17" max="17" width="10.28515625" style="22" bestFit="1" customWidth="1"/>
    <col min="18" max="18" width="15" style="22" customWidth="1"/>
    <col min="19" max="19" width="21.28515625" style="22" customWidth="1"/>
    <col min="20" max="20" width="12.5703125" style="22" bestFit="1" customWidth="1"/>
    <col min="21" max="21" width="16.7109375" style="22" customWidth="1"/>
    <col min="22" max="22" width="13.85546875" style="22" customWidth="1"/>
    <col min="23" max="23" width="20.140625" style="22" customWidth="1"/>
    <col min="24" max="24" width="23.28515625" style="22" customWidth="1"/>
    <col min="29" max="29" width="10.7109375" customWidth="1"/>
    <col min="31" max="31" width="11.5703125" customWidth="1"/>
    <col min="32" max="32" width="11" customWidth="1"/>
  </cols>
  <sheetData>
    <row r="1" spans="1:24" ht="15.75" customHeight="1">
      <c r="A1" s="155" t="s">
        <v>58</v>
      </c>
      <c r="B1" s="161"/>
      <c r="C1" s="214" t="s">
        <v>336</v>
      </c>
      <c r="D1" s="38" t="s">
        <v>247</v>
      </c>
      <c r="E1" s="161" t="s">
        <v>65</v>
      </c>
      <c r="F1" s="214" t="s">
        <v>339</v>
      </c>
      <c r="G1" s="58" t="s">
        <v>345</v>
      </c>
      <c r="H1" s="161"/>
      <c r="I1" s="24" t="s">
        <v>278</v>
      </c>
      <c r="J1" s="24"/>
      <c r="K1" s="161"/>
      <c r="L1" s="161"/>
      <c r="M1" s="161"/>
      <c r="N1" s="224" t="s">
        <v>365</v>
      </c>
      <c r="O1" s="224" t="str">
        <f ca="1">MID(CELL("filename",N1),FIND("VT_",CELL("filename",N1))+3,3)</f>
        <v>FI_</v>
      </c>
      <c r="P1" s="224" t="s">
        <v>366</v>
      </c>
      <c r="Q1" s="225">
        <v>1.0000000000000001E-9</v>
      </c>
      <c r="R1" s="160"/>
      <c r="S1" s="160"/>
      <c r="T1" s="160"/>
      <c r="U1" s="160"/>
      <c r="V1" s="160"/>
      <c r="W1" s="160"/>
      <c r="X1" s="160"/>
    </row>
    <row r="2" spans="1:24" ht="12.75" customHeight="1">
      <c r="A2" s="161"/>
      <c r="B2" s="161"/>
      <c r="C2" s="214" t="s">
        <v>337</v>
      </c>
      <c r="D2" s="37">
        <v>2010</v>
      </c>
      <c r="E2" s="161"/>
      <c r="F2" s="160"/>
      <c r="G2" s="160"/>
      <c r="H2" s="161"/>
      <c r="I2" s="25" t="s">
        <v>279</v>
      </c>
      <c r="J2" s="25"/>
      <c r="K2" s="161"/>
      <c r="L2" s="161"/>
      <c r="M2" s="161"/>
      <c r="N2" s="161"/>
      <c r="O2" s="160"/>
      <c r="P2" s="160"/>
      <c r="Q2" s="160"/>
      <c r="R2" s="160"/>
      <c r="S2" s="160"/>
      <c r="T2" s="160"/>
      <c r="U2" s="160"/>
      <c r="V2" s="160"/>
      <c r="W2" s="160"/>
      <c r="X2" s="160"/>
    </row>
    <row r="3" spans="1:24" ht="12.75" customHeight="1">
      <c r="A3" s="161"/>
      <c r="B3" s="161"/>
      <c r="C3" s="214" t="s">
        <v>338</v>
      </c>
      <c r="D3" s="37">
        <v>4.1868000000000002E-2</v>
      </c>
      <c r="E3" s="161"/>
      <c r="F3" s="161"/>
      <c r="G3" s="161"/>
      <c r="H3" s="161"/>
      <c r="I3" s="27" t="s">
        <v>280</v>
      </c>
      <c r="J3" s="27"/>
      <c r="K3" s="161"/>
      <c r="L3" s="161"/>
      <c r="M3" s="161"/>
      <c r="N3" s="161"/>
      <c r="O3" s="160"/>
      <c r="P3" s="160"/>
      <c r="Q3" s="160"/>
      <c r="R3" s="160"/>
      <c r="S3" s="160"/>
      <c r="T3" s="160"/>
      <c r="U3" s="160"/>
      <c r="V3" s="160"/>
      <c r="W3" s="160"/>
      <c r="X3" s="160"/>
    </row>
    <row r="4" spans="1:24" ht="12.75" customHeight="1">
      <c r="A4" s="161"/>
      <c r="B4" s="161"/>
      <c r="C4" s="154" t="s">
        <v>69</v>
      </c>
      <c r="D4" s="161">
        <v>1</v>
      </c>
      <c r="E4" s="161"/>
      <c r="F4" s="161"/>
      <c r="G4" s="161"/>
      <c r="H4" s="161"/>
      <c r="I4" s="62" t="s">
        <v>281</v>
      </c>
      <c r="J4" s="62"/>
      <c r="K4" s="161"/>
      <c r="L4" s="161"/>
      <c r="M4" s="161"/>
      <c r="N4" s="161"/>
      <c r="O4" s="160"/>
      <c r="P4" s="160"/>
      <c r="Q4" s="160"/>
      <c r="R4" s="160"/>
      <c r="S4" s="160"/>
      <c r="T4" s="160"/>
      <c r="U4" s="160"/>
      <c r="V4" s="160"/>
      <c r="W4" s="160"/>
      <c r="X4" s="160"/>
    </row>
    <row r="5" spans="1:24" ht="12.75" customHeight="1">
      <c r="A5" s="161"/>
      <c r="B5" s="161"/>
      <c r="C5" s="154" t="s">
        <v>70</v>
      </c>
      <c r="D5" s="161">
        <v>1</v>
      </c>
      <c r="E5" s="161"/>
      <c r="F5" s="161"/>
      <c r="G5" s="161"/>
      <c r="H5" s="161"/>
      <c r="I5" s="17" t="s">
        <v>282</v>
      </c>
      <c r="J5" s="17"/>
      <c r="K5" s="161"/>
      <c r="L5" s="161"/>
      <c r="M5" s="161"/>
      <c r="N5" s="161"/>
      <c r="O5" s="160"/>
      <c r="P5" s="160"/>
      <c r="Q5" s="160"/>
      <c r="R5" s="160"/>
      <c r="S5" s="160"/>
      <c r="T5" s="160"/>
      <c r="U5" s="160"/>
      <c r="V5" s="160"/>
      <c r="W5" s="160"/>
      <c r="X5" s="160"/>
    </row>
    <row r="6" spans="1:24" ht="12.75" customHeight="1">
      <c r="A6" s="161"/>
      <c r="B6" s="161"/>
      <c r="C6" s="154" t="s">
        <v>117</v>
      </c>
      <c r="D6" s="161">
        <v>1</v>
      </c>
      <c r="E6" s="161"/>
      <c r="F6" s="161"/>
      <c r="G6" s="161"/>
      <c r="H6" s="161"/>
      <c r="I6" s="23" t="s">
        <v>283</v>
      </c>
      <c r="J6" s="23"/>
      <c r="K6" s="161"/>
      <c r="L6" s="161"/>
      <c r="M6" s="161"/>
      <c r="N6" s="161"/>
      <c r="O6" s="160"/>
      <c r="P6" s="160"/>
      <c r="Q6" s="160"/>
      <c r="R6" s="160"/>
      <c r="S6" s="160"/>
      <c r="T6" s="160"/>
      <c r="U6" s="160"/>
      <c r="V6" s="160"/>
      <c r="W6" s="160"/>
      <c r="X6" s="160"/>
    </row>
    <row r="7" spans="1:24" ht="12.75" customHeight="1">
      <c r="A7" s="155"/>
      <c r="B7" s="160"/>
      <c r="C7" s="161"/>
      <c r="D7" s="161"/>
      <c r="E7" s="161"/>
      <c r="F7" s="161"/>
      <c r="G7" s="161"/>
      <c r="H7" s="161"/>
      <c r="I7" s="194" t="s">
        <v>284</v>
      </c>
      <c r="J7" s="194"/>
      <c r="K7" s="161"/>
      <c r="L7" s="161"/>
      <c r="M7" s="161"/>
      <c r="N7" s="161"/>
      <c r="O7" s="160"/>
      <c r="P7" s="160"/>
      <c r="Q7" s="160"/>
      <c r="R7" s="160"/>
      <c r="S7" s="160"/>
      <c r="T7" s="160"/>
      <c r="U7" s="160"/>
      <c r="V7" s="160"/>
      <c r="W7" s="160"/>
      <c r="X7" s="160"/>
    </row>
    <row r="8" spans="1:24" ht="18">
      <c r="A8" s="154"/>
      <c r="B8" s="100" t="s">
        <v>236</v>
      </c>
      <c r="C8" s="101"/>
      <c r="D8" s="161"/>
      <c r="E8" s="161"/>
      <c r="F8" s="161"/>
      <c r="G8" s="161"/>
      <c r="H8" s="161"/>
      <c r="I8" s="161"/>
      <c r="J8" s="161"/>
      <c r="K8" s="161"/>
      <c r="L8" s="161"/>
      <c r="M8" s="161"/>
      <c r="N8" s="161"/>
      <c r="O8" s="160"/>
      <c r="P8" s="160"/>
      <c r="Q8" s="160"/>
      <c r="R8" s="160"/>
      <c r="S8" s="160"/>
      <c r="T8" s="160"/>
      <c r="U8" s="160"/>
      <c r="V8" s="160"/>
      <c r="W8" s="160"/>
      <c r="X8" s="160"/>
    </row>
    <row r="9" spans="1:24" s="16" customFormat="1" ht="12.75" customHeight="1">
      <c r="A9" s="152" t="s">
        <v>340</v>
      </c>
      <c r="B9" s="162" t="s">
        <v>341</v>
      </c>
      <c r="C9" s="163" t="s">
        <v>342</v>
      </c>
      <c r="D9" s="164" t="s">
        <v>124</v>
      </c>
      <c r="E9" s="164" t="s">
        <v>267</v>
      </c>
      <c r="F9" s="164" t="s">
        <v>461</v>
      </c>
      <c r="G9" s="266" t="s">
        <v>462</v>
      </c>
      <c r="H9" s="164" t="s">
        <v>268</v>
      </c>
      <c r="I9" s="164" t="s">
        <v>71</v>
      </c>
      <c r="J9" s="164" t="s">
        <v>85</v>
      </c>
      <c r="K9" s="164" t="s">
        <v>75</v>
      </c>
      <c r="L9" s="164" t="s">
        <v>86</v>
      </c>
      <c r="M9" s="164" t="s">
        <v>87</v>
      </c>
      <c r="N9" s="164" t="s">
        <v>88</v>
      </c>
      <c r="O9" s="164" t="s">
        <v>74</v>
      </c>
      <c r="P9" s="164" t="s">
        <v>72</v>
      </c>
      <c r="Q9" s="164" t="s">
        <v>73</v>
      </c>
      <c r="R9" s="164" t="s">
        <v>89</v>
      </c>
      <c r="S9" s="164" t="s">
        <v>77</v>
      </c>
      <c r="T9" s="164" t="s">
        <v>78</v>
      </c>
      <c r="U9" s="155"/>
      <c r="V9" s="164"/>
      <c r="W9" s="187"/>
      <c r="X9" s="187"/>
    </row>
    <row r="10" spans="1:24" ht="12.75" customHeight="1">
      <c r="A10" s="156" t="s">
        <v>347</v>
      </c>
      <c r="B10" s="50">
        <v>0</v>
      </c>
      <c r="C10" s="51">
        <v>0</v>
      </c>
      <c r="D10" s="51">
        <v>0</v>
      </c>
      <c r="E10" s="52">
        <v>0</v>
      </c>
      <c r="F10" s="52">
        <v>0</v>
      </c>
      <c r="G10" s="52">
        <v>0</v>
      </c>
      <c r="H10" s="52">
        <v>0</v>
      </c>
      <c r="I10" s="51">
        <v>0</v>
      </c>
      <c r="J10" s="51">
        <v>0</v>
      </c>
      <c r="K10" s="51">
        <v>0</v>
      </c>
      <c r="L10" s="51">
        <v>0</v>
      </c>
      <c r="M10" s="51">
        <v>0</v>
      </c>
      <c r="N10" s="51">
        <v>20.201381175600005</v>
      </c>
      <c r="O10" s="51">
        <v>0</v>
      </c>
      <c r="P10" s="51">
        <v>0</v>
      </c>
      <c r="Q10" s="51">
        <v>0</v>
      </c>
      <c r="R10" s="51">
        <v>0</v>
      </c>
      <c r="S10" s="51">
        <v>0</v>
      </c>
      <c r="T10" s="52">
        <v>20.201381175600005</v>
      </c>
      <c r="U10" s="165">
        <f t="shared" ref="U10:U17" si="0">T10/$T$17</f>
        <v>0.93509245569363053</v>
      </c>
      <c r="V10" s="156" t="str">
        <f t="shared" ref="V10:V17" si="1">A10</f>
        <v>INTLAIR</v>
      </c>
      <c r="W10" s="160"/>
      <c r="X10" s="160"/>
    </row>
    <row r="11" spans="1:24" ht="12.75" customHeight="1">
      <c r="A11" s="156" t="s">
        <v>80</v>
      </c>
      <c r="B11" s="50">
        <v>0</v>
      </c>
      <c r="C11" s="51">
        <v>0</v>
      </c>
      <c r="D11" s="51">
        <v>0</v>
      </c>
      <c r="E11" s="52">
        <v>0</v>
      </c>
      <c r="F11" s="52">
        <v>0</v>
      </c>
      <c r="G11" s="52">
        <v>0</v>
      </c>
      <c r="H11" s="52">
        <v>0</v>
      </c>
      <c r="I11" s="51">
        <v>0</v>
      </c>
      <c r="J11" s="51">
        <v>0</v>
      </c>
      <c r="K11" s="51">
        <v>0</v>
      </c>
      <c r="L11" s="51">
        <v>3.5202614399999999E-2</v>
      </c>
      <c r="M11" s="51">
        <v>0</v>
      </c>
      <c r="N11" s="51">
        <v>2.3219992800000004</v>
      </c>
      <c r="O11" s="51">
        <v>0</v>
      </c>
      <c r="P11" s="51">
        <v>0</v>
      </c>
      <c r="Q11" s="51">
        <v>0</v>
      </c>
      <c r="R11" s="51">
        <v>0</v>
      </c>
      <c r="S11" s="51">
        <v>0</v>
      </c>
      <c r="T11" s="52">
        <v>2.3572018944000006</v>
      </c>
      <c r="U11" s="165">
        <f t="shared" si="0"/>
        <v>0.10911143593797898</v>
      </c>
      <c r="V11" s="156" t="str">
        <f t="shared" si="1"/>
        <v>DOMESAIR</v>
      </c>
      <c r="W11" s="160"/>
      <c r="X11" s="160"/>
    </row>
    <row r="12" spans="1:24" ht="12.75" customHeight="1">
      <c r="A12" s="156" t="s">
        <v>76</v>
      </c>
      <c r="B12" s="50">
        <v>0</v>
      </c>
      <c r="C12" s="51">
        <v>0</v>
      </c>
      <c r="D12" s="51">
        <v>0</v>
      </c>
      <c r="E12" s="52">
        <v>0</v>
      </c>
      <c r="F12" s="52">
        <v>0.56285527720197814</v>
      </c>
      <c r="G12" s="52">
        <v>0</v>
      </c>
      <c r="H12" s="52">
        <v>0</v>
      </c>
      <c r="I12" s="51">
        <v>2.410541124734555E-2</v>
      </c>
      <c r="J12" s="51">
        <v>0</v>
      </c>
      <c r="K12" s="51">
        <v>7.2047929302895559</v>
      </c>
      <c r="L12" s="51">
        <v>0</v>
      </c>
      <c r="M12" s="51">
        <v>0</v>
      </c>
      <c r="N12" s="51">
        <v>0</v>
      </c>
      <c r="O12" s="51">
        <v>0</v>
      </c>
      <c r="P12" s="51">
        <v>10.650026716544627</v>
      </c>
      <c r="Q12" s="51">
        <v>0</v>
      </c>
      <c r="R12" s="51">
        <v>0</v>
      </c>
      <c r="S12" s="51">
        <v>0</v>
      </c>
      <c r="T12" s="52">
        <v>18.441780335283507</v>
      </c>
      <c r="U12" s="165">
        <f t="shared" si="0"/>
        <v>0.85364310049808112</v>
      </c>
      <c r="V12" s="156" t="str">
        <f t="shared" si="1"/>
        <v>ROAD</v>
      </c>
      <c r="W12" s="160"/>
      <c r="X12" s="160"/>
    </row>
    <row r="13" spans="1:24" ht="12.75" customHeight="1">
      <c r="A13" s="156" t="s">
        <v>81</v>
      </c>
      <c r="B13" s="50">
        <v>0</v>
      </c>
      <c r="C13" s="51">
        <v>0</v>
      </c>
      <c r="D13" s="51">
        <v>0</v>
      </c>
      <c r="E13" s="52">
        <v>0</v>
      </c>
      <c r="F13" s="52">
        <v>0</v>
      </c>
      <c r="G13" s="52">
        <v>0</v>
      </c>
      <c r="H13" s="52">
        <v>0</v>
      </c>
      <c r="I13" s="51">
        <v>0</v>
      </c>
      <c r="J13" s="51">
        <v>0</v>
      </c>
      <c r="K13" s="51">
        <v>0</v>
      </c>
      <c r="L13" s="51">
        <v>0</v>
      </c>
      <c r="M13" s="51">
        <v>0</v>
      </c>
      <c r="N13" s="51">
        <v>0</v>
      </c>
      <c r="O13" s="51">
        <v>0</v>
      </c>
      <c r="P13" s="51">
        <v>6.81590106E-2</v>
      </c>
      <c r="Q13" s="51">
        <v>0</v>
      </c>
      <c r="R13" s="51">
        <v>0</v>
      </c>
      <c r="S13" s="51">
        <v>0.50767880466897108</v>
      </c>
      <c r="T13" s="52">
        <v>0.57583781526897104</v>
      </c>
      <c r="U13" s="165">
        <f t="shared" si="0"/>
        <v>2.6654692175775173E-2</v>
      </c>
      <c r="V13" s="156" t="str">
        <f t="shared" si="1"/>
        <v>RAIL</v>
      </c>
      <c r="W13" s="160"/>
      <c r="X13" s="160"/>
    </row>
    <row r="14" spans="1:24" ht="12.75" customHeight="1">
      <c r="A14" s="156" t="s">
        <v>348</v>
      </c>
      <c r="B14" s="50">
        <v>0</v>
      </c>
      <c r="C14" s="51">
        <v>0</v>
      </c>
      <c r="D14" s="51">
        <v>0</v>
      </c>
      <c r="E14" s="52">
        <v>0</v>
      </c>
      <c r="F14" s="52">
        <v>2.4743987999999999E-3</v>
      </c>
      <c r="G14" s="52">
        <v>0</v>
      </c>
      <c r="H14" s="52">
        <v>0</v>
      </c>
      <c r="I14" s="51">
        <v>0</v>
      </c>
      <c r="J14" s="51">
        <v>0</v>
      </c>
      <c r="K14" s="51">
        <v>6.0719485679999997E-2</v>
      </c>
      <c r="L14" s="51">
        <v>0</v>
      </c>
      <c r="M14" s="51">
        <v>0</v>
      </c>
      <c r="N14" s="51">
        <v>0</v>
      </c>
      <c r="O14" s="51">
        <v>0</v>
      </c>
      <c r="P14" s="51">
        <v>9.8405709840000008E-2</v>
      </c>
      <c r="Q14" s="51">
        <v>6.7199396039999998E-2</v>
      </c>
      <c r="R14" s="51">
        <v>0</v>
      </c>
      <c r="S14" s="51">
        <v>0</v>
      </c>
      <c r="T14" s="52">
        <v>0.22879899036000001</v>
      </c>
      <c r="U14" s="165">
        <f t="shared" si="0"/>
        <v>1.0590771388164808E-2</v>
      </c>
      <c r="V14" s="156" t="str">
        <f t="shared" si="1"/>
        <v>DOMESNAV</v>
      </c>
      <c r="W14" s="160"/>
      <c r="X14" s="160"/>
    </row>
    <row r="15" spans="1:24" ht="12.75" customHeight="1">
      <c r="A15" s="156" t="s">
        <v>83</v>
      </c>
      <c r="B15" s="50">
        <v>0</v>
      </c>
      <c r="C15" s="51">
        <v>0</v>
      </c>
      <c r="D15" s="51">
        <v>0</v>
      </c>
      <c r="E15" s="52">
        <v>0</v>
      </c>
      <c r="F15" s="52">
        <v>0</v>
      </c>
      <c r="G15" s="52">
        <v>0</v>
      </c>
      <c r="H15" s="52">
        <v>0</v>
      </c>
      <c r="I15" s="51">
        <v>0</v>
      </c>
      <c r="J15" s="51">
        <v>0</v>
      </c>
      <c r="K15" s="51">
        <v>0</v>
      </c>
      <c r="L15" s="51">
        <v>0</v>
      </c>
      <c r="M15" s="51">
        <v>0</v>
      </c>
      <c r="N15" s="51">
        <v>0</v>
      </c>
      <c r="O15" s="51">
        <v>0</v>
      </c>
      <c r="P15" s="51">
        <v>0</v>
      </c>
      <c r="Q15" s="51">
        <v>0</v>
      </c>
      <c r="R15" s="51">
        <v>0</v>
      </c>
      <c r="S15" s="51">
        <v>0</v>
      </c>
      <c r="T15" s="52">
        <v>0</v>
      </c>
      <c r="U15" s="165">
        <f t="shared" si="0"/>
        <v>0</v>
      </c>
      <c r="V15" s="156" t="str">
        <f t="shared" si="1"/>
        <v>TRNONSPE</v>
      </c>
      <c r="W15" s="160"/>
      <c r="X15" s="160"/>
    </row>
    <row r="16" spans="1:24" ht="12.75" customHeight="1">
      <c r="A16" s="156" t="s">
        <v>126</v>
      </c>
      <c r="B16" s="50">
        <v>0</v>
      </c>
      <c r="C16" s="51">
        <v>0</v>
      </c>
      <c r="D16" s="51">
        <v>0</v>
      </c>
      <c r="E16" s="52">
        <v>0</v>
      </c>
      <c r="F16" s="52">
        <v>0</v>
      </c>
      <c r="G16" s="52">
        <v>0</v>
      </c>
      <c r="H16" s="52">
        <v>0</v>
      </c>
      <c r="I16" s="51">
        <v>0</v>
      </c>
      <c r="J16" s="51">
        <v>0</v>
      </c>
      <c r="K16" s="51">
        <v>0</v>
      </c>
      <c r="L16" s="51">
        <v>0</v>
      </c>
      <c r="M16" s="51">
        <v>0</v>
      </c>
      <c r="N16" s="51">
        <v>0</v>
      </c>
      <c r="O16" s="51">
        <v>0</v>
      </c>
      <c r="P16" s="51">
        <v>-0.47226145859928537</v>
      </c>
      <c r="Q16" s="51">
        <v>-1.0698875913772175</v>
      </c>
      <c r="R16" s="51">
        <v>0</v>
      </c>
      <c r="S16" s="51">
        <v>0</v>
      </c>
      <c r="T16" s="52">
        <v>-1.5421490499765027</v>
      </c>
      <c r="U16" s="165">
        <f t="shared" si="0"/>
        <v>-7.1383829137875596E-2</v>
      </c>
      <c r="V16" s="156" t="str">
        <f t="shared" si="1"/>
        <v>BUNKERS</v>
      </c>
      <c r="W16" s="160"/>
      <c r="X16" s="160"/>
    </row>
    <row r="17" spans="1:28" ht="12.75" customHeight="1">
      <c r="A17" s="156" t="s">
        <v>84</v>
      </c>
      <c r="B17" s="50">
        <v>0</v>
      </c>
      <c r="C17" s="51">
        <v>0</v>
      </c>
      <c r="D17" s="51">
        <v>0</v>
      </c>
      <c r="E17" s="52">
        <v>0</v>
      </c>
      <c r="F17" s="52">
        <v>0.56532967600197814</v>
      </c>
      <c r="G17" s="52">
        <v>0</v>
      </c>
      <c r="H17" s="52">
        <v>0</v>
      </c>
      <c r="I17" s="51">
        <v>2.410541124734555E-2</v>
      </c>
      <c r="J17" s="51">
        <v>0</v>
      </c>
      <c r="K17" s="51">
        <v>7.2655124159695559</v>
      </c>
      <c r="L17" s="51">
        <v>3.5202614399999999E-2</v>
      </c>
      <c r="M17" s="51">
        <v>0</v>
      </c>
      <c r="N17" s="51">
        <v>2.3219992800000004</v>
      </c>
      <c r="O17" s="51">
        <v>0</v>
      </c>
      <c r="P17" s="51">
        <v>10.816591436984627</v>
      </c>
      <c r="Q17" s="51">
        <v>6.7199396039999998E-2</v>
      </c>
      <c r="R17" s="51">
        <v>0</v>
      </c>
      <c r="S17" s="51">
        <v>0.50767880466897108</v>
      </c>
      <c r="T17" s="52">
        <v>21.603619035312477</v>
      </c>
      <c r="U17" s="165">
        <f t="shared" si="0"/>
        <v>1</v>
      </c>
      <c r="V17" s="156" t="str">
        <f t="shared" si="1"/>
        <v>TOTTRANS</v>
      </c>
      <c r="W17" s="160"/>
      <c r="X17" s="160"/>
    </row>
    <row r="18" spans="1:28" s="16" customFormat="1" ht="12.75" customHeight="1">
      <c r="A18" s="152"/>
      <c r="B18" s="43" t="s">
        <v>92</v>
      </c>
      <c r="C18" s="43" t="s">
        <v>187</v>
      </c>
      <c r="D18" s="39" t="s">
        <v>196</v>
      </c>
      <c r="E18" s="39" t="s">
        <v>125</v>
      </c>
      <c r="F18" s="39" t="s">
        <v>49</v>
      </c>
      <c r="G18" s="39" t="s">
        <v>198</v>
      </c>
      <c r="H18" s="39" t="s">
        <v>199</v>
      </c>
      <c r="I18" s="43" t="s">
        <v>91</v>
      </c>
      <c r="J18" s="43" t="s">
        <v>334</v>
      </c>
      <c r="K18" s="43" t="s">
        <v>96</v>
      </c>
      <c r="L18" s="43" t="s">
        <v>131</v>
      </c>
      <c r="M18" s="43" t="s">
        <v>132</v>
      </c>
      <c r="N18" s="43" t="s">
        <v>133</v>
      </c>
      <c r="O18" s="43" t="s">
        <v>95</v>
      </c>
      <c r="P18" s="39" t="s">
        <v>94</v>
      </c>
      <c r="Q18" s="39" t="s">
        <v>93</v>
      </c>
      <c r="R18" s="43" t="s">
        <v>220</v>
      </c>
      <c r="S18" s="43" t="s">
        <v>60</v>
      </c>
      <c r="T18" s="155"/>
      <c r="U18" s="155"/>
      <c r="V18" s="155"/>
      <c r="W18" s="187"/>
      <c r="X18" s="187"/>
    </row>
    <row r="19" spans="1:28" s="16" customFormat="1" ht="12.75" customHeight="1">
      <c r="A19" s="152"/>
      <c r="B19" s="152"/>
      <c r="C19" s="152"/>
      <c r="D19" s="152"/>
      <c r="E19" s="152"/>
      <c r="F19" s="152"/>
      <c r="G19" s="152"/>
      <c r="H19" s="152"/>
      <c r="I19" s="152"/>
      <c r="J19" s="152"/>
      <c r="K19" s="152"/>
      <c r="L19" s="152"/>
      <c r="M19" s="152"/>
      <c r="N19" s="152"/>
      <c r="O19" s="152"/>
      <c r="P19" s="152"/>
      <c r="Q19" s="152"/>
      <c r="R19" s="152"/>
      <c r="S19" s="152"/>
      <c r="T19" s="155"/>
      <c r="U19" s="155"/>
      <c r="V19" s="155"/>
      <c r="W19" s="187"/>
      <c r="X19" s="187"/>
    </row>
    <row r="20" spans="1:28" s="16" customFormat="1" ht="18">
      <c r="A20" s="155"/>
      <c r="B20" s="100" t="s">
        <v>237</v>
      </c>
      <c r="C20" s="101"/>
      <c r="D20" s="101"/>
      <c r="E20" s="101"/>
      <c r="F20" s="101"/>
      <c r="G20" s="155"/>
      <c r="H20" s="155"/>
      <c r="I20" s="155"/>
      <c r="J20" s="155"/>
      <c r="K20" s="155"/>
      <c r="L20" s="155"/>
      <c r="M20" s="155"/>
      <c r="N20" s="155"/>
      <c r="O20" s="160"/>
      <c r="P20" s="160"/>
      <c r="Q20" s="160"/>
      <c r="R20" s="160"/>
      <c r="S20" s="160"/>
      <c r="T20" s="160"/>
      <c r="U20" s="160"/>
      <c r="V20" s="160"/>
      <c r="W20" s="160"/>
      <c r="X20" s="160"/>
    </row>
    <row r="21" spans="1:28" s="16" customFormat="1" ht="12.75" customHeight="1">
      <c r="A21" s="155" t="s">
        <v>65</v>
      </c>
      <c r="B21" s="26"/>
      <c r="C21" s="44" t="s">
        <v>97</v>
      </c>
      <c r="D21" s="44" t="s">
        <v>98</v>
      </c>
      <c r="E21" s="76" t="s">
        <v>160</v>
      </c>
      <c r="F21" s="44" t="s">
        <v>118</v>
      </c>
      <c r="G21" s="44" t="s">
        <v>85</v>
      </c>
      <c r="H21" s="44" t="s">
        <v>112</v>
      </c>
      <c r="I21" s="44" t="s">
        <v>113</v>
      </c>
      <c r="J21" s="45" t="s">
        <v>106</v>
      </c>
      <c r="K21" s="45" t="s">
        <v>57</v>
      </c>
      <c r="L21" s="44" t="s">
        <v>68</v>
      </c>
      <c r="M21" s="44" t="s">
        <v>62</v>
      </c>
      <c r="N21" s="44" t="s">
        <v>481</v>
      </c>
      <c r="O21" s="160"/>
      <c r="P21" s="160"/>
      <c r="Q21" s="160"/>
      <c r="R21" s="160"/>
      <c r="S21" s="160"/>
      <c r="T21" s="160"/>
      <c r="U21" s="160"/>
      <c r="V21" s="160"/>
      <c r="W21" s="160"/>
      <c r="X21" s="160"/>
      <c r="Y21"/>
      <c r="Z21"/>
      <c r="AA21"/>
      <c r="AB21"/>
    </row>
    <row r="22" spans="1:28" s="16" customFormat="1" ht="12.75" customHeight="1">
      <c r="A22" s="155"/>
      <c r="B22" s="40" t="s">
        <v>79</v>
      </c>
      <c r="C22" s="46">
        <f t="shared" ref="C22:C27" si="2">$B10+$C10</f>
        <v>0</v>
      </c>
      <c r="D22" s="46">
        <f t="shared" ref="D22:D27" si="3">SUM($D10:$F10,$H10)</f>
        <v>0</v>
      </c>
      <c r="E22" s="46"/>
      <c r="F22" s="46">
        <f t="shared" ref="F22:F27" si="4">$G10+$I10</f>
        <v>0</v>
      </c>
      <c r="G22" s="46">
        <f t="shared" ref="G22:G27" si="5">$J10</f>
        <v>0</v>
      </c>
      <c r="H22" s="46">
        <f t="shared" ref="H22:H27" si="6">$K10</f>
        <v>0</v>
      </c>
      <c r="I22" s="46">
        <f t="shared" ref="I22:I27" si="7">$L10+$M10</f>
        <v>0</v>
      </c>
      <c r="J22" s="49">
        <f t="shared" ref="J22:J27" si="8">$N10+$O10</f>
        <v>20.201381175600005</v>
      </c>
      <c r="K22" s="49">
        <f t="shared" ref="K22:K27" si="9">$P10</f>
        <v>0</v>
      </c>
      <c r="L22" s="46">
        <f t="shared" ref="L22:L27" si="10">$Q10+$R10</f>
        <v>0</v>
      </c>
      <c r="M22" s="46">
        <f t="shared" ref="M22:M27" si="11">$S10</f>
        <v>0</v>
      </c>
      <c r="N22" s="49">
        <v>0</v>
      </c>
      <c r="O22" s="160"/>
      <c r="P22" s="160"/>
      <c r="Q22" s="160"/>
      <c r="R22" s="160"/>
      <c r="S22" s="160"/>
      <c r="T22" s="160"/>
      <c r="U22" s="160"/>
      <c r="V22" s="160"/>
      <c r="W22" s="160"/>
      <c r="X22" s="160"/>
      <c r="Y22"/>
      <c r="Z22"/>
      <c r="AA22"/>
      <c r="AB22"/>
    </row>
    <row r="23" spans="1:28" s="16" customFormat="1" ht="12.75" customHeight="1">
      <c r="A23" s="155"/>
      <c r="B23" s="40" t="s">
        <v>80</v>
      </c>
      <c r="C23" s="46">
        <f t="shared" si="2"/>
        <v>0</v>
      </c>
      <c r="D23" s="46">
        <f t="shared" si="3"/>
        <v>0</v>
      </c>
      <c r="E23" s="46"/>
      <c r="F23" s="46">
        <f t="shared" si="4"/>
        <v>0</v>
      </c>
      <c r="G23" s="46">
        <f t="shared" si="5"/>
        <v>0</v>
      </c>
      <c r="H23" s="46">
        <f t="shared" si="6"/>
        <v>0</v>
      </c>
      <c r="I23" s="46">
        <f t="shared" si="7"/>
        <v>3.5202614399999999E-2</v>
      </c>
      <c r="J23" s="49">
        <f t="shared" si="8"/>
        <v>2.3219992800000004</v>
      </c>
      <c r="K23" s="49">
        <f t="shared" si="9"/>
        <v>0</v>
      </c>
      <c r="L23" s="46">
        <f t="shared" si="10"/>
        <v>0</v>
      </c>
      <c r="M23" s="46">
        <f t="shared" si="11"/>
        <v>0</v>
      </c>
      <c r="N23" s="49">
        <v>0</v>
      </c>
      <c r="O23" s="160"/>
      <c r="P23" s="160"/>
      <c r="Q23" s="160"/>
      <c r="R23" s="160"/>
      <c r="S23" s="160"/>
      <c r="T23" s="160"/>
      <c r="U23" s="160"/>
      <c r="V23" s="160"/>
      <c r="W23" s="160"/>
      <c r="X23" s="160"/>
      <c r="Y23" s="75"/>
      <c r="Z23" s="75"/>
      <c r="AA23" s="75"/>
      <c r="AB23" s="75"/>
    </row>
    <row r="24" spans="1:28" s="16" customFormat="1" ht="12.75" customHeight="1">
      <c r="A24" s="155"/>
      <c r="B24" s="40" t="s">
        <v>76</v>
      </c>
      <c r="C24" s="46">
        <f t="shared" si="2"/>
        <v>0</v>
      </c>
      <c r="D24" s="46">
        <f>SUM($D12:$F12,$H12)-N24</f>
        <v>0.22712386919461341</v>
      </c>
      <c r="E24" s="46"/>
      <c r="F24" s="46">
        <f t="shared" si="4"/>
        <v>2.410541124734555E-2</v>
      </c>
      <c r="G24" s="46">
        <f t="shared" si="5"/>
        <v>0</v>
      </c>
      <c r="H24" s="46">
        <f t="shared" si="6"/>
        <v>7.2047929302895559</v>
      </c>
      <c r="I24" s="46">
        <f t="shared" si="7"/>
        <v>0</v>
      </c>
      <c r="J24" s="49">
        <f t="shared" si="8"/>
        <v>0</v>
      </c>
      <c r="K24" s="49">
        <f t="shared" si="9"/>
        <v>10.650026716544627</v>
      </c>
      <c r="L24" s="46">
        <f t="shared" si="10"/>
        <v>0</v>
      </c>
      <c r="M24" s="46">
        <f t="shared" si="11"/>
        <v>0</v>
      </c>
      <c r="N24" s="286">
        <f>F12/(1+K12/P12)</f>
        <v>0.33573140800736473</v>
      </c>
      <c r="O24" s="160"/>
      <c r="P24" s="160"/>
      <c r="Q24" s="160"/>
      <c r="R24" s="160"/>
      <c r="S24" s="160"/>
      <c r="T24" s="160"/>
      <c r="U24" s="160"/>
      <c r="V24" s="160"/>
      <c r="W24" s="160"/>
      <c r="X24" s="160"/>
      <c r="Y24" s="75"/>
      <c r="Z24" s="75"/>
      <c r="AA24" s="75"/>
      <c r="AB24" s="75"/>
    </row>
    <row r="25" spans="1:28" s="16" customFormat="1" ht="12.75" customHeight="1">
      <c r="A25" s="155"/>
      <c r="B25" s="40" t="s">
        <v>81</v>
      </c>
      <c r="C25" s="46">
        <f t="shared" si="2"/>
        <v>0</v>
      </c>
      <c r="D25" s="46">
        <f>SUM($D13:$E13,$H13)</f>
        <v>0</v>
      </c>
      <c r="E25" s="46"/>
      <c r="F25" s="46">
        <f t="shared" si="4"/>
        <v>0</v>
      </c>
      <c r="G25" s="46">
        <f t="shared" si="5"/>
        <v>0</v>
      </c>
      <c r="H25" s="46">
        <f t="shared" si="6"/>
        <v>0</v>
      </c>
      <c r="I25" s="46">
        <f t="shared" si="7"/>
        <v>0</v>
      </c>
      <c r="J25" s="49">
        <f t="shared" si="8"/>
        <v>0</v>
      </c>
      <c r="K25" s="49">
        <f t="shared" si="9"/>
        <v>6.81590106E-2</v>
      </c>
      <c r="L25" s="46">
        <f t="shared" si="10"/>
        <v>0</v>
      </c>
      <c r="M25" s="46">
        <f t="shared" si="11"/>
        <v>0.50767880466897108</v>
      </c>
      <c r="N25" s="286">
        <f>F13</f>
        <v>0</v>
      </c>
      <c r="O25" s="160"/>
      <c r="P25" s="160"/>
      <c r="Q25" s="160"/>
      <c r="R25" s="160"/>
      <c r="S25" s="160"/>
      <c r="T25" s="160"/>
      <c r="U25" s="160"/>
      <c r="V25" s="160"/>
      <c r="W25" s="160"/>
      <c r="X25" s="160"/>
      <c r="Y25" s="75"/>
      <c r="Z25" s="75"/>
      <c r="AA25" s="75"/>
      <c r="AB25" s="75"/>
    </row>
    <row r="26" spans="1:28" s="16" customFormat="1" ht="12.75" customHeight="1">
      <c r="A26" s="155"/>
      <c r="B26" s="40" t="s">
        <v>82</v>
      </c>
      <c r="C26" s="46">
        <f t="shared" si="2"/>
        <v>0</v>
      </c>
      <c r="D26" s="46">
        <f>SUM($D14:$E14,$H14)</f>
        <v>0</v>
      </c>
      <c r="E26" s="46"/>
      <c r="F26" s="46">
        <f t="shared" si="4"/>
        <v>0</v>
      </c>
      <c r="G26" s="46">
        <f t="shared" si="5"/>
        <v>0</v>
      </c>
      <c r="H26" s="46">
        <f t="shared" si="6"/>
        <v>6.0719485679999997E-2</v>
      </c>
      <c r="I26" s="46">
        <f t="shared" si="7"/>
        <v>0</v>
      </c>
      <c r="J26" s="49">
        <f t="shared" si="8"/>
        <v>0</v>
      </c>
      <c r="K26" s="49">
        <f t="shared" si="9"/>
        <v>9.8405709840000008E-2</v>
      </c>
      <c r="L26" s="46">
        <f t="shared" si="10"/>
        <v>6.7199396039999998E-2</v>
      </c>
      <c r="M26" s="46">
        <f t="shared" si="11"/>
        <v>0</v>
      </c>
      <c r="N26" s="286">
        <f>F14</f>
        <v>2.4743987999999999E-3</v>
      </c>
      <c r="O26" s="160"/>
      <c r="P26" s="160"/>
      <c r="Q26" s="160"/>
      <c r="R26" s="160"/>
      <c r="S26" s="160"/>
      <c r="T26" s="160"/>
      <c r="U26" s="160"/>
      <c r="V26" s="160"/>
      <c r="W26" s="160"/>
      <c r="X26" s="160"/>
      <c r="Y26" s="75"/>
      <c r="Z26" s="75"/>
      <c r="AA26" s="75"/>
      <c r="AB26" s="75"/>
    </row>
    <row r="27" spans="1:28" s="16" customFormat="1" ht="12.75" customHeight="1">
      <c r="A27" s="155"/>
      <c r="B27" s="40" t="s">
        <v>83</v>
      </c>
      <c r="C27" s="46">
        <f t="shared" si="2"/>
        <v>0</v>
      </c>
      <c r="D27" s="46">
        <f t="shared" si="3"/>
        <v>0</v>
      </c>
      <c r="E27" s="46"/>
      <c r="F27" s="46">
        <f t="shared" si="4"/>
        <v>0</v>
      </c>
      <c r="G27" s="46">
        <f t="shared" si="5"/>
        <v>0</v>
      </c>
      <c r="H27" s="46">
        <f t="shared" si="6"/>
        <v>0</v>
      </c>
      <c r="I27" s="46">
        <f t="shared" si="7"/>
        <v>0</v>
      </c>
      <c r="J27" s="49">
        <f t="shared" si="8"/>
        <v>0</v>
      </c>
      <c r="K27" s="49">
        <f t="shared" si="9"/>
        <v>0</v>
      </c>
      <c r="L27" s="46">
        <f t="shared" si="10"/>
        <v>0</v>
      </c>
      <c r="M27" s="46">
        <f t="shared" si="11"/>
        <v>0</v>
      </c>
      <c r="N27" s="49">
        <v>0</v>
      </c>
      <c r="O27" s="160"/>
      <c r="P27" s="160"/>
      <c r="Q27" s="160"/>
      <c r="R27" s="160"/>
      <c r="S27" s="160"/>
      <c r="T27" s="160"/>
      <c r="U27" s="160"/>
      <c r="V27" s="160"/>
      <c r="W27" s="160"/>
      <c r="X27" s="160"/>
      <c r="Y27" s="75"/>
      <c r="Z27" s="75"/>
      <c r="AA27" s="75"/>
      <c r="AB27" s="75"/>
    </row>
    <row r="28" spans="1:28" s="16" customFormat="1" ht="12.75" customHeight="1">
      <c r="A28" s="155"/>
      <c r="B28" s="40" t="s">
        <v>126</v>
      </c>
      <c r="C28" s="46">
        <f>-($B16+$C16)</f>
        <v>0</v>
      </c>
      <c r="D28" s="46">
        <f>-SUM($D16:$F16,$H16)</f>
        <v>0</v>
      </c>
      <c r="E28" s="46"/>
      <c r="F28" s="46">
        <f>-($G16+$I16)</f>
        <v>0</v>
      </c>
      <c r="G28" s="46">
        <f>-$J16</f>
        <v>0</v>
      </c>
      <c r="H28" s="46">
        <f>-$K16</f>
        <v>0</v>
      </c>
      <c r="I28" s="46">
        <f>-($L16+$M16)</f>
        <v>0</v>
      </c>
      <c r="J28" s="49">
        <f>-($N16+$O16)</f>
        <v>0</v>
      </c>
      <c r="K28" s="49">
        <f>-1*$P16</f>
        <v>0.47226145859928537</v>
      </c>
      <c r="L28" s="46">
        <f>-1*($Q16+$R16)</f>
        <v>1.0698875913772175</v>
      </c>
      <c r="M28" s="46">
        <f>-$S16</f>
        <v>0</v>
      </c>
      <c r="N28" s="49">
        <v>0</v>
      </c>
      <c r="O28" s="160"/>
      <c r="P28" s="160"/>
      <c r="Q28" s="160"/>
      <c r="R28" s="160"/>
      <c r="S28" s="160"/>
      <c r="T28" s="160"/>
      <c r="U28" s="160"/>
      <c r="V28" s="160"/>
      <c r="W28" s="160"/>
      <c r="X28" s="160"/>
      <c r="Y28" s="75"/>
      <c r="Z28" s="75"/>
      <c r="AA28" s="75"/>
      <c r="AB28" s="75"/>
    </row>
    <row r="29" spans="1:28" s="16" customFormat="1" ht="12.75" customHeight="1">
      <c r="A29" s="155"/>
      <c r="B29" s="41" t="s">
        <v>84</v>
      </c>
      <c r="C29" s="46">
        <f>SUM(C22:C28)</f>
        <v>0</v>
      </c>
      <c r="D29" s="46">
        <f t="shared" ref="D29:N29" si="12">SUM(D22:D28)</f>
        <v>0.22712386919461341</v>
      </c>
      <c r="E29" s="46">
        <f t="shared" si="12"/>
        <v>0</v>
      </c>
      <c r="F29" s="46">
        <f t="shared" si="12"/>
        <v>2.410541124734555E-2</v>
      </c>
      <c r="G29" s="46">
        <f t="shared" si="12"/>
        <v>0</v>
      </c>
      <c r="H29" s="46">
        <f t="shared" si="12"/>
        <v>7.2655124159695559</v>
      </c>
      <c r="I29" s="46">
        <f t="shared" si="12"/>
        <v>3.5202614399999999E-2</v>
      </c>
      <c r="J29" s="46">
        <f t="shared" si="12"/>
        <v>22.523380455600005</v>
      </c>
      <c r="K29" s="46">
        <f t="shared" si="12"/>
        <v>11.288852895583913</v>
      </c>
      <c r="L29" s="46">
        <f t="shared" si="12"/>
        <v>1.1370869874172174</v>
      </c>
      <c r="M29" s="46">
        <f t="shared" si="12"/>
        <v>0.50767880466897108</v>
      </c>
      <c r="N29" s="46">
        <f t="shared" si="12"/>
        <v>0.33820580680736473</v>
      </c>
      <c r="O29" s="233">
        <f>SUM(C29:N29)</f>
        <v>43.34714926088899</v>
      </c>
      <c r="P29" s="160"/>
      <c r="Q29" s="160"/>
      <c r="R29" s="160"/>
      <c r="S29" s="160"/>
      <c r="T29" s="160"/>
      <c r="U29" s="160"/>
      <c r="V29" s="160"/>
      <c r="W29" s="160"/>
      <c r="X29" s="160"/>
      <c r="Y29" s="75"/>
      <c r="Z29" s="75"/>
      <c r="AA29" s="75"/>
      <c r="AB29" s="75"/>
    </row>
    <row r="30" spans="1:28" s="16" customFormat="1" ht="12.75" customHeight="1">
      <c r="A30" s="155"/>
      <c r="B30" s="155"/>
      <c r="C30" s="155"/>
      <c r="D30" s="155"/>
      <c r="E30" s="155"/>
      <c r="F30" s="155"/>
      <c r="G30" s="155"/>
      <c r="H30" s="155"/>
      <c r="I30" s="155"/>
      <c r="J30" s="155"/>
      <c r="K30" s="155"/>
      <c r="L30" s="155"/>
      <c r="M30" s="155"/>
      <c r="N30" s="155"/>
      <c r="O30" s="160"/>
      <c r="P30" s="160"/>
      <c r="Q30" s="160"/>
      <c r="R30" s="160"/>
      <c r="S30" s="160"/>
      <c r="T30" s="160"/>
      <c r="U30" s="160"/>
      <c r="V30" s="160"/>
      <c r="W30" s="160"/>
      <c r="X30" s="160"/>
      <c r="Y30" s="75"/>
      <c r="Z30" s="75"/>
    </row>
    <row r="31" spans="1:28" s="16" customFormat="1" ht="18">
      <c r="A31" s="155"/>
      <c r="B31" s="106" t="s">
        <v>273</v>
      </c>
      <c r="C31" s="107"/>
      <c r="D31" s="107"/>
      <c r="E31" s="107"/>
      <c r="F31" s="107"/>
      <c r="G31" s="107"/>
      <c r="H31" s="107"/>
      <c r="I31" s="107"/>
      <c r="J31" s="107"/>
      <c r="K31" s="185"/>
      <c r="L31" s="155"/>
      <c r="M31" s="155"/>
      <c r="N31" s="166"/>
      <c r="O31" s="160"/>
      <c r="P31" s="160"/>
      <c r="Q31" s="160"/>
      <c r="R31" s="160"/>
      <c r="S31" s="160"/>
      <c r="T31" s="160"/>
      <c r="U31" s="160"/>
      <c r="V31" s="160"/>
      <c r="W31" s="160"/>
      <c r="X31" s="160"/>
    </row>
    <row r="32" spans="1:28" ht="12.75" customHeight="1">
      <c r="A32" s="155"/>
      <c r="B32" s="195"/>
      <c r="C32" s="195" t="s">
        <v>97</v>
      </c>
      <c r="D32" s="195" t="s">
        <v>98</v>
      </c>
      <c r="E32" s="196"/>
      <c r="F32" s="195" t="s">
        <v>118</v>
      </c>
      <c r="G32" s="195" t="s">
        <v>85</v>
      </c>
      <c r="H32" s="195" t="s">
        <v>112</v>
      </c>
      <c r="I32" s="195" t="s">
        <v>113</v>
      </c>
      <c r="J32" s="195" t="s">
        <v>106</v>
      </c>
      <c r="K32" s="195" t="s">
        <v>57</v>
      </c>
      <c r="L32" s="195" t="s">
        <v>68</v>
      </c>
      <c r="M32" s="195" t="s">
        <v>62</v>
      </c>
      <c r="N32" s="166"/>
      <c r="O32" s="160"/>
      <c r="P32" s="160"/>
      <c r="Q32" s="160"/>
      <c r="R32" s="160"/>
      <c r="S32" s="160"/>
      <c r="T32" s="160"/>
      <c r="U32" s="160"/>
      <c r="V32" s="160"/>
      <c r="W32" s="160"/>
      <c r="X32" s="160"/>
    </row>
    <row r="33" spans="1:25" ht="12.75" customHeight="1">
      <c r="A33" s="155"/>
      <c r="B33" s="197" t="s">
        <v>79</v>
      </c>
      <c r="C33" s="198" t="s">
        <v>65</v>
      </c>
      <c r="D33" s="198" t="s">
        <v>65</v>
      </c>
      <c r="E33" s="196"/>
      <c r="F33" s="198" t="s">
        <v>65</v>
      </c>
      <c r="G33" s="198" t="s">
        <v>65</v>
      </c>
      <c r="H33" s="198" t="s">
        <v>65</v>
      </c>
      <c r="I33" s="198" t="s">
        <v>65</v>
      </c>
      <c r="J33" s="198">
        <v>0.53</v>
      </c>
      <c r="K33" s="198" t="s">
        <v>65</v>
      </c>
      <c r="L33" s="198" t="s">
        <v>65</v>
      </c>
      <c r="M33" s="198">
        <v>0</v>
      </c>
      <c r="N33" s="166"/>
      <c r="O33" s="160"/>
      <c r="P33" s="160"/>
      <c r="Q33" s="160"/>
      <c r="R33" s="160"/>
      <c r="S33" s="160"/>
      <c r="T33" s="160"/>
      <c r="U33" s="160"/>
      <c r="V33" s="160"/>
      <c r="W33" s="160"/>
      <c r="X33" s="160"/>
    </row>
    <row r="34" spans="1:25" ht="12.75" customHeight="1">
      <c r="A34" s="155"/>
      <c r="B34" s="197" t="s">
        <v>80</v>
      </c>
      <c r="C34" s="198" t="s">
        <v>65</v>
      </c>
      <c r="D34" s="198" t="s">
        <v>65</v>
      </c>
      <c r="E34" s="196"/>
      <c r="F34" s="198" t="s">
        <v>65</v>
      </c>
      <c r="G34" s="198" t="s">
        <v>65</v>
      </c>
      <c r="H34" s="198" t="s">
        <v>65</v>
      </c>
      <c r="I34" s="198" t="s">
        <v>65</v>
      </c>
      <c r="J34" s="198">
        <v>0.47</v>
      </c>
      <c r="K34" s="198" t="s">
        <v>65</v>
      </c>
      <c r="L34" s="198" t="s">
        <v>65</v>
      </c>
      <c r="M34" s="198">
        <v>0</v>
      </c>
      <c r="N34" s="166"/>
      <c r="O34" s="160"/>
      <c r="P34" s="160"/>
      <c r="Q34" s="160"/>
      <c r="R34" s="160"/>
      <c r="S34" s="160"/>
      <c r="T34" s="160"/>
      <c r="U34" s="160"/>
      <c r="V34" s="160"/>
      <c r="W34" s="160"/>
      <c r="X34" s="160"/>
    </row>
    <row r="35" spans="1:25" ht="12.75" customHeight="1">
      <c r="A35" s="155"/>
      <c r="B35" s="197" t="s">
        <v>76</v>
      </c>
      <c r="C35" s="198" t="s">
        <v>65</v>
      </c>
      <c r="D35" s="198">
        <v>1</v>
      </c>
      <c r="E35" s="196"/>
      <c r="F35" s="198">
        <v>1</v>
      </c>
      <c r="G35" s="198">
        <v>1</v>
      </c>
      <c r="H35" s="198">
        <v>0.99</v>
      </c>
      <c r="I35" s="198" t="s">
        <v>65</v>
      </c>
      <c r="J35" s="199" t="s">
        <v>65</v>
      </c>
      <c r="K35" s="198" t="s">
        <v>65</v>
      </c>
      <c r="L35" s="198" t="s">
        <v>65</v>
      </c>
      <c r="M35" s="198">
        <v>0</v>
      </c>
      <c r="N35" s="166"/>
      <c r="O35" s="160"/>
      <c r="P35" s="160"/>
      <c r="Q35" s="160"/>
      <c r="R35" s="160"/>
      <c r="S35" s="160"/>
      <c r="T35" s="160"/>
      <c r="U35" s="160"/>
      <c r="V35" s="160"/>
      <c r="W35" s="160"/>
      <c r="X35" s="160"/>
    </row>
    <row r="36" spans="1:25" ht="12.75" customHeight="1">
      <c r="A36" s="155"/>
      <c r="B36" s="197" t="s">
        <v>81</v>
      </c>
      <c r="C36" s="198">
        <v>1</v>
      </c>
      <c r="D36" s="198" t="s">
        <v>171</v>
      </c>
      <c r="E36" s="196"/>
      <c r="F36" s="198" t="s">
        <v>65</v>
      </c>
      <c r="G36" s="198" t="s">
        <v>65</v>
      </c>
      <c r="H36" s="198" t="s">
        <v>65</v>
      </c>
      <c r="I36" s="198" t="s">
        <v>65</v>
      </c>
      <c r="J36" s="199" t="s">
        <v>65</v>
      </c>
      <c r="K36" s="198">
        <v>0.35610818176432246</v>
      </c>
      <c r="L36" s="198" t="s">
        <v>65</v>
      </c>
      <c r="M36" s="198">
        <v>1</v>
      </c>
      <c r="N36" s="166"/>
      <c r="O36" s="160"/>
      <c r="P36" s="160"/>
      <c r="Q36" s="160"/>
      <c r="R36" s="160"/>
      <c r="S36" s="160"/>
      <c r="T36" s="160"/>
      <c r="U36" s="160"/>
      <c r="V36" s="160"/>
      <c r="W36" s="160"/>
      <c r="X36" s="160"/>
    </row>
    <row r="37" spans="1:25" ht="12.75" customHeight="1">
      <c r="A37" s="155"/>
      <c r="B37" s="197" t="s">
        <v>82</v>
      </c>
      <c r="C37" s="198" t="s">
        <v>65</v>
      </c>
      <c r="D37" s="198" t="s">
        <v>65</v>
      </c>
      <c r="E37" s="196"/>
      <c r="F37" s="198" t="s">
        <v>65</v>
      </c>
      <c r="G37" s="198" t="s">
        <v>65</v>
      </c>
      <c r="H37" s="198">
        <v>0.01</v>
      </c>
      <c r="I37" s="198" t="s">
        <v>65</v>
      </c>
      <c r="J37" s="199" t="s">
        <v>65</v>
      </c>
      <c r="K37" s="198">
        <v>0.21313466437585163</v>
      </c>
      <c r="L37" s="198">
        <v>0.11</v>
      </c>
      <c r="M37" s="198">
        <v>0</v>
      </c>
      <c r="N37" s="166"/>
      <c r="O37" s="160"/>
      <c r="P37" s="160"/>
      <c r="Q37" s="160"/>
      <c r="R37" s="160"/>
      <c r="S37" s="160"/>
      <c r="T37" s="160"/>
      <c r="U37" s="160"/>
      <c r="V37" s="160"/>
      <c r="W37" s="160"/>
      <c r="X37" s="160"/>
    </row>
    <row r="38" spans="1:25" ht="12.75" customHeight="1">
      <c r="A38" s="155"/>
      <c r="B38" s="197" t="s">
        <v>83</v>
      </c>
      <c r="C38" s="198" t="s">
        <v>65</v>
      </c>
      <c r="D38" s="198" t="s">
        <v>65</v>
      </c>
      <c r="E38" s="196"/>
      <c r="F38" s="198" t="s">
        <v>65</v>
      </c>
      <c r="G38" s="198" t="s">
        <v>65</v>
      </c>
      <c r="H38" s="198" t="s">
        <v>65</v>
      </c>
      <c r="I38" s="198" t="s">
        <v>65</v>
      </c>
      <c r="J38" s="199" t="s">
        <v>65</v>
      </c>
      <c r="K38" s="198" t="s">
        <v>65</v>
      </c>
      <c r="L38" s="198" t="s">
        <v>65</v>
      </c>
      <c r="M38" s="198">
        <v>0</v>
      </c>
      <c r="N38" s="166"/>
      <c r="O38" s="160"/>
      <c r="P38" s="160"/>
      <c r="Q38" s="160"/>
      <c r="R38" s="160"/>
      <c r="S38" s="160"/>
      <c r="T38" s="160"/>
      <c r="U38" s="160"/>
      <c r="V38" s="160"/>
      <c r="W38" s="160"/>
      <c r="X38" s="160"/>
    </row>
    <row r="39" spans="1:25" ht="12.75" customHeight="1">
      <c r="A39" s="155"/>
      <c r="B39" s="197" t="s">
        <v>126</v>
      </c>
      <c r="C39" s="198" t="s">
        <v>65</v>
      </c>
      <c r="D39" s="198" t="s">
        <v>65</v>
      </c>
      <c r="E39" s="196"/>
      <c r="F39" s="198" t="s">
        <v>65</v>
      </c>
      <c r="G39" s="198" t="s">
        <v>65</v>
      </c>
      <c r="H39" s="198" t="s">
        <v>65</v>
      </c>
      <c r="I39" s="198" t="s">
        <v>65</v>
      </c>
      <c r="J39" s="199" t="s">
        <v>65</v>
      </c>
      <c r="K39" s="198">
        <v>0.43075715385982577</v>
      </c>
      <c r="L39" s="198">
        <v>0.89</v>
      </c>
      <c r="M39" s="198">
        <v>0</v>
      </c>
      <c r="N39" s="166"/>
      <c r="O39" s="160"/>
      <c r="P39" s="160"/>
      <c r="Q39" s="160"/>
      <c r="R39" s="160"/>
      <c r="S39" s="160"/>
      <c r="T39" s="160"/>
      <c r="U39" s="160"/>
      <c r="V39" s="160"/>
      <c r="W39" s="160"/>
      <c r="X39" s="160"/>
    </row>
    <row r="40" spans="1:25" ht="12.75" customHeight="1">
      <c r="A40" s="157"/>
      <c r="B40" s="166"/>
      <c r="C40" s="166"/>
      <c r="D40" s="166"/>
      <c r="E40" s="155"/>
      <c r="F40" s="166"/>
      <c r="G40" s="166"/>
      <c r="H40" s="166"/>
      <c r="I40" s="166"/>
      <c r="J40" s="186"/>
      <c r="K40" s="166"/>
      <c r="L40" s="166"/>
      <c r="M40" s="166"/>
      <c r="N40" s="166"/>
      <c r="O40" s="160"/>
      <c r="P40" s="160"/>
      <c r="Q40" s="160"/>
      <c r="R40" s="160"/>
      <c r="S40" s="160"/>
      <c r="T40" s="160"/>
      <c r="U40" s="160"/>
      <c r="V40" s="160"/>
      <c r="W40" s="160"/>
      <c r="X40" s="160"/>
    </row>
    <row r="41" spans="1:25" ht="18">
      <c r="A41" s="157"/>
      <c r="B41" s="106" t="s">
        <v>274</v>
      </c>
      <c r="C41" s="108"/>
      <c r="D41" s="108"/>
      <c r="E41" s="108"/>
      <c r="F41" s="108"/>
      <c r="G41" s="108"/>
      <c r="H41" s="108"/>
      <c r="I41" s="108"/>
      <c r="J41" s="155"/>
      <c r="K41" s="155"/>
      <c r="L41" s="155"/>
      <c r="M41" s="166"/>
      <c r="N41" s="166"/>
      <c r="O41" s="160"/>
      <c r="P41" s="160"/>
      <c r="Q41" s="160"/>
      <c r="R41" s="160"/>
      <c r="S41" s="160"/>
      <c r="T41" s="160"/>
      <c r="U41" s="160"/>
      <c r="V41" s="160"/>
      <c r="W41" s="160"/>
      <c r="X41" s="160"/>
    </row>
    <row r="42" spans="1:25" ht="12.75" customHeight="1">
      <c r="A42" s="155"/>
      <c r="B42" s="26"/>
      <c r="C42" s="44" t="s">
        <v>97</v>
      </c>
      <c r="D42" s="44" t="s">
        <v>98</v>
      </c>
      <c r="E42" s="76" t="s">
        <v>160</v>
      </c>
      <c r="F42" s="44" t="s">
        <v>118</v>
      </c>
      <c r="G42" s="44" t="s">
        <v>85</v>
      </c>
      <c r="H42" s="44" t="s">
        <v>112</v>
      </c>
      <c r="I42" s="44" t="s">
        <v>113</v>
      </c>
      <c r="J42" s="45" t="s">
        <v>106</v>
      </c>
      <c r="K42" s="45" t="s">
        <v>57</v>
      </c>
      <c r="L42" s="44" t="s">
        <v>68</v>
      </c>
      <c r="M42" s="44" t="s">
        <v>62</v>
      </c>
      <c r="N42" s="166"/>
      <c r="O42" s="160"/>
      <c r="P42" s="160"/>
      <c r="Q42" s="160"/>
      <c r="R42" s="160"/>
      <c r="S42" s="160"/>
      <c r="T42" s="160"/>
      <c r="U42" s="160"/>
      <c r="V42" s="160"/>
      <c r="W42" s="160"/>
      <c r="X42" s="160"/>
      <c r="Y42" s="75"/>
    </row>
    <row r="43" spans="1:25" ht="12.75" customHeight="1">
      <c r="A43" s="155"/>
      <c r="B43" s="40" t="str">
        <f>A10</f>
        <v>INTLAIR</v>
      </c>
      <c r="C43" s="46">
        <f t="shared" ref="C43:G44" si="13">C22</f>
        <v>0</v>
      </c>
      <c r="D43" s="46">
        <f t="shared" si="13"/>
        <v>0</v>
      </c>
      <c r="E43" s="46">
        <f t="shared" si="13"/>
        <v>0</v>
      </c>
      <c r="F43" s="46">
        <f t="shared" si="13"/>
        <v>0</v>
      </c>
      <c r="G43" s="46">
        <f t="shared" si="13"/>
        <v>0</v>
      </c>
      <c r="H43" s="46"/>
      <c r="I43" s="46">
        <f>SUM(H22:I22)</f>
        <v>0</v>
      </c>
      <c r="J43" s="46">
        <f>J22+SUM(J25:J28)*J33</f>
        <v>20.201381175600005</v>
      </c>
      <c r="K43" s="46">
        <f t="shared" ref="K43:M44" si="14">K22</f>
        <v>0</v>
      </c>
      <c r="L43" s="46">
        <f t="shared" si="14"/>
        <v>0</v>
      </c>
      <c r="M43" s="46">
        <f t="shared" si="14"/>
        <v>0</v>
      </c>
      <c r="N43" s="166"/>
      <c r="O43" s="160"/>
      <c r="P43" s="160"/>
      <c r="Q43" s="160"/>
      <c r="R43" s="160"/>
      <c r="S43" s="160"/>
      <c r="T43" s="160"/>
      <c r="U43" s="160"/>
      <c r="V43" s="160"/>
      <c r="W43" s="160"/>
      <c r="X43" s="160"/>
      <c r="Y43" s="75"/>
    </row>
    <row r="44" spans="1:25" ht="12.75" customHeight="1">
      <c r="A44" s="155"/>
      <c r="B44" s="40" t="str">
        <f>A11</f>
        <v>DOMESAIR</v>
      </c>
      <c r="C44" s="46">
        <f t="shared" si="13"/>
        <v>0</v>
      </c>
      <c r="D44" s="46">
        <f t="shared" si="13"/>
        <v>0</v>
      </c>
      <c r="E44" s="46">
        <f t="shared" si="13"/>
        <v>0</v>
      </c>
      <c r="F44" s="46">
        <f t="shared" si="13"/>
        <v>0</v>
      </c>
      <c r="G44" s="46">
        <f t="shared" si="13"/>
        <v>0</v>
      </c>
      <c r="H44" s="46"/>
      <c r="I44" s="46">
        <f>SUM(H23:I23)</f>
        <v>3.5202614399999999E-2</v>
      </c>
      <c r="J44" s="46">
        <f>J23+J24+SUM(J25:J28)*J34</f>
        <v>2.3219992800000004</v>
      </c>
      <c r="K44" s="46">
        <f t="shared" si="14"/>
        <v>0</v>
      </c>
      <c r="L44" s="46">
        <f t="shared" si="14"/>
        <v>0</v>
      </c>
      <c r="M44" s="46">
        <f t="shared" si="14"/>
        <v>0</v>
      </c>
      <c r="N44" s="166"/>
      <c r="O44" s="160"/>
      <c r="P44" s="160"/>
      <c r="Q44" s="160"/>
      <c r="R44" s="160"/>
      <c r="S44" s="160"/>
      <c r="T44" s="160"/>
      <c r="U44" s="160"/>
      <c r="V44" s="160"/>
      <c r="W44" s="160"/>
      <c r="X44" s="160"/>
      <c r="Y44" s="75"/>
    </row>
    <row r="45" spans="1:25" ht="12.75" customHeight="1">
      <c r="A45" s="155"/>
      <c r="B45" s="40" t="str">
        <f>A12</f>
        <v>ROAD</v>
      </c>
      <c r="C45" s="46">
        <f>C24</f>
        <v>0</v>
      </c>
      <c r="D45" s="46">
        <f>D24+D48*D35</f>
        <v>0.22712386919461341</v>
      </c>
      <c r="E45" s="46">
        <f>E24</f>
        <v>0</v>
      </c>
      <c r="F45" s="46">
        <f>F24+F48*F35</f>
        <v>2.410541124734555E-2</v>
      </c>
      <c r="G45" s="46">
        <f>G24+G48*G35</f>
        <v>0</v>
      </c>
      <c r="H45" s="46">
        <f>H24+H27*H35+H25</f>
        <v>7.2047929302895559</v>
      </c>
      <c r="I45" s="46">
        <f>I24</f>
        <v>0</v>
      </c>
      <c r="J45" s="46"/>
      <c r="K45" s="46">
        <f>K24+N24</f>
        <v>10.985758124551991</v>
      </c>
      <c r="L45" s="46"/>
      <c r="M45" s="46">
        <f>M24</f>
        <v>0</v>
      </c>
      <c r="N45" s="166"/>
      <c r="O45" s="160"/>
      <c r="P45" s="160"/>
      <c r="Q45" s="160"/>
      <c r="R45" s="160"/>
      <c r="S45" s="160"/>
      <c r="T45" s="160"/>
      <c r="U45" s="160"/>
      <c r="V45" s="160"/>
      <c r="W45" s="160"/>
      <c r="X45" s="160"/>
      <c r="Y45" s="75"/>
    </row>
    <row r="46" spans="1:25" ht="12.75" customHeight="1">
      <c r="A46" s="155"/>
      <c r="B46" s="40" t="str">
        <f>A13</f>
        <v>RAIL</v>
      </c>
      <c r="C46" s="46">
        <f>C25+C48*C36</f>
        <v>0</v>
      </c>
      <c r="D46" s="46">
        <f>D25</f>
        <v>0</v>
      </c>
      <c r="E46" s="46">
        <f>E25</f>
        <v>0</v>
      </c>
      <c r="F46" s="46">
        <f t="shared" ref="F46:G49" si="15">F25</f>
        <v>0</v>
      </c>
      <c r="G46" s="46">
        <f t="shared" si="15"/>
        <v>0</v>
      </c>
      <c r="H46" s="46"/>
      <c r="I46" s="46">
        <f>I25</f>
        <v>0</v>
      </c>
      <c r="J46" s="46"/>
      <c r="K46" s="46">
        <f>K25+K48*K36+N25</f>
        <v>6.81590106E-2</v>
      </c>
      <c r="L46" s="46">
        <f>L25</f>
        <v>0</v>
      </c>
      <c r="M46" s="46">
        <f>M25+M48*M36</f>
        <v>0.50767880466897108</v>
      </c>
      <c r="N46" s="166"/>
      <c r="O46" s="160"/>
      <c r="P46" s="160"/>
      <c r="Q46" s="160"/>
      <c r="R46" s="160"/>
      <c r="S46" s="160"/>
      <c r="T46" s="160"/>
      <c r="U46" s="160"/>
      <c r="V46" s="160"/>
      <c r="W46" s="160"/>
      <c r="X46" s="160"/>
      <c r="Y46" s="75"/>
    </row>
    <row r="47" spans="1:25" ht="12.75" customHeight="1">
      <c r="A47" s="155"/>
      <c r="B47" s="40" t="str">
        <f>A14</f>
        <v>DOMESNAV</v>
      </c>
      <c r="C47" s="46">
        <f>C26</f>
        <v>0</v>
      </c>
      <c r="D47" s="46">
        <f>D26</f>
        <v>0</v>
      </c>
      <c r="E47" s="46">
        <f>E26</f>
        <v>0</v>
      </c>
      <c r="F47" s="46">
        <f t="shared" si="15"/>
        <v>0</v>
      </c>
      <c r="G47" s="46">
        <f t="shared" si="15"/>
        <v>0</v>
      </c>
      <c r="H47" s="46">
        <f>H26+H48*H37</f>
        <v>6.0719485679999997E-2</v>
      </c>
      <c r="I47" s="46">
        <f>I26</f>
        <v>0</v>
      </c>
      <c r="J47" s="46"/>
      <c r="K47" s="46">
        <f>K26+K48*K37+N26</f>
        <v>0.10088010864000001</v>
      </c>
      <c r="L47" s="46">
        <f>L26+L24+(L48*L37)</f>
        <v>6.7199396039999998E-2</v>
      </c>
      <c r="M47" s="46">
        <f>M26</f>
        <v>0</v>
      </c>
      <c r="N47" s="166"/>
      <c r="O47" s="160"/>
      <c r="P47" s="160"/>
      <c r="Q47" s="160"/>
      <c r="R47" s="160"/>
      <c r="S47" s="160"/>
      <c r="T47" s="160"/>
      <c r="U47" s="160"/>
      <c r="V47" s="160"/>
      <c r="W47" s="160"/>
      <c r="X47" s="160"/>
      <c r="Y47" s="75"/>
    </row>
    <row r="48" spans="1:25" ht="12.75" customHeight="1">
      <c r="A48" s="155"/>
      <c r="B48" s="152" t="s">
        <v>83</v>
      </c>
      <c r="C48" s="153">
        <f>C27</f>
        <v>0</v>
      </c>
      <c r="D48" s="153">
        <f>D27</f>
        <v>0</v>
      </c>
      <c r="E48" s="153">
        <f>E27</f>
        <v>0</v>
      </c>
      <c r="F48" s="153">
        <f t="shared" si="15"/>
        <v>0</v>
      </c>
      <c r="G48" s="153">
        <f t="shared" si="15"/>
        <v>0</v>
      </c>
      <c r="H48" s="153">
        <f>H27</f>
        <v>0</v>
      </c>
      <c r="I48" s="153">
        <f>I27</f>
        <v>0</v>
      </c>
      <c r="J48" s="153"/>
      <c r="K48" s="153">
        <f>K27</f>
        <v>0</v>
      </c>
      <c r="L48" s="153">
        <f>L27</f>
        <v>0</v>
      </c>
      <c r="M48" s="153">
        <f>M27</f>
        <v>0</v>
      </c>
      <c r="N48" s="166"/>
      <c r="O48" s="160"/>
      <c r="P48" s="160"/>
      <c r="Q48" s="160"/>
      <c r="R48" s="160"/>
      <c r="S48" s="160"/>
      <c r="T48" s="160"/>
      <c r="U48" s="160"/>
      <c r="V48" s="160"/>
      <c r="W48" s="160"/>
      <c r="X48" s="160"/>
      <c r="Y48" s="75"/>
    </row>
    <row r="49" spans="1:25" ht="12.75" customHeight="1">
      <c r="A49" s="155"/>
      <c r="B49" s="41" t="s">
        <v>126</v>
      </c>
      <c r="C49" s="46">
        <f>C28</f>
        <v>0</v>
      </c>
      <c r="D49" s="46">
        <f>D28</f>
        <v>0</v>
      </c>
      <c r="E49" s="46">
        <f>E28</f>
        <v>0</v>
      </c>
      <c r="F49" s="46">
        <f t="shared" si="15"/>
        <v>0</v>
      </c>
      <c r="G49" s="46">
        <f t="shared" si="15"/>
        <v>0</v>
      </c>
      <c r="H49" s="46">
        <f>H28</f>
        <v>0</v>
      </c>
      <c r="I49" s="46">
        <f>I28</f>
        <v>0</v>
      </c>
      <c r="J49" s="46"/>
      <c r="K49" s="46">
        <f>K28+K48*K39</f>
        <v>0.47226145859928537</v>
      </c>
      <c r="L49" s="46">
        <f>L28+L48*L39</f>
        <v>1.0698875913772175</v>
      </c>
      <c r="M49" s="46">
        <f>M28</f>
        <v>0</v>
      </c>
      <c r="N49" s="166"/>
      <c r="O49" s="160"/>
      <c r="P49" s="160"/>
      <c r="Q49" s="160"/>
      <c r="R49" s="160"/>
      <c r="S49" s="160"/>
      <c r="T49" s="160"/>
      <c r="U49" s="160"/>
      <c r="V49" s="160"/>
      <c r="W49" s="160"/>
      <c r="X49" s="160"/>
      <c r="Y49" s="75"/>
    </row>
    <row r="50" spans="1:25" ht="12.75" customHeight="1">
      <c r="A50" s="155"/>
      <c r="B50" s="41" t="s">
        <v>84</v>
      </c>
      <c r="C50" s="46">
        <f t="shared" ref="C50:L50" si="16">SUM(C43:C49)-C48</f>
        <v>0</v>
      </c>
      <c r="D50" s="46">
        <f t="shared" si="16"/>
        <v>0.22712386919461341</v>
      </c>
      <c r="E50" s="46">
        <f t="shared" si="16"/>
        <v>0</v>
      </c>
      <c r="F50" s="46">
        <f t="shared" si="16"/>
        <v>2.410541124734555E-2</v>
      </c>
      <c r="G50" s="46">
        <f t="shared" si="16"/>
        <v>0</v>
      </c>
      <c r="H50" s="46">
        <f t="shared" si="16"/>
        <v>7.2655124159695559</v>
      </c>
      <c r="I50" s="46">
        <f t="shared" si="16"/>
        <v>3.5202614399999999E-2</v>
      </c>
      <c r="J50" s="46">
        <f t="shared" si="16"/>
        <v>22.523380455600005</v>
      </c>
      <c r="K50" s="46">
        <f t="shared" si="16"/>
        <v>11.627058702391277</v>
      </c>
      <c r="L50" s="46">
        <f t="shared" si="16"/>
        <v>1.1370869874172174</v>
      </c>
      <c r="M50" s="46">
        <f>SUM(M43:M49)-M48</f>
        <v>0.50767880466897108</v>
      </c>
      <c r="N50" s="233">
        <f>SUM(C50:M50)</f>
        <v>43.347149260888983</v>
      </c>
      <c r="O50" s="160"/>
      <c r="P50" s="160"/>
      <c r="Q50" s="160"/>
      <c r="R50" s="160"/>
      <c r="S50" s="160"/>
      <c r="T50" s="160"/>
      <c r="U50" s="160"/>
      <c r="V50" s="160"/>
      <c r="W50" s="160"/>
      <c r="X50" s="160"/>
      <c r="Y50" s="75"/>
    </row>
    <row r="51" spans="1:25" ht="12.75" customHeight="1">
      <c r="A51" s="155"/>
      <c r="B51" s="41"/>
      <c r="C51" s="39" t="s">
        <v>102</v>
      </c>
      <c r="D51" s="39" t="s">
        <v>105</v>
      </c>
      <c r="E51" s="39" t="s">
        <v>162</v>
      </c>
      <c r="F51" s="39" t="s">
        <v>100</v>
      </c>
      <c r="G51" s="39" t="s">
        <v>101</v>
      </c>
      <c r="H51" s="39" t="s">
        <v>172</v>
      </c>
      <c r="I51" s="39" t="s">
        <v>130</v>
      </c>
      <c r="J51" s="39" t="s">
        <v>135</v>
      </c>
      <c r="K51" s="39" t="s">
        <v>104</v>
      </c>
      <c r="L51" s="39" t="s">
        <v>103</v>
      </c>
      <c r="M51" s="39" t="s">
        <v>99</v>
      </c>
      <c r="N51" s="166"/>
      <c r="O51" s="160"/>
      <c r="P51" s="160"/>
      <c r="Q51" s="160"/>
      <c r="R51" s="160"/>
      <c r="S51" s="160"/>
      <c r="T51" s="160"/>
      <c r="U51" s="160"/>
      <c r="V51" s="160"/>
      <c r="W51" s="160"/>
      <c r="X51" s="160"/>
      <c r="Y51" s="75"/>
    </row>
    <row r="52" spans="1:25" ht="12.75" customHeight="1">
      <c r="A52" s="155"/>
      <c r="B52" s="155"/>
      <c r="C52" s="155"/>
      <c r="D52" s="155"/>
      <c r="E52" s="155"/>
      <c r="F52" s="155"/>
      <c r="G52" s="155"/>
      <c r="H52" s="155"/>
      <c r="I52" s="184" t="s">
        <v>65</v>
      </c>
      <c r="J52" s="155"/>
      <c r="K52" s="155"/>
      <c r="L52" s="166"/>
      <c r="M52" s="166"/>
      <c r="N52" s="166"/>
      <c r="O52" s="160"/>
      <c r="P52" s="160"/>
      <c r="Q52" s="160"/>
      <c r="R52" s="160"/>
      <c r="S52" s="160"/>
      <c r="T52" s="160"/>
      <c r="U52" s="160"/>
      <c r="V52" s="160"/>
      <c r="W52" s="160"/>
      <c r="X52" s="160"/>
    </row>
    <row r="53" spans="1:25" s="16" customFormat="1" ht="18">
      <c r="A53" s="155"/>
      <c r="B53" s="100" t="s">
        <v>275</v>
      </c>
      <c r="C53" s="101"/>
      <c r="D53" s="101"/>
      <c r="E53" s="101"/>
      <c r="F53" s="101"/>
      <c r="G53" s="105"/>
      <c r="H53" s="155"/>
      <c r="I53" s="155"/>
      <c r="J53" s="155"/>
      <c r="K53" s="155"/>
      <c r="L53" s="155"/>
      <c r="M53" s="155"/>
      <c r="N53" s="155"/>
      <c r="O53" s="160"/>
      <c r="P53" s="160"/>
      <c r="Q53" s="160"/>
      <c r="R53" s="160"/>
      <c r="S53" s="160"/>
      <c r="T53" s="160"/>
      <c r="U53" s="160"/>
      <c r="V53" s="160"/>
      <c r="W53" s="160"/>
      <c r="X53" s="160"/>
    </row>
    <row r="54" spans="1:25" ht="12.75" customHeight="1">
      <c r="A54" s="155" t="s">
        <v>111</v>
      </c>
      <c r="B54" s="155"/>
      <c r="C54" s="155"/>
      <c r="D54" s="72" t="s">
        <v>162</v>
      </c>
      <c r="E54" s="72" t="s">
        <v>163</v>
      </c>
      <c r="F54" s="155"/>
      <c r="G54" s="155"/>
      <c r="H54" s="155"/>
      <c r="I54" s="155"/>
      <c r="J54" s="155"/>
      <c r="K54" s="155"/>
      <c r="L54" s="155"/>
      <c r="M54" s="155"/>
      <c r="N54" s="155"/>
      <c r="O54" s="160"/>
      <c r="P54" s="160"/>
      <c r="Q54" s="160"/>
      <c r="R54" s="160"/>
      <c r="S54" s="160"/>
      <c r="T54" s="160"/>
      <c r="U54" s="160"/>
      <c r="V54" s="160"/>
      <c r="W54" s="160"/>
      <c r="X54" s="160"/>
    </row>
    <row r="55" spans="1:25" s="16" customFormat="1" ht="12.75" customHeight="1">
      <c r="A55" s="152"/>
      <c r="B55" s="152"/>
      <c r="C55" s="168" t="s">
        <v>97</v>
      </c>
      <c r="D55" s="168" t="s">
        <v>160</v>
      </c>
      <c r="E55" s="168" t="s">
        <v>161</v>
      </c>
      <c r="F55" s="168" t="s">
        <v>118</v>
      </c>
      <c r="G55" s="168" t="s">
        <v>85</v>
      </c>
      <c r="H55" s="168" t="s">
        <v>114</v>
      </c>
      <c r="I55" s="168" t="s">
        <v>115</v>
      </c>
      <c r="J55" s="168" t="s">
        <v>106</v>
      </c>
      <c r="K55" s="168" t="s">
        <v>57</v>
      </c>
      <c r="L55" s="168" t="s">
        <v>68</v>
      </c>
      <c r="M55" s="168" t="s">
        <v>62</v>
      </c>
      <c r="N55" s="155"/>
      <c r="O55" s="160"/>
      <c r="P55" s="160"/>
      <c r="Q55" s="160"/>
      <c r="R55" s="160"/>
      <c r="S55" s="160"/>
      <c r="T55" s="160"/>
      <c r="U55" s="160"/>
      <c r="V55" s="160"/>
      <c r="W55" s="160"/>
      <c r="X55" s="160"/>
    </row>
    <row r="56" spans="1:25" s="16" customFormat="1" ht="12.75" customHeight="1">
      <c r="A56" s="152"/>
      <c r="B56" s="152"/>
      <c r="C56" s="226">
        <f ca="1">MATCH(C55,OFFSET(CalibData2!$B$3,1,0,100),0)</f>
        <v>64</v>
      </c>
      <c r="D56" s="226">
        <f ca="1">MATCH(D55,OFFSET(CalibData2!$B$3,1,0,100),0)</f>
        <v>1</v>
      </c>
      <c r="E56" s="226">
        <f ca="1">MATCH(E55,OFFSET(CalibData2!$B$3,1,0,100),0)</f>
        <v>10</v>
      </c>
      <c r="F56" s="226">
        <f ca="1">MATCH(F55,OFFSET(CalibData2!$B$3,1,0,100),0)</f>
        <v>19</v>
      </c>
      <c r="G56" s="226">
        <f ca="1">MATCH(G55,OFFSET(CalibData2!$B$3,1,0,100),0)</f>
        <v>28</v>
      </c>
      <c r="H56" s="226">
        <f ca="1">MATCH(H55,OFFSET(CalibData2!$B$3,1,0,100),0)</f>
        <v>37</v>
      </c>
      <c r="I56" s="226"/>
      <c r="J56" s="226"/>
      <c r="K56" s="226">
        <f ca="1">MATCH(K55,OFFSET(CalibData2!$B$3,1,0,100),0)</f>
        <v>46</v>
      </c>
      <c r="L56" s="226"/>
      <c r="M56" s="226">
        <f ca="1">MATCH(M55,OFFSET(CalibData2!$B$3,1,0,100),0)</f>
        <v>55</v>
      </c>
      <c r="N56" s="155"/>
      <c r="O56" s="160"/>
      <c r="P56" s="160"/>
      <c r="Q56" s="160"/>
      <c r="R56" s="160"/>
      <c r="S56" s="160"/>
      <c r="T56" s="160"/>
      <c r="U56" s="160"/>
      <c r="V56" s="160"/>
      <c r="W56" s="160"/>
      <c r="X56" s="160"/>
    </row>
    <row r="57" spans="1:25" s="16" customFormat="1" ht="12.75" customHeight="1">
      <c r="A57" s="152"/>
      <c r="B57" s="152"/>
      <c r="C57" s="152"/>
      <c r="D57" s="89"/>
      <c r="E57" s="89" t="s">
        <v>65</v>
      </c>
      <c r="F57" s="181">
        <f t="shared" ref="F57:M57" ca="1" si="17">SUM(F59:F62)</f>
        <v>1</v>
      </c>
      <c r="G57" s="181">
        <f t="shared" ca="1" si="17"/>
        <v>1</v>
      </c>
      <c r="H57" s="181">
        <f t="shared" ca="1" si="17"/>
        <v>1.0000000000000002</v>
      </c>
      <c r="I57" s="181">
        <f t="shared" si="17"/>
        <v>0</v>
      </c>
      <c r="J57" s="181">
        <f t="shared" si="17"/>
        <v>0</v>
      </c>
      <c r="K57" s="181">
        <f t="shared" ca="1" si="17"/>
        <v>0.99999999999999989</v>
      </c>
      <c r="L57" s="181">
        <f t="shared" si="17"/>
        <v>0</v>
      </c>
      <c r="M57" s="181">
        <f t="shared" ca="1" si="17"/>
        <v>1</v>
      </c>
      <c r="N57" s="155"/>
      <c r="O57" s="160"/>
      <c r="P57" s="160"/>
      <c r="Q57" s="160"/>
      <c r="R57" s="160"/>
      <c r="S57" s="160"/>
      <c r="T57" s="160"/>
      <c r="U57" s="160"/>
      <c r="V57" s="160"/>
      <c r="W57" s="160"/>
      <c r="X57" s="160"/>
    </row>
    <row r="58" spans="1:25" s="16" customFormat="1" ht="13.7" customHeight="1">
      <c r="A58" s="152" t="s">
        <v>76</v>
      </c>
      <c r="B58" s="177" t="s">
        <v>181</v>
      </c>
      <c r="C58" s="109"/>
      <c r="D58" s="93">
        <f t="array" aca="1" ref="D58:D62" ca="1">OFFSET(CalibData2!$N$3,D$56,0,5)</f>
        <v>1</v>
      </c>
      <c r="E58" s="93">
        <f t="array" aca="1" ref="E58:E62" ca="1">OFFSET(CalibData2!$N$3,E$56,0,5)</f>
        <v>1</v>
      </c>
      <c r="F58" s="93">
        <f t="array" aca="1" ref="F58:F62" ca="1">OFFSET(CalibData2!$N$3,F$56,0,5)</f>
        <v>0.4</v>
      </c>
      <c r="G58" s="93">
        <f t="array" aca="1" ref="G58:G62" ca="1">OFFSET(CalibData2!$N$3,G$56,0,5)</f>
        <v>0.75</v>
      </c>
      <c r="H58" s="93">
        <f t="array" aca="1" ref="H58:H62" ca="1">OFFSET(CalibData2!$N$3,H$56,0,5)</f>
        <v>1</v>
      </c>
      <c r="I58" s="94"/>
      <c r="J58" s="94"/>
      <c r="K58" s="93">
        <f t="array" aca="1" ref="K58:K62" ca="1">OFFSET(CalibData2!$N$3,K$56,0,5)</f>
        <v>0.52340288266832813</v>
      </c>
      <c r="L58" s="94"/>
      <c r="M58" s="93">
        <f t="array" aca="1" ref="M58:M62" ca="1">OFFSET(CalibData2!$N$3,M$56,0,5)</f>
        <v>1</v>
      </c>
      <c r="N58" s="155"/>
      <c r="O58" s="160"/>
      <c r="P58" s="160"/>
      <c r="Q58" s="160"/>
      <c r="R58" s="160"/>
      <c r="S58" s="160"/>
      <c r="T58" s="160"/>
      <c r="U58" s="160"/>
      <c r="V58" s="160"/>
      <c r="W58" s="160"/>
      <c r="X58" s="160"/>
    </row>
    <row r="59" spans="1:25" s="13" customFormat="1" ht="12.75" customHeight="1">
      <c r="A59" s="152" t="s">
        <v>76</v>
      </c>
      <c r="B59" s="178" t="s">
        <v>141</v>
      </c>
      <c r="C59" s="88"/>
      <c r="D59" s="88">
        <f ca="1"/>
        <v>0.47</v>
      </c>
      <c r="E59" s="88">
        <f ca="1"/>
        <v>0.83</v>
      </c>
      <c r="F59" s="88">
        <f ca="1"/>
        <v>0.92</v>
      </c>
      <c r="G59" s="88">
        <f ca="1"/>
        <v>0.626</v>
      </c>
      <c r="H59" s="88">
        <f ca="1"/>
        <v>0.95021751448193847</v>
      </c>
      <c r="I59" s="88"/>
      <c r="J59" s="88"/>
      <c r="K59" s="88">
        <f ca="1"/>
        <v>0.6759706506751566</v>
      </c>
      <c r="L59" s="88"/>
      <c r="M59" s="88">
        <f ca="1"/>
        <v>0.79</v>
      </c>
      <c r="N59" s="155"/>
      <c r="O59" s="160"/>
      <c r="P59" s="160"/>
      <c r="Q59" s="160"/>
      <c r="R59" s="160"/>
      <c r="S59" s="160"/>
      <c r="T59" s="160"/>
      <c r="U59" s="160"/>
      <c r="V59" s="160"/>
      <c r="W59" s="160"/>
      <c r="X59" s="160"/>
    </row>
    <row r="60" spans="1:25" s="13" customFormat="1" ht="12.75" customHeight="1">
      <c r="A60" s="152" t="s">
        <v>76</v>
      </c>
      <c r="B60" s="179" t="s">
        <v>142</v>
      </c>
      <c r="C60" s="103"/>
      <c r="D60" s="103">
        <f ca="1"/>
        <v>0.53</v>
      </c>
      <c r="E60" s="103">
        <f ca="1"/>
        <v>0.17</v>
      </c>
      <c r="F60" s="103">
        <f ca="1"/>
        <v>0.08</v>
      </c>
      <c r="G60" s="103">
        <f ca="1"/>
        <v>0.374</v>
      </c>
      <c r="H60" s="103">
        <f ca="1"/>
        <v>7.6141752573607186E-3</v>
      </c>
      <c r="I60" s="103"/>
      <c r="J60" s="103"/>
      <c r="K60" s="103">
        <f ca="1"/>
        <v>0.32402934932484329</v>
      </c>
      <c r="L60" s="103"/>
      <c r="M60" s="103">
        <f ca="1"/>
        <v>0.21</v>
      </c>
      <c r="N60" s="155"/>
      <c r="O60" s="160"/>
      <c r="P60" s="160"/>
      <c r="Q60" s="160"/>
      <c r="R60" s="160"/>
      <c r="S60" s="160"/>
      <c r="T60" s="160"/>
      <c r="U60" s="160"/>
      <c r="V60" s="160"/>
      <c r="W60" s="160"/>
      <c r="X60" s="160"/>
    </row>
    <row r="61" spans="1:25" s="13" customFormat="1" ht="12.75" customHeight="1">
      <c r="A61" s="152" t="s">
        <v>76</v>
      </c>
      <c r="B61" s="179" t="s">
        <v>200</v>
      </c>
      <c r="C61" s="103"/>
      <c r="D61" s="103">
        <f ca="1"/>
        <v>0</v>
      </c>
      <c r="E61" s="103">
        <f ca="1"/>
        <v>0</v>
      </c>
      <c r="F61" s="103">
        <f ca="1"/>
        <v>0</v>
      </c>
      <c r="G61" s="103">
        <f ca="1"/>
        <v>0</v>
      </c>
      <c r="H61" s="103">
        <f ca="1"/>
        <v>0</v>
      </c>
      <c r="I61" s="103">
        <v>0</v>
      </c>
      <c r="J61" s="103">
        <v>0</v>
      </c>
      <c r="K61" s="103">
        <f ca="1"/>
        <v>0</v>
      </c>
      <c r="L61" s="103">
        <v>0</v>
      </c>
      <c r="M61" s="103">
        <f ca="1"/>
        <v>0</v>
      </c>
      <c r="N61" s="155"/>
      <c r="O61" s="160"/>
      <c r="P61" s="160"/>
      <c r="Q61" s="160"/>
      <c r="R61" s="160"/>
      <c r="S61" s="160"/>
      <c r="T61" s="160"/>
      <c r="U61" s="160"/>
      <c r="V61" s="160"/>
      <c r="W61" s="160"/>
      <c r="X61" s="160"/>
    </row>
    <row r="62" spans="1:25" s="13" customFormat="1" ht="13.7" customHeight="1">
      <c r="A62" s="152" t="s">
        <v>76</v>
      </c>
      <c r="B62" s="179" t="s">
        <v>201</v>
      </c>
      <c r="C62" s="110"/>
      <c r="D62" s="110">
        <f ca="1"/>
        <v>0</v>
      </c>
      <c r="E62" s="110">
        <f ca="1"/>
        <v>0</v>
      </c>
      <c r="F62" s="110">
        <f ca="1"/>
        <v>0</v>
      </c>
      <c r="G62" s="110">
        <f ca="1"/>
        <v>0</v>
      </c>
      <c r="H62" s="110">
        <f ca="1"/>
        <v>4.2168310260700899E-2</v>
      </c>
      <c r="I62" s="110"/>
      <c r="J62" s="110"/>
      <c r="K62" s="110">
        <f ca="1"/>
        <v>0</v>
      </c>
      <c r="L62" s="110"/>
      <c r="M62" s="110">
        <f ca="1"/>
        <v>0</v>
      </c>
      <c r="N62" s="155"/>
      <c r="O62" s="160"/>
      <c r="P62" s="160"/>
      <c r="Q62" s="160"/>
      <c r="R62" s="160"/>
      <c r="S62" s="160"/>
      <c r="T62" s="160"/>
      <c r="U62" s="160"/>
      <c r="V62" s="160"/>
      <c r="W62" s="160"/>
      <c r="X62" s="160"/>
    </row>
    <row r="63" spans="1:25" s="13" customFormat="1" ht="12.75" customHeight="1">
      <c r="A63" s="152" t="s">
        <v>65</v>
      </c>
      <c r="B63" s="176" t="s">
        <v>231</v>
      </c>
      <c r="C63" s="182"/>
      <c r="D63" s="182">
        <f t="shared" ref="D63:M63" ca="1" si="18">1-D58</f>
        <v>0</v>
      </c>
      <c r="E63" s="182">
        <f t="shared" ca="1" si="18"/>
        <v>0</v>
      </c>
      <c r="F63" s="182">
        <f t="shared" ca="1" si="18"/>
        <v>0.6</v>
      </c>
      <c r="G63" s="182">
        <f t="shared" ca="1" si="18"/>
        <v>0.25</v>
      </c>
      <c r="H63" s="182">
        <f t="shared" ca="1" si="18"/>
        <v>0</v>
      </c>
      <c r="I63" s="182">
        <f t="shared" si="18"/>
        <v>1</v>
      </c>
      <c r="J63" s="182">
        <f t="shared" si="18"/>
        <v>1</v>
      </c>
      <c r="K63" s="182">
        <f t="shared" ca="1" si="18"/>
        <v>0.47659711733167187</v>
      </c>
      <c r="L63" s="182">
        <f t="shared" si="18"/>
        <v>1</v>
      </c>
      <c r="M63" s="182">
        <f t="shared" ca="1" si="18"/>
        <v>0</v>
      </c>
      <c r="N63" s="155"/>
      <c r="O63" s="160"/>
      <c r="P63" s="160"/>
      <c r="Q63" s="160"/>
      <c r="R63" s="160"/>
      <c r="S63" s="160"/>
      <c r="T63" s="160"/>
      <c r="U63" s="160"/>
      <c r="V63" s="160"/>
      <c r="W63" s="160"/>
      <c r="X63" s="160"/>
    </row>
    <row r="64" spans="1:25" s="13" customFormat="1" ht="12.75" customHeight="1">
      <c r="A64" s="152" t="s">
        <v>76</v>
      </c>
      <c r="B64" s="178" t="s">
        <v>107</v>
      </c>
      <c r="C64" s="42"/>
      <c r="D64" s="89">
        <f t="array" aca="1" ref="D64:D67" ca="1">OFFSET(CalibData2!$N$3,D$56+5,0,4)</f>
        <v>0</v>
      </c>
      <c r="E64" s="89">
        <f t="array" aca="1" ref="E64:E67" ca="1">OFFSET(CalibData2!$N$3,E$56+5,0,4)</f>
        <v>0</v>
      </c>
      <c r="F64" s="89">
        <f t="array" aca="1" ref="F64:F67" ca="1">OFFSET(CalibData2!$N$3,F$56+5,0,4)</f>
        <v>1</v>
      </c>
      <c r="G64" s="89">
        <f t="array" aca="1" ref="G64:G67" ca="1">OFFSET(CalibData2!$N$3,G$56+5,0,4)</f>
        <v>0.4</v>
      </c>
      <c r="H64" s="89">
        <f t="array" aca="1" ref="H64:H67" ca="1">OFFSET(CalibData2!$N$3,H$56+5,0,4)</f>
        <v>0</v>
      </c>
      <c r="I64" s="89"/>
      <c r="J64" s="89"/>
      <c r="K64" s="89">
        <f t="array" aca="1" ref="K64:K67" ca="1">OFFSET(CalibData2!$N$3,K$56+5,0,4)</f>
        <v>0.28709627800375775</v>
      </c>
      <c r="L64" s="89"/>
      <c r="M64" s="89">
        <f t="array" aca="1" ref="M64:M67" ca="1">OFFSET(CalibData2!$N$3,M$56+5,0,4)</f>
        <v>0</v>
      </c>
      <c r="N64" s="155"/>
      <c r="O64" s="160"/>
      <c r="P64" s="160"/>
      <c r="Q64" s="160"/>
      <c r="R64" s="160"/>
      <c r="S64" s="160"/>
      <c r="T64" s="160"/>
      <c r="U64" s="160"/>
      <c r="V64" s="160"/>
      <c r="W64" s="160"/>
      <c r="X64" s="160"/>
    </row>
    <row r="65" spans="1:24" s="13" customFormat="1" ht="12.75" customHeight="1">
      <c r="A65" s="152" t="s">
        <v>76</v>
      </c>
      <c r="B65" s="178" t="s">
        <v>108</v>
      </c>
      <c r="C65" s="42"/>
      <c r="D65" s="89">
        <f ca="1"/>
        <v>0</v>
      </c>
      <c r="E65" s="89">
        <f ca="1"/>
        <v>0</v>
      </c>
      <c r="F65" s="89">
        <f ca="1"/>
        <v>0</v>
      </c>
      <c r="G65" s="89">
        <f ca="1"/>
        <v>0</v>
      </c>
      <c r="H65" s="89">
        <f ca="1"/>
        <v>0</v>
      </c>
      <c r="I65" s="89"/>
      <c r="J65" s="89"/>
      <c r="K65" s="89">
        <f ca="1"/>
        <v>0.30938599288779284</v>
      </c>
      <c r="L65" s="89"/>
      <c r="M65" s="89">
        <f ca="1"/>
        <v>0</v>
      </c>
      <c r="N65" s="155"/>
      <c r="O65" s="160"/>
      <c r="P65" s="160"/>
      <c r="Q65" s="160"/>
      <c r="R65" s="160"/>
      <c r="S65" s="160"/>
      <c r="T65" s="160"/>
      <c r="U65" s="160"/>
      <c r="V65" s="160"/>
      <c r="W65" s="160"/>
      <c r="X65" s="160"/>
    </row>
    <row r="66" spans="1:24" s="13" customFormat="1" ht="12.75" customHeight="1">
      <c r="A66" s="152" t="s">
        <v>76</v>
      </c>
      <c r="B66" s="178" t="s">
        <v>256</v>
      </c>
      <c r="C66" s="42"/>
      <c r="D66" s="90">
        <f ca="1"/>
        <v>0</v>
      </c>
      <c r="E66" s="90">
        <f ca="1"/>
        <v>0</v>
      </c>
      <c r="F66" s="90">
        <f ca="1"/>
        <v>0</v>
      </c>
      <c r="G66" s="90">
        <f ca="1"/>
        <v>0.6</v>
      </c>
      <c r="H66" s="90">
        <f ca="1"/>
        <v>1</v>
      </c>
      <c r="I66" s="90"/>
      <c r="J66" s="90"/>
      <c r="K66" s="90">
        <f ca="1"/>
        <v>0.40351772910844941</v>
      </c>
      <c r="L66" s="90"/>
      <c r="M66" s="90">
        <f ca="1"/>
        <v>0</v>
      </c>
      <c r="N66" s="155"/>
      <c r="O66" s="160"/>
      <c r="P66" s="160"/>
      <c r="Q66" s="160"/>
      <c r="R66" s="160"/>
      <c r="S66" s="160"/>
      <c r="T66" s="160"/>
      <c r="U66" s="160"/>
      <c r="V66" s="160"/>
      <c r="W66" s="160"/>
      <c r="X66" s="160"/>
    </row>
    <row r="67" spans="1:24" s="13" customFormat="1" ht="12.75" customHeight="1">
      <c r="A67" s="152" t="s">
        <v>76</v>
      </c>
      <c r="B67" s="178" t="s">
        <v>116</v>
      </c>
      <c r="C67" s="42"/>
      <c r="D67" s="90">
        <f ca="1"/>
        <v>0</v>
      </c>
      <c r="E67" s="90">
        <f ca="1"/>
        <v>0</v>
      </c>
      <c r="F67" s="90">
        <f ca="1"/>
        <v>0</v>
      </c>
      <c r="G67" s="90">
        <f ca="1"/>
        <v>0</v>
      </c>
      <c r="H67" s="90">
        <f ca="1"/>
        <v>0</v>
      </c>
      <c r="I67" s="90"/>
      <c r="J67" s="90"/>
      <c r="K67" s="90">
        <f ca="1"/>
        <v>0</v>
      </c>
      <c r="L67" s="90"/>
      <c r="M67" s="90">
        <f ca="1"/>
        <v>0</v>
      </c>
      <c r="N67" s="155"/>
      <c r="O67" s="160"/>
      <c r="P67" s="160"/>
      <c r="Q67" s="160"/>
      <c r="R67" s="160"/>
      <c r="S67" s="160"/>
      <c r="T67" s="160"/>
      <c r="U67" s="160"/>
      <c r="V67" s="160"/>
      <c r="W67" s="160"/>
      <c r="X67" s="160"/>
    </row>
    <row r="68" spans="1:24" s="13" customFormat="1" ht="12.75" customHeight="1">
      <c r="A68" s="152"/>
      <c r="B68" s="178"/>
      <c r="C68" s="183">
        <f>SUM(C63:C67)</f>
        <v>0</v>
      </c>
      <c r="D68" s="183">
        <f t="shared" ref="D68:M68" ca="1" si="19">SUM(D64:D67)</f>
        <v>0</v>
      </c>
      <c r="E68" s="183">
        <f t="shared" ca="1" si="19"/>
        <v>0</v>
      </c>
      <c r="F68" s="183">
        <f t="shared" ca="1" si="19"/>
        <v>1</v>
      </c>
      <c r="G68" s="183">
        <f t="shared" ca="1" si="19"/>
        <v>1</v>
      </c>
      <c r="H68" s="183">
        <f t="shared" ca="1" si="19"/>
        <v>1</v>
      </c>
      <c r="I68" s="183">
        <f t="shared" si="19"/>
        <v>0</v>
      </c>
      <c r="J68" s="183">
        <f t="shared" si="19"/>
        <v>0</v>
      </c>
      <c r="K68" s="183">
        <f t="shared" ca="1" si="19"/>
        <v>1</v>
      </c>
      <c r="L68" s="183">
        <f t="shared" si="19"/>
        <v>0</v>
      </c>
      <c r="M68" s="183">
        <f t="shared" ca="1" si="19"/>
        <v>0</v>
      </c>
      <c r="N68" s="155"/>
      <c r="O68" s="160"/>
      <c r="P68" s="160"/>
      <c r="Q68" s="160"/>
      <c r="R68" s="160"/>
      <c r="S68" s="160"/>
      <c r="T68" s="160"/>
      <c r="U68" s="160"/>
      <c r="V68" s="160"/>
      <c r="W68" s="160"/>
      <c r="X68" s="160"/>
    </row>
    <row r="69" spans="1:24" s="13" customFormat="1" ht="12.75" customHeight="1">
      <c r="A69" s="152" t="s">
        <v>81</v>
      </c>
      <c r="B69" s="178" t="s">
        <v>109</v>
      </c>
      <c r="C69" s="42">
        <f ca="1">OFFSET(CalibData2!$N$3,$C$56,0)</f>
        <v>0</v>
      </c>
      <c r="D69" s="42">
        <v>0.5</v>
      </c>
      <c r="E69" s="42">
        <v>0.5</v>
      </c>
      <c r="F69" s="42">
        <f ca="1">OFFSET(CalibData2!$N$3,$C$56+1,0)</f>
        <v>0</v>
      </c>
      <c r="G69" s="42">
        <f ca="1">OFFSET(CalibData2!$N$3,$C$56+2,0)</f>
        <v>0</v>
      </c>
      <c r="H69" s="42">
        <f ca="1">OFFSET(CalibData2!$N$3,$C$56+3,0)</f>
        <v>0</v>
      </c>
      <c r="I69" s="42"/>
      <c r="J69" s="42"/>
      <c r="K69" s="42">
        <f ca="1">OFFSET(CalibData2!$N$3,$C$56+4,0)</f>
        <v>0.85</v>
      </c>
      <c r="L69" s="42"/>
      <c r="M69" s="239">
        <f ca="1">OFFSET(CalibData2!$N$3,$C$56+6,0)</f>
        <v>0.1</v>
      </c>
      <c r="N69" s="155"/>
      <c r="O69" s="160"/>
      <c r="P69" s="160"/>
      <c r="Q69" s="160"/>
      <c r="R69" s="160"/>
      <c r="S69" s="160"/>
      <c r="T69" s="160"/>
      <c r="U69" s="160"/>
      <c r="V69" s="160"/>
      <c r="W69" s="160"/>
      <c r="X69" s="160"/>
    </row>
    <row r="70" spans="1:24" s="13" customFormat="1" ht="12.75" customHeight="1">
      <c r="A70" s="152" t="s">
        <v>81</v>
      </c>
      <c r="B70" s="178" t="s">
        <v>67</v>
      </c>
      <c r="C70" s="42">
        <f t="shared" ref="C70:H70" ca="1" si="20">1-C69</f>
        <v>1</v>
      </c>
      <c r="D70" s="42">
        <f t="shared" si="20"/>
        <v>0.5</v>
      </c>
      <c r="E70" s="42">
        <f t="shared" si="20"/>
        <v>0.5</v>
      </c>
      <c r="F70" s="42">
        <f t="shared" ca="1" si="20"/>
        <v>1</v>
      </c>
      <c r="G70" s="42">
        <f t="shared" ca="1" si="20"/>
        <v>1</v>
      </c>
      <c r="H70" s="42">
        <f t="shared" ca="1" si="20"/>
        <v>1</v>
      </c>
      <c r="I70" s="42"/>
      <c r="J70" s="42"/>
      <c r="K70" s="42">
        <f ca="1">1-K69</f>
        <v>0.15000000000000002</v>
      </c>
      <c r="L70" s="42"/>
      <c r="M70" s="239">
        <f ca="1">1-M69</f>
        <v>0.9</v>
      </c>
      <c r="N70" s="155"/>
      <c r="O70" s="160"/>
      <c r="P70" s="160"/>
      <c r="Q70" s="160"/>
      <c r="R70" s="160"/>
      <c r="S70" s="160"/>
      <c r="T70" s="160"/>
      <c r="U70" s="160"/>
      <c r="V70" s="160"/>
      <c r="W70" s="160"/>
      <c r="X70" s="160"/>
    </row>
    <row r="71" spans="1:24" s="13" customFormat="1" ht="12.75" customHeight="1">
      <c r="A71" s="152"/>
      <c r="B71" s="152"/>
      <c r="C71" s="152"/>
      <c r="D71" s="152"/>
      <c r="E71" s="155"/>
      <c r="F71" s="152"/>
      <c r="G71" s="152"/>
      <c r="H71" s="152" t="s">
        <v>65</v>
      </c>
      <c r="I71" s="152"/>
      <c r="J71" s="152"/>
      <c r="K71" s="152"/>
      <c r="L71" s="152"/>
      <c r="M71" s="152"/>
      <c r="N71" s="155"/>
      <c r="O71" s="160"/>
      <c r="P71" s="160"/>
      <c r="Q71" s="160"/>
      <c r="R71" s="160"/>
      <c r="S71" s="160"/>
      <c r="T71" s="160"/>
      <c r="U71" s="160"/>
      <c r="V71" s="160"/>
      <c r="W71" s="160"/>
      <c r="X71" s="160"/>
    </row>
    <row r="72" spans="1:24" s="13" customFormat="1" ht="12.75" customHeight="1">
      <c r="A72" s="152"/>
      <c r="B72" s="152"/>
      <c r="C72" s="152"/>
      <c r="D72" s="152"/>
      <c r="E72" s="155"/>
      <c r="F72" s="152"/>
      <c r="G72" s="152"/>
      <c r="H72" s="152"/>
      <c r="I72" s="152"/>
      <c r="J72" s="152"/>
      <c r="K72" s="152"/>
      <c r="L72" s="152"/>
      <c r="M72" s="152"/>
      <c r="N72" s="155"/>
      <c r="O72" s="160"/>
      <c r="P72" s="160"/>
      <c r="Q72" s="160"/>
      <c r="R72" s="160"/>
      <c r="S72" s="160"/>
      <c r="T72" s="160"/>
      <c r="U72" s="160"/>
      <c r="V72" s="160"/>
      <c r="W72" s="160"/>
      <c r="X72" s="160"/>
    </row>
    <row r="73" spans="1:24" s="13" customFormat="1" ht="18">
      <c r="A73" s="155"/>
      <c r="B73" s="106" t="s">
        <v>276</v>
      </c>
      <c r="C73" s="101"/>
      <c r="D73" s="101"/>
      <c r="E73" s="101"/>
      <c r="F73" s="101"/>
      <c r="G73" s="155"/>
      <c r="H73" s="155"/>
      <c r="I73" s="155"/>
      <c r="J73" s="155"/>
      <c r="K73" s="155"/>
      <c r="L73" s="155"/>
      <c r="M73" s="155"/>
      <c r="N73" s="155"/>
      <c r="O73" s="155"/>
      <c r="P73" s="167"/>
      <c r="Q73" s="167"/>
      <c r="R73" s="167"/>
      <c r="S73" s="167"/>
      <c r="T73" s="167"/>
      <c r="U73" s="167"/>
      <c r="V73" s="167"/>
      <c r="W73" s="167"/>
      <c r="X73" s="167"/>
    </row>
    <row r="74" spans="1:24" s="13" customFormat="1" ht="12.75" customHeight="1">
      <c r="A74" s="155"/>
      <c r="B74" s="175"/>
      <c r="C74" s="168" t="s">
        <v>97</v>
      </c>
      <c r="D74" s="168" t="s">
        <v>160</v>
      </c>
      <c r="E74" s="168" t="s">
        <v>161</v>
      </c>
      <c r="F74" s="168" t="s">
        <v>118</v>
      </c>
      <c r="G74" s="168" t="s">
        <v>85</v>
      </c>
      <c r="H74" s="168" t="s">
        <v>114</v>
      </c>
      <c r="I74" s="168" t="s">
        <v>115</v>
      </c>
      <c r="J74" s="168" t="s">
        <v>106</v>
      </c>
      <c r="K74" s="168" t="s">
        <v>57</v>
      </c>
      <c r="L74" s="168" t="s">
        <v>68</v>
      </c>
      <c r="M74" s="168" t="s">
        <v>62</v>
      </c>
      <c r="N74" s="168" t="s">
        <v>63</v>
      </c>
      <c r="O74" s="152"/>
      <c r="P74" s="257" t="s">
        <v>448</v>
      </c>
      <c r="Q74" s="257" t="s">
        <v>449</v>
      </c>
      <c r="R74" s="167"/>
      <c r="S74" s="167"/>
      <c r="T74" s="167"/>
      <c r="U74" s="167"/>
      <c r="V74" s="167"/>
      <c r="W74" s="167"/>
      <c r="X74" s="167"/>
    </row>
    <row r="75" spans="1:24" s="13" customFormat="1" ht="12.75" customHeight="1">
      <c r="A75" s="156" t="s">
        <v>79</v>
      </c>
      <c r="B75" s="163" t="s">
        <v>110</v>
      </c>
      <c r="C75" s="47">
        <f>C43</f>
        <v>0</v>
      </c>
      <c r="D75" s="47">
        <f>E43</f>
        <v>0</v>
      </c>
      <c r="E75" s="36">
        <f>D43</f>
        <v>0</v>
      </c>
      <c r="F75" s="47">
        <f t="shared" ref="F75:M76" si="21">F43</f>
        <v>0</v>
      </c>
      <c r="G75" s="47">
        <f t="shared" si="21"/>
        <v>0</v>
      </c>
      <c r="H75" s="47">
        <f t="shared" si="21"/>
        <v>0</v>
      </c>
      <c r="I75" s="47">
        <f t="shared" si="21"/>
        <v>0</v>
      </c>
      <c r="J75" s="47">
        <f t="shared" si="21"/>
        <v>20.201381175600005</v>
      </c>
      <c r="K75" s="47">
        <f t="shared" si="21"/>
        <v>0</v>
      </c>
      <c r="L75" s="47">
        <f t="shared" si="21"/>
        <v>0</v>
      </c>
      <c r="M75" s="47">
        <f t="shared" si="21"/>
        <v>0</v>
      </c>
      <c r="N75" s="169">
        <f>SUM(C75:M75)</f>
        <v>20.201381175600005</v>
      </c>
      <c r="O75" s="165">
        <f ca="1">N75/$N$95</f>
        <v>0.4660371332383601</v>
      </c>
      <c r="P75" s="167"/>
      <c r="Q75" s="257"/>
      <c r="R75" s="167"/>
      <c r="S75" s="167"/>
      <c r="T75" s="167"/>
      <c r="U75" s="167"/>
      <c r="V75" s="167"/>
      <c r="W75" s="167"/>
      <c r="X75" s="167"/>
    </row>
    <row r="76" spans="1:24" ht="12.75" customHeight="1">
      <c r="A76" s="156" t="s">
        <v>80</v>
      </c>
      <c r="B76" s="180" t="s">
        <v>110</v>
      </c>
      <c r="C76" s="47">
        <f>C44</f>
        <v>0</v>
      </c>
      <c r="D76" s="47">
        <f>E44</f>
        <v>0</v>
      </c>
      <c r="E76" s="36">
        <f>D44</f>
        <v>0</v>
      </c>
      <c r="F76" s="47">
        <f t="shared" si="21"/>
        <v>0</v>
      </c>
      <c r="G76" s="47">
        <f t="shared" si="21"/>
        <v>0</v>
      </c>
      <c r="H76" s="47">
        <f t="shared" si="21"/>
        <v>0</v>
      </c>
      <c r="I76" s="47">
        <f t="shared" si="21"/>
        <v>3.5202614399999999E-2</v>
      </c>
      <c r="J76" s="47">
        <f t="shared" si="21"/>
        <v>2.3219992800000004</v>
      </c>
      <c r="K76" s="47">
        <f t="shared" si="21"/>
        <v>0</v>
      </c>
      <c r="L76" s="47">
        <f t="shared" si="21"/>
        <v>0</v>
      </c>
      <c r="M76" s="47">
        <f t="shared" si="21"/>
        <v>0</v>
      </c>
      <c r="N76" s="169">
        <f>SUM(C76:M76)</f>
        <v>2.3572018944000006</v>
      </c>
      <c r="O76" s="165">
        <f ca="1">N76/$N$95</f>
        <v>5.4379628985817594E-2</v>
      </c>
      <c r="P76" s="160"/>
      <c r="Q76" s="258"/>
      <c r="R76" s="160"/>
      <c r="S76" s="160"/>
      <c r="T76" s="160"/>
      <c r="U76" s="160"/>
      <c r="V76" s="160"/>
      <c r="W76" s="160"/>
      <c r="X76" s="160"/>
    </row>
    <row r="77" spans="1:24" ht="12.75" customHeight="1">
      <c r="A77" s="156"/>
      <c r="B77" s="180"/>
      <c r="C77" s="169"/>
      <c r="D77" s="169"/>
      <c r="E77" s="169"/>
      <c r="F77" s="169"/>
      <c r="G77" s="169"/>
      <c r="H77" s="169"/>
      <c r="I77" s="169"/>
      <c r="J77" s="169"/>
      <c r="K77" s="169"/>
      <c r="L77" s="169"/>
      <c r="M77" s="169"/>
      <c r="N77" s="169"/>
      <c r="O77" s="165"/>
      <c r="P77" s="160"/>
      <c r="Q77" s="258"/>
      <c r="R77" s="160"/>
      <c r="S77" s="160"/>
      <c r="T77" s="160"/>
      <c r="U77" s="160"/>
      <c r="V77" s="160"/>
      <c r="W77" s="160"/>
      <c r="X77" s="160"/>
    </row>
    <row r="78" spans="1:24" ht="12.75" customHeight="1">
      <c r="A78" s="156" t="str">
        <f t="shared" ref="A78:B80" si="22">A59</f>
        <v>ROAD</v>
      </c>
      <c r="B78" s="180" t="str">
        <f t="shared" si="22"/>
        <v>Auto</v>
      </c>
      <c r="C78" s="47">
        <f>C$45*C59</f>
        <v>0</v>
      </c>
      <c r="D78" s="47">
        <f ca="1">E$45*D58*D59</f>
        <v>0</v>
      </c>
      <c r="E78" s="47">
        <f ca="1">D$45*E$58*E59</f>
        <v>0.18851281143152912</v>
      </c>
      <c r="F78" s="47">
        <f t="shared" ref="F78:H79" ca="1" si="23">F$45*F$58*F59</f>
        <v>8.8707913390231631E-3</v>
      </c>
      <c r="G78" s="47">
        <f t="shared" ca="1" si="23"/>
        <v>0</v>
      </c>
      <c r="H78" s="47">
        <f t="shared" ca="1" si="23"/>
        <v>6.846120430576784</v>
      </c>
      <c r="I78" s="47">
        <f>I45*I58*I59</f>
        <v>0</v>
      </c>
      <c r="J78" s="47">
        <f>J45*J58*J59</f>
        <v>0</v>
      </c>
      <c r="K78" s="47">
        <f ca="1">K45*K58*K59</f>
        <v>3.8868160122281328</v>
      </c>
      <c r="L78" s="47">
        <f>L45*L58*L59</f>
        <v>0</v>
      </c>
      <c r="M78" s="47">
        <f ca="1">M45*M58*M59</f>
        <v>0</v>
      </c>
      <c r="N78" s="169">
        <f t="shared" ref="N78:N85" ca="1" si="24">SUM(C78:M78)</f>
        <v>10.930320045575469</v>
      </c>
      <c r="O78" s="165">
        <f t="shared" ref="O78:O85" ca="1" si="25">N78/$N$95</f>
        <v>0.25215775966696874</v>
      </c>
      <c r="P78" s="259">
        <f ca="1">E78-MIN(0.07*H78,E78)-MAX(0,E78-0.07*H78)/3</f>
        <v>0</v>
      </c>
      <c r="Q78" s="259">
        <f ca="1">E78-P78</f>
        <v>0.18851281143152912</v>
      </c>
      <c r="R78" s="160"/>
      <c r="S78" s="160"/>
      <c r="T78" s="160"/>
      <c r="U78" s="160"/>
      <c r="V78" s="160"/>
      <c r="W78" s="160"/>
      <c r="X78" s="160"/>
    </row>
    <row r="79" spans="1:24" ht="12.75" customHeight="1">
      <c r="A79" s="156" t="str">
        <f t="shared" si="22"/>
        <v>ROAD</v>
      </c>
      <c r="B79" s="180" t="str">
        <f t="shared" si="22"/>
        <v>Light Trucks</v>
      </c>
      <c r="C79" s="47">
        <f>C$45*C60</f>
        <v>0</v>
      </c>
      <c r="D79" s="47">
        <f ca="1">E$45*D58*D60</f>
        <v>0</v>
      </c>
      <c r="E79" s="47">
        <f ca="1">D$45*E$58*E60</f>
        <v>3.8611057763084281E-2</v>
      </c>
      <c r="F79" s="47">
        <f t="shared" ca="1" si="23"/>
        <v>7.7137315991505765E-4</v>
      </c>
      <c r="G79" s="47">
        <f t="shared" ca="1" si="23"/>
        <v>0</v>
      </c>
      <c r="H79" s="47">
        <f t="shared" ca="1" si="23"/>
        <v>5.4858556064218168E-2</v>
      </c>
      <c r="I79" s="47">
        <f>I45*I58*I60</f>
        <v>0</v>
      </c>
      <c r="J79" s="47">
        <f>J45*J58*J60</f>
        <v>0</v>
      </c>
      <c r="K79" s="47">
        <f ca="1">K45*K58*K60</f>
        <v>1.8631614584593845</v>
      </c>
      <c r="L79" s="47">
        <f>L45*L58*L60</f>
        <v>0</v>
      </c>
      <c r="M79" s="47">
        <f ca="1">M45*M58*M60</f>
        <v>0</v>
      </c>
      <c r="N79" s="169">
        <f t="shared" ca="1" si="24"/>
        <v>1.9574024454466019</v>
      </c>
      <c r="O79" s="165">
        <f t="shared" ca="1" si="25"/>
        <v>4.5156428480816281E-2</v>
      </c>
      <c r="P79" s="259">
        <f ca="1">E79-MIN(0.07*(H79+K79),E79)-MAX(0,E79-0.07*(H79+K79))/3</f>
        <v>0</v>
      </c>
      <c r="Q79" s="259">
        <f ca="1">E79-P79</f>
        <v>3.8611057763084281E-2</v>
      </c>
      <c r="R79" s="160"/>
      <c r="S79" s="160"/>
      <c r="T79" s="160"/>
      <c r="U79" s="160"/>
      <c r="V79" s="160"/>
      <c r="W79" s="160"/>
      <c r="X79" s="160"/>
    </row>
    <row r="80" spans="1:24" ht="12.75" customHeight="1">
      <c r="A80" s="156" t="str">
        <f t="shared" si="22"/>
        <v>ROAD</v>
      </c>
      <c r="B80" s="163" t="str">
        <f t="shared" si="22"/>
        <v>Three Wheels</v>
      </c>
      <c r="C80" s="47">
        <f>C$45*C61</f>
        <v>0</v>
      </c>
      <c r="D80" s="47">
        <f ca="1">E$45*D58*D61</f>
        <v>0</v>
      </c>
      <c r="E80" s="47">
        <f ca="1">D$45*E58*E61</f>
        <v>0</v>
      </c>
      <c r="F80" s="47">
        <f t="shared" ref="F80:M80" ca="1" si="26">F$45*F58*F61</f>
        <v>0</v>
      </c>
      <c r="G80" s="47">
        <f t="shared" ca="1" si="26"/>
        <v>0</v>
      </c>
      <c r="H80" s="47">
        <f t="shared" ca="1" si="26"/>
        <v>0</v>
      </c>
      <c r="I80" s="47">
        <f t="shared" si="26"/>
        <v>0</v>
      </c>
      <c r="J80" s="47">
        <f t="shared" si="26"/>
        <v>0</v>
      </c>
      <c r="K80" s="47">
        <f t="shared" ca="1" si="26"/>
        <v>0</v>
      </c>
      <c r="L80" s="47">
        <f t="shared" si="26"/>
        <v>0</v>
      </c>
      <c r="M80" s="47">
        <f t="shared" ca="1" si="26"/>
        <v>0</v>
      </c>
      <c r="N80" s="169">
        <f t="shared" ca="1" si="24"/>
        <v>0</v>
      </c>
      <c r="O80" s="165">
        <f t="shared" ca="1" si="25"/>
        <v>0</v>
      </c>
      <c r="P80" s="260"/>
      <c r="Q80" s="260"/>
      <c r="R80" s="160"/>
      <c r="S80" s="160"/>
      <c r="T80" s="160"/>
      <c r="U80" s="160"/>
      <c r="V80" s="160"/>
      <c r="W80" s="160"/>
      <c r="X80" s="160"/>
    </row>
    <row r="81" spans="1:24" ht="12.75" customHeight="1">
      <c r="A81" s="156" t="str">
        <f t="shared" ref="A81:B84" si="27">A64</f>
        <v>ROAD</v>
      </c>
      <c r="B81" s="163" t="str">
        <f t="shared" si="27"/>
        <v>Bus</v>
      </c>
      <c r="C81" s="47">
        <f>C$45*C64</f>
        <v>0</v>
      </c>
      <c r="D81" s="47">
        <f ca="1">E$45*D$63*D64</f>
        <v>0</v>
      </c>
      <c r="E81" s="47">
        <f ca="1">D$45*E$63*E64</f>
        <v>0</v>
      </c>
      <c r="F81" s="47">
        <f t="shared" ref="F81:M84" ca="1" si="28">F$45*F$63*F64</f>
        <v>1.446324674840733E-2</v>
      </c>
      <c r="G81" s="47">
        <f t="shared" ca="1" si="28"/>
        <v>0</v>
      </c>
      <c r="H81" s="47">
        <f t="shared" ca="1" si="28"/>
        <v>0</v>
      </c>
      <c r="I81" s="47">
        <f t="shared" si="28"/>
        <v>0</v>
      </c>
      <c r="J81" s="47">
        <f t="shared" si="28"/>
        <v>0</v>
      </c>
      <c r="K81" s="47">
        <f t="shared" ca="1" si="28"/>
        <v>1.5031731381685713</v>
      </c>
      <c r="L81" s="47">
        <f t="shared" si="28"/>
        <v>0</v>
      </c>
      <c r="M81" s="47">
        <f t="shared" ca="1" si="28"/>
        <v>0</v>
      </c>
      <c r="N81" s="169">
        <f t="shared" ca="1" si="24"/>
        <v>1.5176363849169787</v>
      </c>
      <c r="O81" s="165">
        <f t="shared" ca="1" si="25"/>
        <v>3.501121551922453E-2</v>
      </c>
      <c r="P81" s="160"/>
      <c r="Q81" s="160"/>
      <c r="R81" s="160"/>
      <c r="S81" s="160"/>
      <c r="T81" s="160"/>
      <c r="U81" s="160"/>
      <c r="V81" s="160"/>
      <c r="W81" s="160"/>
      <c r="X81" s="160"/>
    </row>
    <row r="82" spans="1:24" ht="12.75" customHeight="1">
      <c r="A82" s="156" t="str">
        <f t="shared" si="27"/>
        <v>ROAD</v>
      </c>
      <c r="B82" s="163" t="str">
        <f t="shared" si="27"/>
        <v>Heavy Trucks</v>
      </c>
      <c r="C82" s="47">
        <f>C$45*C65</f>
        <v>0</v>
      </c>
      <c r="D82" s="47">
        <f ca="1">E$45*D$63*D65</f>
        <v>0</v>
      </c>
      <c r="E82" s="47">
        <f ca="1">D$45*E$63*E65</f>
        <v>0</v>
      </c>
      <c r="F82" s="47">
        <f t="shared" ca="1" si="28"/>
        <v>0</v>
      </c>
      <c r="G82" s="47">
        <f t="shared" ca="1" si="28"/>
        <v>0</v>
      </c>
      <c r="H82" s="47">
        <f t="shared" ca="1" si="28"/>
        <v>0</v>
      </c>
      <c r="I82" s="47">
        <f t="shared" si="28"/>
        <v>0</v>
      </c>
      <c r="J82" s="47">
        <f t="shared" si="28"/>
        <v>0</v>
      </c>
      <c r="K82" s="47">
        <f t="shared" ca="1" si="28"/>
        <v>1.6198771961385572</v>
      </c>
      <c r="L82" s="47">
        <f t="shared" si="28"/>
        <v>0</v>
      </c>
      <c r="M82" s="47">
        <f t="shared" ca="1" si="28"/>
        <v>0</v>
      </c>
      <c r="N82" s="169">
        <f t="shared" ca="1" si="24"/>
        <v>1.6198771961385572</v>
      </c>
      <c r="O82" s="165">
        <f t="shared" ca="1" si="25"/>
        <v>3.7369866848432645E-2</v>
      </c>
      <c r="P82" s="160"/>
      <c r="Q82" s="160"/>
      <c r="R82" s="160"/>
      <c r="S82" s="160"/>
      <c r="T82" s="160"/>
      <c r="U82" s="160"/>
      <c r="V82" s="160"/>
      <c r="W82" s="160"/>
      <c r="X82" s="160"/>
    </row>
    <row r="83" spans="1:24" ht="12.75" customHeight="1">
      <c r="A83" s="156" t="str">
        <f t="shared" si="27"/>
        <v>ROAD</v>
      </c>
      <c r="B83" s="163" t="str">
        <f t="shared" si="27"/>
        <v>Medium Trucks</v>
      </c>
      <c r="C83" s="47">
        <f>C$45*C66</f>
        <v>0</v>
      </c>
      <c r="D83" s="47">
        <f ca="1">E$45*D$63*D66</f>
        <v>0</v>
      </c>
      <c r="E83" s="47">
        <f ca="1">D$45*E$63*E66</f>
        <v>0</v>
      </c>
      <c r="F83" s="47">
        <f t="shared" ca="1" si="28"/>
        <v>0</v>
      </c>
      <c r="G83" s="47">
        <f t="shared" ca="1" si="28"/>
        <v>0</v>
      </c>
      <c r="H83" s="47">
        <f t="shared" ca="1" si="28"/>
        <v>0</v>
      </c>
      <c r="I83" s="47">
        <f t="shared" si="28"/>
        <v>0</v>
      </c>
      <c r="J83" s="47">
        <f t="shared" si="28"/>
        <v>0</v>
      </c>
      <c r="K83" s="47">
        <f t="shared" ca="1" si="28"/>
        <v>2.1127303195573446</v>
      </c>
      <c r="L83" s="47">
        <f t="shared" si="28"/>
        <v>0</v>
      </c>
      <c r="M83" s="47">
        <f t="shared" ca="1" si="28"/>
        <v>0</v>
      </c>
      <c r="N83" s="169">
        <f t="shared" ca="1" si="24"/>
        <v>2.1127303195573446</v>
      </c>
      <c r="O83" s="165">
        <f t="shared" ca="1" si="25"/>
        <v>4.8739775408105243E-2</v>
      </c>
      <c r="P83" s="160"/>
      <c r="Q83" s="160"/>
      <c r="R83" s="160"/>
      <c r="S83" s="160"/>
      <c r="T83" s="160"/>
      <c r="U83" s="160"/>
      <c r="V83" s="160"/>
      <c r="W83" s="160"/>
      <c r="X83" s="160"/>
    </row>
    <row r="84" spans="1:24" ht="12.75" customHeight="1">
      <c r="A84" s="156" t="str">
        <f t="shared" si="27"/>
        <v>ROAD</v>
      </c>
      <c r="B84" s="163" t="str">
        <f t="shared" si="27"/>
        <v>Commercial Trucks</v>
      </c>
      <c r="C84" s="47">
        <f>C$45*C67</f>
        <v>0</v>
      </c>
      <c r="D84" s="47">
        <f ca="1">E$45*D$63*D67</f>
        <v>0</v>
      </c>
      <c r="E84" s="47">
        <f ca="1">D$45*E$63*E67</f>
        <v>0</v>
      </c>
      <c r="F84" s="47">
        <f t="shared" ca="1" si="28"/>
        <v>0</v>
      </c>
      <c r="G84" s="47">
        <f t="shared" ca="1" si="28"/>
        <v>0</v>
      </c>
      <c r="H84" s="47">
        <f t="shared" ca="1" si="28"/>
        <v>0</v>
      </c>
      <c r="I84" s="47">
        <f t="shared" si="28"/>
        <v>0</v>
      </c>
      <c r="J84" s="47">
        <f t="shared" si="28"/>
        <v>0</v>
      </c>
      <c r="K84" s="47">
        <f t="shared" ca="1" si="28"/>
        <v>0</v>
      </c>
      <c r="L84" s="47">
        <f t="shared" si="28"/>
        <v>0</v>
      </c>
      <c r="M84" s="47">
        <f t="shared" ca="1" si="28"/>
        <v>0</v>
      </c>
      <c r="N84" s="169">
        <f t="shared" ca="1" si="24"/>
        <v>0</v>
      </c>
      <c r="O84" s="165">
        <f t="shared" ca="1" si="25"/>
        <v>0</v>
      </c>
      <c r="P84" s="160"/>
      <c r="Q84" s="160"/>
      <c r="R84" s="160"/>
      <c r="S84" s="160"/>
      <c r="T84" s="160"/>
      <c r="U84" s="160"/>
      <c r="V84" s="160"/>
      <c r="W84" s="160"/>
      <c r="X84" s="160"/>
    </row>
    <row r="85" spans="1:24" ht="12.75" customHeight="1">
      <c r="A85" s="156" t="str">
        <f>A62</f>
        <v>ROAD</v>
      </c>
      <c r="B85" s="163" t="str">
        <f>B62</f>
        <v>Two Wheels</v>
      </c>
      <c r="C85" s="47">
        <f>C$45*C62</f>
        <v>0</v>
      </c>
      <c r="D85" s="47">
        <f ca="1">E$45*D$58*D62</f>
        <v>0</v>
      </c>
      <c r="E85" s="47">
        <f ca="1">F$45*E$58*E62</f>
        <v>0</v>
      </c>
      <c r="F85" s="47">
        <f t="shared" ref="F85:M85" ca="1" si="29">F$45*F$58*F62</f>
        <v>0</v>
      </c>
      <c r="G85" s="47">
        <f t="shared" ca="1" si="29"/>
        <v>0</v>
      </c>
      <c r="H85" s="47">
        <f t="shared" ca="1" si="29"/>
        <v>0.30381394364855435</v>
      </c>
      <c r="I85" s="47">
        <f t="shared" si="29"/>
        <v>0</v>
      </c>
      <c r="J85" s="47">
        <f t="shared" si="29"/>
        <v>0</v>
      </c>
      <c r="K85" s="47">
        <f t="shared" ca="1" si="29"/>
        <v>0</v>
      </c>
      <c r="L85" s="47">
        <f t="shared" si="29"/>
        <v>0</v>
      </c>
      <c r="M85" s="47">
        <f t="shared" ca="1" si="29"/>
        <v>0</v>
      </c>
      <c r="N85" s="169">
        <f t="shared" ca="1" si="24"/>
        <v>0.30381394364855435</v>
      </c>
      <c r="O85" s="165">
        <f t="shared" ca="1" si="25"/>
        <v>7.008856379920647E-3</v>
      </c>
      <c r="P85" s="160"/>
      <c r="Q85" s="160"/>
      <c r="R85" s="160"/>
      <c r="S85" s="160"/>
      <c r="T85" s="160"/>
      <c r="U85" s="160"/>
      <c r="V85" s="160"/>
      <c r="W85" s="160"/>
      <c r="X85" s="160"/>
    </row>
    <row r="86" spans="1:24" ht="12.75" customHeight="1">
      <c r="A86" s="156"/>
      <c r="B86" s="156"/>
      <c r="C86" s="156"/>
      <c r="D86" s="156"/>
      <c r="E86" s="156"/>
      <c r="F86" s="156"/>
      <c r="G86" s="156"/>
      <c r="H86" s="156"/>
      <c r="I86" s="156"/>
      <c r="J86" s="156"/>
      <c r="K86" s="156"/>
      <c r="L86" s="156"/>
      <c r="M86" s="156"/>
      <c r="N86" s="169"/>
      <c r="O86" s="165"/>
      <c r="P86" s="160"/>
      <c r="Q86" s="160"/>
      <c r="R86" s="160"/>
      <c r="S86" s="160"/>
      <c r="T86" s="160"/>
      <c r="U86" s="160"/>
      <c r="V86" s="160"/>
      <c r="W86" s="160"/>
      <c r="X86" s="160"/>
    </row>
    <row r="87" spans="1:24" ht="12.75" customHeight="1">
      <c r="A87" s="156" t="str">
        <f>A69</f>
        <v>RAIL</v>
      </c>
      <c r="B87" s="156" t="str">
        <f>B69</f>
        <v>Freight</v>
      </c>
      <c r="C87" s="47">
        <f t="shared" ref="C87:L87" ca="1" si="30">C$46*C69</f>
        <v>0</v>
      </c>
      <c r="D87" s="47">
        <f t="shared" si="30"/>
        <v>0</v>
      </c>
      <c r="E87" s="47">
        <f t="shared" si="30"/>
        <v>0</v>
      </c>
      <c r="F87" s="47">
        <f t="shared" ca="1" si="30"/>
        <v>0</v>
      </c>
      <c r="G87" s="47">
        <f t="shared" ca="1" si="30"/>
        <v>0</v>
      </c>
      <c r="H87" s="47">
        <f t="shared" ca="1" si="30"/>
        <v>0</v>
      </c>
      <c r="I87" s="47">
        <f t="shared" si="30"/>
        <v>0</v>
      </c>
      <c r="J87" s="47">
        <f t="shared" si="30"/>
        <v>0</v>
      </c>
      <c r="K87" s="47">
        <f t="shared" ca="1" si="30"/>
        <v>5.7935159010000001E-2</v>
      </c>
      <c r="L87" s="47">
        <f t="shared" si="30"/>
        <v>0</v>
      </c>
      <c r="M87" s="47">
        <f ca="1">M46*M69</f>
        <v>5.0767880466897113E-2</v>
      </c>
      <c r="N87" s="169">
        <f ca="1">SUM(C87:M87)</f>
        <v>0.10870303947689711</v>
      </c>
      <c r="O87" s="165">
        <f ca="1">N87/$N$95</f>
        <v>2.5077321422605531E-3</v>
      </c>
      <c r="P87" s="160"/>
      <c r="Q87" s="160"/>
      <c r="R87" s="160"/>
      <c r="S87" s="160"/>
      <c r="T87" s="160"/>
      <c r="U87" s="160"/>
      <c r="V87" s="160"/>
      <c r="W87" s="160"/>
      <c r="X87" s="160"/>
    </row>
    <row r="88" spans="1:24" ht="12.75" customHeight="1">
      <c r="A88" s="156" t="str">
        <f>A70</f>
        <v>RAIL</v>
      </c>
      <c r="B88" s="156" t="str">
        <f>B70</f>
        <v>Passengers</v>
      </c>
      <c r="C88" s="47">
        <f t="shared" ref="C88:L88" ca="1" si="31">C$46*C70</f>
        <v>0</v>
      </c>
      <c r="D88" s="47">
        <f t="shared" si="31"/>
        <v>0</v>
      </c>
      <c r="E88" s="47">
        <f t="shared" si="31"/>
        <v>0</v>
      </c>
      <c r="F88" s="47">
        <f t="shared" ca="1" si="31"/>
        <v>0</v>
      </c>
      <c r="G88" s="47">
        <f t="shared" ca="1" si="31"/>
        <v>0</v>
      </c>
      <c r="H88" s="47">
        <f t="shared" ca="1" si="31"/>
        <v>0</v>
      </c>
      <c r="I88" s="47">
        <f t="shared" si="31"/>
        <v>0</v>
      </c>
      <c r="J88" s="47">
        <f t="shared" si="31"/>
        <v>0</v>
      </c>
      <c r="K88" s="47">
        <f t="shared" ca="1" si="31"/>
        <v>1.0223851590000001E-2</v>
      </c>
      <c r="L88" s="47">
        <f t="shared" si="31"/>
        <v>0</v>
      </c>
      <c r="M88" s="47">
        <f ca="1">M46*M70</f>
        <v>0.45691092420207396</v>
      </c>
      <c r="N88" s="169">
        <f ca="1">SUM(C88:M88)</f>
        <v>0.46713477579207396</v>
      </c>
      <c r="O88" s="165">
        <f ca="1">N88/$N$95</f>
        <v>1.0776597394688595E-2</v>
      </c>
      <c r="P88" s="160"/>
      <c r="Q88" s="160"/>
      <c r="R88" s="160"/>
      <c r="S88" s="160"/>
      <c r="T88" s="160"/>
      <c r="U88" s="160"/>
      <c r="V88" s="160"/>
      <c r="W88" s="160"/>
      <c r="X88" s="160"/>
    </row>
    <row r="89" spans="1:24" ht="12.75" customHeight="1">
      <c r="A89" s="156"/>
      <c r="B89" s="156"/>
      <c r="C89" s="169"/>
      <c r="D89" s="169"/>
      <c r="E89" s="169"/>
      <c r="F89" s="169"/>
      <c r="G89" s="169"/>
      <c r="H89" s="169" t="s">
        <v>65</v>
      </c>
      <c r="I89" s="169"/>
      <c r="J89" s="169"/>
      <c r="K89" s="169"/>
      <c r="L89" s="169"/>
      <c r="M89" s="169"/>
      <c r="N89" s="169"/>
      <c r="O89" s="165"/>
      <c r="P89" s="160"/>
      <c r="Q89" s="160"/>
      <c r="R89" s="160"/>
      <c r="S89" s="160"/>
      <c r="T89" s="160"/>
      <c r="U89" s="160"/>
      <c r="V89" s="160"/>
      <c r="W89" s="160"/>
      <c r="X89" s="160"/>
    </row>
    <row r="90" spans="1:24" ht="12.75" customHeight="1">
      <c r="A90" s="156" t="s">
        <v>82</v>
      </c>
      <c r="B90" s="156" t="s">
        <v>110</v>
      </c>
      <c r="C90" s="47">
        <f t="shared" ref="C90:M90" si="32">C47</f>
        <v>0</v>
      </c>
      <c r="D90" s="47">
        <f t="shared" si="32"/>
        <v>0</v>
      </c>
      <c r="E90" s="47">
        <f t="shared" si="32"/>
        <v>0</v>
      </c>
      <c r="F90" s="47">
        <f t="shared" si="32"/>
        <v>0</v>
      </c>
      <c r="G90" s="47">
        <f t="shared" si="32"/>
        <v>0</v>
      </c>
      <c r="H90" s="47">
        <f t="shared" si="32"/>
        <v>6.0719485679999997E-2</v>
      </c>
      <c r="I90" s="47">
        <f t="shared" si="32"/>
        <v>0</v>
      </c>
      <c r="J90" s="47">
        <f t="shared" si="32"/>
        <v>0</v>
      </c>
      <c r="K90" s="47">
        <f t="shared" si="32"/>
        <v>0.10088010864000001</v>
      </c>
      <c r="L90" s="47">
        <f t="shared" si="32"/>
        <v>6.7199396039999998E-2</v>
      </c>
      <c r="M90" s="47">
        <f t="shared" si="32"/>
        <v>0</v>
      </c>
      <c r="N90" s="169">
        <f>SUM(C90:M90)</f>
        <v>0.22879899036000001</v>
      </c>
      <c r="O90" s="165">
        <f ca="1">N90/$N$95</f>
        <v>5.2782938269585215E-3</v>
      </c>
      <c r="P90" s="160"/>
      <c r="Q90" s="160"/>
      <c r="R90" s="160"/>
      <c r="S90" s="160"/>
      <c r="T90" s="160"/>
      <c r="U90" s="160"/>
      <c r="V90" s="160"/>
      <c r="W90" s="160"/>
      <c r="X90" s="160"/>
    </row>
    <row r="91" spans="1:24" ht="12.75" customHeight="1">
      <c r="A91" s="156"/>
      <c r="B91" s="156"/>
      <c r="C91" s="169"/>
      <c r="D91" s="169"/>
      <c r="E91" s="169"/>
      <c r="F91" s="169"/>
      <c r="G91" s="169"/>
      <c r="H91" s="169"/>
      <c r="I91" s="169"/>
      <c r="J91" s="169"/>
      <c r="K91" s="169"/>
      <c r="L91" s="169"/>
      <c r="M91" s="169"/>
      <c r="N91" s="169"/>
      <c r="O91" s="165"/>
      <c r="P91" s="160"/>
      <c r="Q91" s="160"/>
      <c r="R91" s="160"/>
      <c r="S91" s="160"/>
      <c r="T91" s="160"/>
      <c r="U91" s="160"/>
      <c r="V91" s="160"/>
      <c r="W91" s="160"/>
      <c r="X91" s="160"/>
    </row>
    <row r="92" spans="1:24" ht="12.75" customHeight="1">
      <c r="A92" s="156" t="s">
        <v>134</v>
      </c>
      <c r="B92" s="156" t="s">
        <v>110</v>
      </c>
      <c r="C92" s="47">
        <f t="shared" ref="C92:M92" si="33">C48</f>
        <v>0</v>
      </c>
      <c r="D92" s="47">
        <f t="shared" si="33"/>
        <v>0</v>
      </c>
      <c r="E92" s="47">
        <f t="shared" si="33"/>
        <v>0</v>
      </c>
      <c r="F92" s="47">
        <f t="shared" si="33"/>
        <v>0</v>
      </c>
      <c r="G92" s="47">
        <f t="shared" si="33"/>
        <v>0</v>
      </c>
      <c r="H92" s="47">
        <f t="shared" si="33"/>
        <v>0</v>
      </c>
      <c r="I92" s="47">
        <f t="shared" si="33"/>
        <v>0</v>
      </c>
      <c r="J92" s="47">
        <f t="shared" si="33"/>
        <v>0</v>
      </c>
      <c r="K92" s="47">
        <f t="shared" si="33"/>
        <v>0</v>
      </c>
      <c r="L92" s="47">
        <f t="shared" si="33"/>
        <v>0</v>
      </c>
      <c r="M92" s="47">
        <f t="shared" si="33"/>
        <v>0</v>
      </c>
      <c r="N92" s="169">
        <f>SUM(C92:M92)</f>
        <v>0</v>
      </c>
      <c r="O92" s="165">
        <f ca="1">N92/$N$95</f>
        <v>0</v>
      </c>
      <c r="P92" s="160"/>
      <c r="Q92" s="160"/>
      <c r="R92" s="160"/>
      <c r="S92" s="160"/>
      <c r="T92" s="160"/>
      <c r="U92" s="160"/>
      <c r="V92" s="160"/>
      <c r="W92" s="160"/>
      <c r="X92" s="160"/>
    </row>
    <row r="93" spans="1:24" ht="12.75" customHeight="1">
      <c r="A93" s="156"/>
      <c r="B93" s="156"/>
      <c r="C93" s="155"/>
      <c r="D93" s="155"/>
      <c r="E93" s="155"/>
      <c r="F93" s="155"/>
      <c r="G93" s="155"/>
      <c r="H93" s="155"/>
      <c r="I93" s="155"/>
      <c r="J93" s="155"/>
      <c r="K93" s="155"/>
      <c r="L93" s="155"/>
      <c r="M93" s="155"/>
      <c r="N93" s="155"/>
      <c r="O93" s="165"/>
      <c r="P93" s="160"/>
      <c r="Q93" s="160"/>
      <c r="R93" s="160"/>
      <c r="S93" s="160"/>
      <c r="T93" s="160"/>
      <c r="U93" s="160"/>
      <c r="V93" s="160"/>
      <c r="W93" s="160"/>
      <c r="X93" s="160"/>
    </row>
    <row r="94" spans="1:24" ht="12.75" customHeight="1">
      <c r="A94" s="156" t="s">
        <v>126</v>
      </c>
      <c r="B94" s="156" t="s">
        <v>110</v>
      </c>
      <c r="C94" s="47">
        <f t="shared" ref="C94:M94" si="34">C49</f>
        <v>0</v>
      </c>
      <c r="D94" s="47">
        <f t="shared" si="34"/>
        <v>0</v>
      </c>
      <c r="E94" s="47">
        <f t="shared" si="34"/>
        <v>0</v>
      </c>
      <c r="F94" s="47">
        <f t="shared" si="34"/>
        <v>0</v>
      </c>
      <c r="G94" s="47">
        <f t="shared" si="34"/>
        <v>0</v>
      </c>
      <c r="H94" s="47">
        <f t="shared" si="34"/>
        <v>0</v>
      </c>
      <c r="I94" s="47">
        <f t="shared" si="34"/>
        <v>0</v>
      </c>
      <c r="J94" s="47">
        <f t="shared" si="34"/>
        <v>0</v>
      </c>
      <c r="K94" s="47">
        <f t="shared" si="34"/>
        <v>0.47226145859928537</v>
      </c>
      <c r="L94" s="47">
        <f t="shared" si="34"/>
        <v>1.0698875913772175</v>
      </c>
      <c r="M94" s="47">
        <f t="shared" si="34"/>
        <v>0</v>
      </c>
      <c r="N94" s="169">
        <f>SUM(C94:M94)</f>
        <v>1.5421490499765027</v>
      </c>
      <c r="O94" s="165">
        <f ca="1">N94/$N$95</f>
        <v>3.5576712108446401E-2</v>
      </c>
      <c r="P94" s="160"/>
      <c r="Q94" s="160"/>
      <c r="R94" s="160"/>
      <c r="S94" s="160"/>
      <c r="T94" s="160"/>
      <c r="U94" s="160"/>
      <c r="V94" s="160"/>
      <c r="W94" s="160"/>
      <c r="X94" s="160"/>
    </row>
    <row r="95" spans="1:24" ht="12.75" customHeight="1">
      <c r="A95" s="158" t="s">
        <v>78</v>
      </c>
      <c r="B95" s="174"/>
      <c r="C95" s="170">
        <f t="shared" ref="C95:N95" ca="1" si="35">SUM(C75:C94)</f>
        <v>0</v>
      </c>
      <c r="D95" s="170">
        <f t="shared" ca="1" si="35"/>
        <v>0</v>
      </c>
      <c r="E95" s="170">
        <f t="shared" ca="1" si="35"/>
        <v>0.22712386919461341</v>
      </c>
      <c r="F95" s="170">
        <f t="shared" ca="1" si="35"/>
        <v>2.410541124734555E-2</v>
      </c>
      <c r="G95" s="170">
        <f t="shared" ca="1" si="35"/>
        <v>0</v>
      </c>
      <c r="H95" s="170">
        <f t="shared" ca="1" si="35"/>
        <v>7.2655124159695568</v>
      </c>
      <c r="I95" s="170">
        <f t="shared" si="35"/>
        <v>3.5202614399999999E-2</v>
      </c>
      <c r="J95" s="170">
        <f t="shared" si="35"/>
        <v>22.523380455600005</v>
      </c>
      <c r="K95" s="170">
        <f t="shared" ca="1" si="35"/>
        <v>11.627058702391277</v>
      </c>
      <c r="L95" s="170">
        <f t="shared" si="35"/>
        <v>1.1370869874172174</v>
      </c>
      <c r="M95" s="170">
        <f t="shared" ca="1" si="35"/>
        <v>0.50767880466897108</v>
      </c>
      <c r="N95" s="170">
        <f t="shared" ca="1" si="35"/>
        <v>43.34714926088899</v>
      </c>
      <c r="O95" s="171">
        <f ca="1">N95/$N$95</f>
        <v>1</v>
      </c>
      <c r="P95" s="261">
        <f ca="1">SUM(P75:P94)</f>
        <v>0</v>
      </c>
      <c r="Q95" s="261">
        <f ca="1">SUM(Q75:Q94)</f>
        <v>0.22712386919461341</v>
      </c>
      <c r="R95" s="160"/>
      <c r="S95" s="160"/>
      <c r="T95" s="160"/>
      <c r="U95" s="160"/>
      <c r="V95" s="160"/>
      <c r="W95" s="160"/>
      <c r="X95" s="160"/>
    </row>
    <row r="96" spans="1:24" ht="12.75" customHeight="1">
      <c r="A96" s="159" t="s">
        <v>250</v>
      </c>
      <c r="B96" s="159"/>
      <c r="C96" s="171">
        <f t="shared" ref="C96:N96" ca="1" si="36">C95/$N$95</f>
        <v>0</v>
      </c>
      <c r="D96" s="171">
        <f t="shared" ca="1" si="36"/>
        <v>0</v>
      </c>
      <c r="E96" s="171">
        <f t="shared" ca="1" si="36"/>
        <v>5.2396495056144651E-3</v>
      </c>
      <c r="F96" s="171">
        <f t="shared" ca="1" si="36"/>
        <v>5.5610141977883738E-4</v>
      </c>
      <c r="G96" s="171">
        <f t="shared" ca="1" si="36"/>
        <v>0</v>
      </c>
      <c r="H96" s="171">
        <f t="shared" ca="1" si="36"/>
        <v>0.16761223148127621</v>
      </c>
      <c r="I96" s="171">
        <f t="shared" ca="1" si="36"/>
        <v>8.1210910060381769E-4</v>
      </c>
      <c r="J96" s="171">
        <f t="shared" ca="1" si="36"/>
        <v>0.51960465312357385</v>
      </c>
      <c r="K96" s="171">
        <f t="shared" ca="1" si="36"/>
        <v>0.26823121936837657</v>
      </c>
      <c r="L96" s="171">
        <f t="shared" ca="1" si="36"/>
        <v>2.6232105381914502E-2</v>
      </c>
      <c r="M96" s="171">
        <f t="shared" ca="1" si="36"/>
        <v>1.1711930618861631E-2</v>
      </c>
      <c r="N96" s="171">
        <f t="shared" ca="1" si="36"/>
        <v>1</v>
      </c>
      <c r="O96" s="159"/>
      <c r="P96" s="160"/>
      <c r="Q96" s="160"/>
      <c r="R96" s="160"/>
      <c r="S96" s="160"/>
      <c r="T96" s="160"/>
      <c r="U96" s="160"/>
      <c r="V96" s="160"/>
      <c r="W96" s="160"/>
      <c r="X96" s="160"/>
    </row>
    <row r="97" spans="1:24">
      <c r="A97" s="160"/>
      <c r="B97" s="160"/>
      <c r="C97" s="160"/>
      <c r="D97" s="160"/>
      <c r="E97" s="160"/>
      <c r="F97" s="160"/>
      <c r="G97" s="160"/>
      <c r="H97" s="160"/>
      <c r="I97" s="160"/>
      <c r="J97" s="160"/>
      <c r="K97" s="160"/>
      <c r="L97" s="160"/>
      <c r="M97" s="160"/>
      <c r="N97" s="160"/>
      <c r="O97" s="160"/>
      <c r="P97" s="160"/>
      <c r="Q97" s="160"/>
      <c r="R97" s="160"/>
      <c r="S97" s="160"/>
      <c r="T97" s="160"/>
      <c r="U97" s="160"/>
      <c r="V97" s="160"/>
      <c r="W97" s="160"/>
      <c r="X97" s="160"/>
    </row>
    <row r="98" spans="1:24" ht="18">
      <c r="B98" s="104" t="s">
        <v>277</v>
      </c>
      <c r="C98" s="111"/>
      <c r="D98" s="111"/>
      <c r="E98" s="111"/>
      <c r="F98" s="111"/>
      <c r="G98" s="111"/>
      <c r="H98" s="160"/>
      <c r="I98" s="160"/>
      <c r="J98" s="160"/>
      <c r="K98" s="160"/>
      <c r="L98" s="160"/>
      <c r="M98" s="160"/>
      <c r="N98" s="160"/>
      <c r="O98" s="160"/>
      <c r="P98" s="160"/>
      <c r="Q98" s="160"/>
      <c r="R98" s="167"/>
      <c r="S98" s="160"/>
      <c r="T98" s="160"/>
      <c r="U98" s="160"/>
      <c r="V98" s="160"/>
      <c r="W98" s="160"/>
      <c r="X98" s="160"/>
    </row>
    <row r="99" spans="1:24">
      <c r="A99" s="154"/>
      <c r="B99" s="152" t="s">
        <v>90</v>
      </c>
      <c r="C99" s="161"/>
      <c r="D99" s="161"/>
      <c r="E99" s="161"/>
      <c r="F99" s="161"/>
      <c r="G99" s="161"/>
      <c r="H99" s="161"/>
      <c r="I99" s="161"/>
      <c r="J99" s="161"/>
      <c r="K99" s="161"/>
      <c r="L99" s="161"/>
      <c r="M99" s="161"/>
      <c r="N99" s="160"/>
      <c r="O99" s="160"/>
      <c r="P99" s="160"/>
      <c r="Q99" s="160"/>
      <c r="R99" s="160"/>
      <c r="S99" s="160"/>
      <c r="T99" s="160"/>
      <c r="U99" s="160"/>
      <c r="V99" s="160"/>
      <c r="W99" s="160"/>
      <c r="X99" s="160"/>
    </row>
    <row r="100" spans="1:24">
      <c r="A100" s="152" t="s">
        <v>340</v>
      </c>
      <c r="B100" s="162" t="s">
        <v>341</v>
      </c>
      <c r="C100" s="163" t="s">
        <v>342</v>
      </c>
      <c r="D100" s="164" t="s">
        <v>124</v>
      </c>
      <c r="E100" s="164" t="s">
        <v>267</v>
      </c>
      <c r="F100" s="163" t="s">
        <v>346</v>
      </c>
      <c r="G100" s="164" t="s">
        <v>268</v>
      </c>
      <c r="H100" s="164" t="s">
        <v>239</v>
      </c>
      <c r="I100" s="164" t="s">
        <v>71</v>
      </c>
      <c r="J100" s="164" t="s">
        <v>85</v>
      </c>
      <c r="K100" s="164" t="s">
        <v>75</v>
      </c>
      <c r="L100" s="164" t="s">
        <v>86</v>
      </c>
      <c r="M100" s="164" t="s">
        <v>88</v>
      </c>
      <c r="N100" s="164" t="s">
        <v>74</v>
      </c>
      <c r="O100" s="164" t="s">
        <v>72</v>
      </c>
      <c r="P100" s="164" t="s">
        <v>73</v>
      </c>
      <c r="Q100" s="164" t="s">
        <v>89</v>
      </c>
      <c r="R100" s="164" t="s">
        <v>77</v>
      </c>
      <c r="S100" s="164" t="s">
        <v>240</v>
      </c>
      <c r="T100" s="164" t="s">
        <v>241</v>
      </c>
      <c r="U100" s="164" t="s">
        <v>242</v>
      </c>
      <c r="V100" s="164" t="s">
        <v>243</v>
      </c>
      <c r="W100" s="164" t="s">
        <v>33</v>
      </c>
      <c r="X100" s="164" t="s">
        <v>78</v>
      </c>
    </row>
    <row r="101" spans="1:24">
      <c r="A101" s="156" t="s">
        <v>34</v>
      </c>
      <c r="B101" s="50">
        <v>0</v>
      </c>
      <c r="C101" s="51">
        <v>0</v>
      </c>
      <c r="D101" s="51">
        <v>0</v>
      </c>
      <c r="E101" s="52">
        <v>0</v>
      </c>
      <c r="F101" s="52">
        <v>0</v>
      </c>
      <c r="G101" s="52">
        <v>0</v>
      </c>
      <c r="H101" s="52">
        <v>0</v>
      </c>
      <c r="I101" s="51">
        <v>0</v>
      </c>
      <c r="J101" s="51">
        <v>0</v>
      </c>
      <c r="K101" s="51">
        <v>0</v>
      </c>
      <c r="L101" s="51">
        <v>0</v>
      </c>
      <c r="M101" s="51">
        <v>0</v>
      </c>
      <c r="N101" s="51">
        <v>0</v>
      </c>
      <c r="O101" s="51">
        <v>0</v>
      </c>
      <c r="P101" s="51">
        <v>0</v>
      </c>
      <c r="Q101" s="51">
        <v>0</v>
      </c>
      <c r="R101" s="51">
        <v>0</v>
      </c>
      <c r="S101" s="51">
        <v>0</v>
      </c>
      <c r="T101" s="51">
        <v>0</v>
      </c>
      <c r="U101" s="51">
        <v>0</v>
      </c>
      <c r="V101" s="51">
        <v>0</v>
      </c>
      <c r="W101" s="51">
        <v>0</v>
      </c>
      <c r="X101" s="52">
        <v>0</v>
      </c>
    </row>
    <row r="102" spans="1:24">
      <c r="B102" s="43" t="s">
        <v>92</v>
      </c>
      <c r="C102" s="43" t="s">
        <v>187</v>
      </c>
      <c r="D102" s="39" t="s">
        <v>196</v>
      </c>
      <c r="E102" s="39" t="s">
        <v>125</v>
      </c>
      <c r="F102" s="39" t="s">
        <v>197</v>
      </c>
      <c r="G102" s="39" t="s">
        <v>198</v>
      </c>
      <c r="H102" s="39" t="s">
        <v>244</v>
      </c>
      <c r="I102" s="43" t="s">
        <v>91</v>
      </c>
      <c r="J102" s="43" t="s">
        <v>334</v>
      </c>
      <c r="K102" s="43" t="s">
        <v>96</v>
      </c>
      <c r="L102" s="43" t="s">
        <v>131</v>
      </c>
      <c r="M102" s="43" t="s">
        <v>133</v>
      </c>
      <c r="N102" s="43" t="s">
        <v>95</v>
      </c>
      <c r="O102" s="39" t="s">
        <v>94</v>
      </c>
      <c r="P102" s="39" t="s">
        <v>93</v>
      </c>
      <c r="Q102" s="43" t="s">
        <v>220</v>
      </c>
      <c r="R102" s="43" t="s">
        <v>60</v>
      </c>
      <c r="S102" s="43" t="s">
        <v>245</v>
      </c>
      <c r="T102" s="39" t="s">
        <v>214</v>
      </c>
      <c r="U102" s="43" t="s">
        <v>193</v>
      </c>
      <c r="V102" s="43" t="s">
        <v>246</v>
      </c>
      <c r="W102" s="43" t="s">
        <v>217</v>
      </c>
      <c r="X102" s="160"/>
    </row>
    <row r="103" spans="1:24">
      <c r="A103" s="160"/>
      <c r="B103" s="160"/>
      <c r="C103" s="160"/>
      <c r="D103" s="160"/>
      <c r="E103" s="160"/>
      <c r="F103" s="160"/>
      <c r="G103" s="160"/>
      <c r="H103" s="160"/>
      <c r="I103" s="160"/>
      <c r="J103" s="160"/>
      <c r="K103" s="160"/>
      <c r="L103" s="160"/>
      <c r="M103" s="160"/>
      <c r="N103" s="160"/>
      <c r="O103" s="160"/>
      <c r="P103" s="160"/>
      <c r="Q103" s="160"/>
      <c r="R103" s="160"/>
      <c r="S103" s="160"/>
      <c r="T103" s="160"/>
      <c r="U103" s="160"/>
      <c r="V103" s="160"/>
      <c r="W103" s="160"/>
      <c r="X103" s="160"/>
    </row>
    <row r="104" spans="1:24">
      <c r="A104" s="160"/>
      <c r="B104" s="160"/>
      <c r="C104" s="160"/>
      <c r="D104" s="160"/>
      <c r="E104" s="160"/>
      <c r="F104" s="160"/>
      <c r="G104" s="160"/>
      <c r="H104" s="160"/>
      <c r="I104" s="160"/>
      <c r="J104" s="160"/>
      <c r="K104" s="160"/>
      <c r="L104" s="160"/>
      <c r="M104" s="160"/>
      <c r="N104" s="160"/>
      <c r="O104" s="160"/>
      <c r="P104" s="160"/>
      <c r="Q104" s="160"/>
      <c r="R104" s="160"/>
      <c r="S104" s="160"/>
      <c r="T104" s="160"/>
      <c r="U104" s="160"/>
      <c r="V104" s="160"/>
      <c r="W104" s="160"/>
      <c r="X104" s="160"/>
    </row>
    <row r="105" spans="1:24">
      <c r="A105" s="160"/>
      <c r="B105" s="160"/>
      <c r="C105" s="160"/>
      <c r="D105" s="160"/>
      <c r="E105" s="160"/>
      <c r="F105" s="160"/>
      <c r="G105" s="160"/>
      <c r="H105" s="160"/>
      <c r="I105" s="160"/>
      <c r="J105" s="160"/>
      <c r="K105" s="172"/>
      <c r="L105" s="173"/>
      <c r="M105" s="173"/>
      <c r="N105" s="173"/>
      <c r="O105" s="173"/>
      <c r="P105" s="172"/>
      <c r="Q105" s="160"/>
      <c r="R105" s="160"/>
      <c r="S105" s="160"/>
      <c r="T105" s="160"/>
      <c r="U105" s="160"/>
      <c r="V105" s="160"/>
      <c r="W105" s="160"/>
      <c r="X105" s="160"/>
    </row>
    <row r="107" spans="1:24">
      <c r="H107" s="227"/>
      <c r="I107" s="227"/>
      <c r="J107" s="227"/>
      <c r="K107" s="227"/>
      <c r="L107" s="227"/>
      <c r="M107" s="227"/>
    </row>
  </sheetData>
  <phoneticPr fontId="0" type="noConversion"/>
  <pageMargins left="0.75" right="0.75" top="1" bottom="1" header="0.5" footer="0.5"/>
  <pageSetup orientation="landscape" horizontalDpi="300" verticalDpi="300" r:id="rId1"/>
  <headerFooter alignWithMargins="0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2"/>
  <dimension ref="A1:AB107"/>
  <sheetViews>
    <sheetView topLeftCell="A71" zoomScale="75" workbookViewId="0">
      <selection activeCell="B101" sqref="B101:X101"/>
    </sheetView>
  </sheetViews>
  <sheetFormatPr defaultRowHeight="12.75"/>
  <cols>
    <col min="1" max="1" width="17.85546875" style="22" customWidth="1"/>
    <col min="2" max="2" width="28.42578125" style="22" customWidth="1"/>
    <col min="3" max="3" width="16.140625" style="22" customWidth="1"/>
    <col min="4" max="4" width="10.85546875" style="22" customWidth="1"/>
    <col min="5" max="5" width="14.140625" style="22" customWidth="1"/>
    <col min="6" max="6" width="12.7109375" style="22" customWidth="1"/>
    <col min="7" max="7" width="17.42578125" style="22" customWidth="1"/>
    <col min="8" max="8" width="15" style="22" customWidth="1"/>
    <col min="9" max="9" width="11.7109375" style="22" customWidth="1"/>
    <col min="10" max="10" width="11.140625" style="22" bestFit="1" customWidth="1"/>
    <col min="11" max="11" width="11.7109375" style="22" customWidth="1"/>
    <col min="12" max="12" width="10.5703125" style="22" bestFit="1" customWidth="1"/>
    <col min="13" max="13" width="12.140625" style="22" customWidth="1"/>
    <col min="14" max="14" width="14" style="22" customWidth="1"/>
    <col min="15" max="15" width="15.7109375" style="22" customWidth="1"/>
    <col min="16" max="16" width="12.7109375" style="22" bestFit="1" customWidth="1"/>
    <col min="17" max="17" width="10.28515625" style="22" bestFit="1" customWidth="1"/>
    <col min="18" max="18" width="15" style="22" customWidth="1"/>
    <col min="19" max="19" width="21.28515625" style="22" customWidth="1"/>
    <col min="20" max="20" width="12.5703125" style="22" bestFit="1" customWidth="1"/>
    <col min="21" max="21" width="16.7109375" style="22" customWidth="1"/>
    <col min="22" max="22" width="13.85546875" style="22" customWidth="1"/>
    <col min="23" max="23" width="20.140625" style="22" customWidth="1"/>
    <col min="24" max="24" width="23.28515625" style="22" customWidth="1"/>
    <col min="29" max="29" width="10.7109375" customWidth="1"/>
    <col min="31" max="31" width="11.5703125" customWidth="1"/>
    <col min="32" max="32" width="11" customWidth="1"/>
  </cols>
  <sheetData>
    <row r="1" spans="1:24" ht="15.75" customHeight="1">
      <c r="A1" s="155" t="s">
        <v>58</v>
      </c>
      <c r="B1" s="161"/>
      <c r="C1" s="214" t="s">
        <v>336</v>
      </c>
      <c r="D1" s="38" t="s">
        <v>247</v>
      </c>
      <c r="E1" s="161" t="s">
        <v>65</v>
      </c>
      <c r="F1" s="214" t="s">
        <v>339</v>
      </c>
      <c r="G1" s="58" t="s">
        <v>345</v>
      </c>
      <c r="H1" s="161"/>
      <c r="I1" s="24" t="s">
        <v>278</v>
      </c>
      <c r="J1" s="24"/>
      <c r="K1" s="161"/>
      <c r="L1" s="161"/>
      <c r="M1" s="161"/>
      <c r="N1" s="224" t="s">
        <v>365</v>
      </c>
      <c r="O1" s="224" t="str">
        <f ca="1">MID(CELL("filename",N1),FIND("VT_",CELL("filename",N1))+3,3)</f>
        <v>FI_</v>
      </c>
      <c r="P1" s="224" t="s">
        <v>366</v>
      </c>
      <c r="Q1" s="225">
        <v>1.0000000000000001E-9</v>
      </c>
      <c r="R1" s="160"/>
      <c r="S1" s="160"/>
      <c r="T1" s="160"/>
      <c r="U1" s="160"/>
      <c r="V1" s="160"/>
      <c r="W1" s="160"/>
      <c r="X1" s="160"/>
    </row>
    <row r="2" spans="1:24" ht="12.75" customHeight="1">
      <c r="A2" s="161"/>
      <c r="B2" s="161"/>
      <c r="C2" s="214" t="s">
        <v>337</v>
      </c>
      <c r="D2" s="37">
        <v>2017</v>
      </c>
      <c r="E2" s="161"/>
      <c r="F2" s="160"/>
      <c r="G2" s="160"/>
      <c r="H2" s="161"/>
      <c r="I2" s="25" t="s">
        <v>279</v>
      </c>
      <c r="J2" s="25"/>
      <c r="K2" s="161"/>
      <c r="L2" s="161"/>
      <c r="M2" s="161"/>
      <c r="N2" s="161"/>
      <c r="O2" s="160"/>
      <c r="P2" s="160"/>
      <c r="Q2" s="160"/>
      <c r="R2" s="160"/>
      <c r="S2" s="160"/>
      <c r="T2" s="160"/>
      <c r="U2" s="160"/>
      <c r="V2" s="160"/>
      <c r="W2" s="160"/>
      <c r="X2" s="160"/>
    </row>
    <row r="3" spans="1:24" ht="12.75" customHeight="1">
      <c r="A3" s="161"/>
      <c r="B3" s="161"/>
      <c r="C3" s="214" t="s">
        <v>338</v>
      </c>
      <c r="D3" s="37">
        <v>4.1868000000000002E-2</v>
      </c>
      <c r="E3" s="161"/>
      <c r="F3" s="161"/>
      <c r="G3" s="161"/>
      <c r="H3" s="161"/>
      <c r="I3" s="27" t="s">
        <v>280</v>
      </c>
      <c r="J3" s="27"/>
      <c r="K3" s="161"/>
      <c r="L3" s="161"/>
      <c r="M3" s="161"/>
      <c r="N3" s="161"/>
      <c r="O3" s="160"/>
      <c r="P3" s="160"/>
      <c r="Q3" s="160"/>
      <c r="R3" s="160"/>
      <c r="S3" s="160"/>
      <c r="T3" s="160"/>
      <c r="U3" s="160"/>
      <c r="V3" s="160"/>
      <c r="W3" s="160"/>
      <c r="X3" s="160"/>
    </row>
    <row r="4" spans="1:24" ht="12.75" customHeight="1">
      <c r="A4" s="161"/>
      <c r="B4" s="161"/>
      <c r="C4" s="154" t="s">
        <v>69</v>
      </c>
      <c r="D4" s="161">
        <v>1</v>
      </c>
      <c r="E4" s="161"/>
      <c r="F4" s="161"/>
      <c r="G4" s="161"/>
      <c r="H4" s="161"/>
      <c r="I4" s="62" t="s">
        <v>281</v>
      </c>
      <c r="J4" s="62"/>
      <c r="K4" s="161"/>
      <c r="L4" s="161"/>
      <c r="M4" s="161"/>
      <c r="N4" s="161"/>
      <c r="O4" s="160"/>
      <c r="P4" s="160"/>
      <c r="Q4" s="160"/>
      <c r="R4" s="160"/>
      <c r="S4" s="160"/>
      <c r="T4" s="160"/>
      <c r="U4" s="160"/>
      <c r="V4" s="160"/>
      <c r="W4" s="160"/>
      <c r="X4" s="160"/>
    </row>
    <row r="5" spans="1:24" ht="12.75" customHeight="1">
      <c r="A5" s="161"/>
      <c r="B5" s="161"/>
      <c r="C5" s="154" t="s">
        <v>70</v>
      </c>
      <c r="D5" s="161">
        <v>1</v>
      </c>
      <c r="E5" s="161"/>
      <c r="F5" s="161"/>
      <c r="G5" s="161"/>
      <c r="H5" s="161"/>
      <c r="I5" s="17" t="s">
        <v>282</v>
      </c>
      <c r="J5" s="17"/>
      <c r="K5" s="161"/>
      <c r="L5" s="161"/>
      <c r="M5" s="161"/>
      <c r="N5" s="161"/>
      <c r="O5" s="160"/>
      <c r="P5" s="160"/>
      <c r="Q5" s="160"/>
      <c r="R5" s="160"/>
      <c r="S5" s="160"/>
      <c r="T5" s="160"/>
      <c r="U5" s="160"/>
      <c r="V5" s="160"/>
      <c r="W5" s="160"/>
      <c r="X5" s="160"/>
    </row>
    <row r="6" spans="1:24" ht="12.75" customHeight="1">
      <c r="A6" s="161"/>
      <c r="B6" s="161"/>
      <c r="C6" s="154" t="s">
        <v>117</v>
      </c>
      <c r="D6" s="161">
        <v>1</v>
      </c>
      <c r="E6" s="161"/>
      <c r="F6" s="161"/>
      <c r="G6" s="161"/>
      <c r="H6" s="161"/>
      <c r="I6" s="23" t="s">
        <v>283</v>
      </c>
      <c r="J6" s="23"/>
      <c r="K6" s="161"/>
      <c r="L6" s="161"/>
      <c r="M6" s="161"/>
      <c r="N6" s="161"/>
      <c r="O6" s="160"/>
      <c r="P6" s="160"/>
      <c r="Q6" s="160"/>
      <c r="R6" s="160"/>
      <c r="S6" s="160"/>
      <c r="T6" s="160"/>
      <c r="U6" s="160"/>
      <c r="V6" s="160"/>
      <c r="W6" s="160"/>
      <c r="X6" s="160"/>
    </row>
    <row r="7" spans="1:24" ht="12.75" customHeight="1">
      <c r="A7" s="155"/>
      <c r="B7" s="160"/>
      <c r="C7" s="161"/>
      <c r="D7" s="161"/>
      <c r="E7" s="161"/>
      <c r="F7" s="161"/>
      <c r="G7" s="161"/>
      <c r="H7" s="161"/>
      <c r="I7" s="194" t="s">
        <v>284</v>
      </c>
      <c r="J7" s="194"/>
      <c r="K7" s="161"/>
      <c r="L7" s="161"/>
      <c r="M7" s="161"/>
      <c r="N7" s="161"/>
      <c r="O7" s="160"/>
      <c r="P7" s="160"/>
      <c r="Q7" s="160"/>
      <c r="R7" s="160"/>
      <c r="S7" s="160"/>
      <c r="T7" s="160"/>
      <c r="U7" s="160"/>
      <c r="V7" s="160"/>
      <c r="W7" s="160"/>
      <c r="X7" s="160"/>
    </row>
    <row r="8" spans="1:24" ht="18">
      <c r="A8" s="154"/>
      <c r="B8" s="100" t="s">
        <v>236</v>
      </c>
      <c r="C8" s="101"/>
      <c r="D8" s="161"/>
      <c r="E8" s="161"/>
      <c r="F8" s="161"/>
      <c r="G8" s="161"/>
      <c r="H8" s="161"/>
      <c r="I8" s="161"/>
      <c r="J8" s="161"/>
      <c r="K8" s="161"/>
      <c r="L8" s="161"/>
      <c r="M8" s="161"/>
      <c r="N8" s="161"/>
      <c r="O8" s="160"/>
      <c r="P8" s="160"/>
      <c r="Q8" s="160"/>
      <c r="R8" s="160"/>
      <c r="S8" s="160"/>
      <c r="T8" s="160"/>
      <c r="U8" s="160"/>
      <c r="V8" s="160"/>
      <c r="W8" s="160"/>
      <c r="X8" s="160"/>
    </row>
    <row r="9" spans="1:24" s="16" customFormat="1" ht="12.75" customHeight="1">
      <c r="A9" s="152" t="s">
        <v>340</v>
      </c>
      <c r="B9" s="162" t="s">
        <v>341</v>
      </c>
      <c r="C9" s="163" t="s">
        <v>342</v>
      </c>
      <c r="D9" s="164" t="s">
        <v>124</v>
      </c>
      <c r="E9" s="164" t="s">
        <v>267</v>
      </c>
      <c r="F9" s="164" t="s">
        <v>461</v>
      </c>
      <c r="G9" s="266" t="s">
        <v>462</v>
      </c>
      <c r="H9" s="164" t="s">
        <v>268</v>
      </c>
      <c r="I9" s="164" t="s">
        <v>71</v>
      </c>
      <c r="J9" s="164" t="s">
        <v>85</v>
      </c>
      <c r="K9" s="164" t="s">
        <v>75</v>
      </c>
      <c r="L9" s="164" t="s">
        <v>86</v>
      </c>
      <c r="M9" s="164" t="s">
        <v>87</v>
      </c>
      <c r="N9" s="164" t="s">
        <v>88</v>
      </c>
      <c r="O9" s="164" t="s">
        <v>74</v>
      </c>
      <c r="P9" s="164" t="s">
        <v>72</v>
      </c>
      <c r="Q9" s="164" t="s">
        <v>73</v>
      </c>
      <c r="R9" s="164" t="s">
        <v>89</v>
      </c>
      <c r="S9" s="164" t="s">
        <v>77</v>
      </c>
      <c r="T9" s="164" t="s">
        <v>78</v>
      </c>
      <c r="U9" s="155"/>
      <c r="V9" s="164"/>
      <c r="W9" s="187"/>
      <c r="X9" s="187"/>
    </row>
    <row r="10" spans="1:24" ht="12.75" customHeight="1">
      <c r="A10" s="156" t="s">
        <v>347</v>
      </c>
      <c r="B10" s="50">
        <v>0</v>
      </c>
      <c r="C10" s="51">
        <v>0</v>
      </c>
      <c r="D10" s="51">
        <v>0</v>
      </c>
      <c r="E10" s="52">
        <v>0</v>
      </c>
      <c r="F10" s="52">
        <v>0</v>
      </c>
      <c r="G10" s="52">
        <v>0</v>
      </c>
      <c r="H10" s="52">
        <v>0</v>
      </c>
      <c r="I10" s="51">
        <v>0</v>
      </c>
      <c r="J10" s="51">
        <v>0</v>
      </c>
      <c r="K10" s="51">
        <v>0</v>
      </c>
      <c r="L10" s="51">
        <v>0</v>
      </c>
      <c r="M10" s="51">
        <v>0</v>
      </c>
      <c r="N10" s="51">
        <v>25.464600720000004</v>
      </c>
      <c r="O10" s="51">
        <v>0</v>
      </c>
      <c r="P10" s="51">
        <v>0</v>
      </c>
      <c r="Q10" s="51">
        <v>0</v>
      </c>
      <c r="R10" s="51">
        <v>0</v>
      </c>
      <c r="S10" s="51">
        <v>0</v>
      </c>
      <c r="T10" s="52">
        <v>25.464600720000004</v>
      </c>
      <c r="U10" s="165">
        <f t="shared" ref="U10:U17" si="0">T10/$T$17</f>
        <v>1.1790193714784674</v>
      </c>
      <c r="V10" s="156" t="str">
        <f t="shared" ref="V10:V17" si="1">A10</f>
        <v>INTLAIR</v>
      </c>
      <c r="W10" s="160"/>
      <c r="X10" s="160"/>
    </row>
    <row r="11" spans="1:24" ht="12.75" customHeight="1">
      <c r="A11" s="156" t="s">
        <v>80</v>
      </c>
      <c r="B11" s="50">
        <v>0</v>
      </c>
      <c r="C11" s="51">
        <v>0</v>
      </c>
      <c r="D11" s="51">
        <v>0</v>
      </c>
      <c r="E11" s="52">
        <v>0</v>
      </c>
      <c r="F11" s="52">
        <v>0</v>
      </c>
      <c r="G11" s="52">
        <v>0</v>
      </c>
      <c r="H11" s="52">
        <v>0</v>
      </c>
      <c r="I11" s="51">
        <v>0</v>
      </c>
      <c r="J11" s="51">
        <v>0</v>
      </c>
      <c r="K11" s="51">
        <v>0</v>
      </c>
      <c r="L11" s="51">
        <v>1.759964E-2</v>
      </c>
      <c r="M11" s="51">
        <v>0</v>
      </c>
      <c r="N11" s="51">
        <v>1.8919998400000002</v>
      </c>
      <c r="O11" s="51">
        <v>0</v>
      </c>
      <c r="P11" s="51">
        <v>0</v>
      </c>
      <c r="Q11" s="51">
        <v>0</v>
      </c>
      <c r="R11" s="51">
        <v>0</v>
      </c>
      <c r="S11" s="51">
        <v>0</v>
      </c>
      <c r="T11" s="52">
        <v>1.9095994800000002</v>
      </c>
      <c r="U11" s="165">
        <f t="shared" si="0"/>
        <v>8.8415082704081285E-2</v>
      </c>
      <c r="V11" s="156" t="str">
        <f t="shared" si="1"/>
        <v>DOMESAIR</v>
      </c>
      <c r="W11" s="160"/>
      <c r="X11" s="160"/>
    </row>
    <row r="12" spans="1:24" ht="12.75" customHeight="1">
      <c r="A12" s="156" t="s">
        <v>76</v>
      </c>
      <c r="B12" s="50">
        <v>0</v>
      </c>
      <c r="C12" s="51">
        <v>0</v>
      </c>
      <c r="D12" s="51">
        <v>0</v>
      </c>
      <c r="E12" s="52">
        <v>0</v>
      </c>
      <c r="F12" s="52">
        <v>1.9306280452599751</v>
      </c>
      <c r="G12" s="52">
        <v>1.6608203851848566E-3</v>
      </c>
      <c r="H12" s="52">
        <v>0</v>
      </c>
      <c r="I12" s="51">
        <v>2.2526798925830416E-2</v>
      </c>
      <c r="J12" s="51">
        <v>0</v>
      </c>
      <c r="K12" s="51">
        <v>6.9288630145250094</v>
      </c>
      <c r="L12" s="51">
        <v>0</v>
      </c>
      <c r="M12" s="51">
        <v>0</v>
      </c>
      <c r="N12" s="51">
        <v>0</v>
      </c>
      <c r="O12" s="51">
        <v>0</v>
      </c>
      <c r="P12" s="51">
        <v>9.9170542575050611</v>
      </c>
      <c r="Q12" s="51">
        <v>0</v>
      </c>
      <c r="R12" s="51">
        <v>0</v>
      </c>
      <c r="S12" s="51">
        <v>8.6823545419721145E-3</v>
      </c>
      <c r="T12" s="52">
        <v>18.809415291143033</v>
      </c>
      <c r="U12" s="165">
        <f t="shared" si="0"/>
        <v>0.87088210171790703</v>
      </c>
      <c r="V12" s="156" t="str">
        <f t="shared" si="1"/>
        <v>ROAD</v>
      </c>
      <c r="W12" s="160"/>
      <c r="X12" s="160"/>
    </row>
    <row r="13" spans="1:24" ht="12.75" customHeight="1">
      <c r="A13" s="156" t="s">
        <v>81</v>
      </c>
      <c r="B13" s="50">
        <v>0</v>
      </c>
      <c r="C13" s="51">
        <v>0</v>
      </c>
      <c r="D13" s="51">
        <v>0</v>
      </c>
      <c r="E13" s="52">
        <v>0</v>
      </c>
      <c r="F13" s="52">
        <v>0</v>
      </c>
      <c r="G13" s="52">
        <v>0</v>
      </c>
      <c r="H13" s="52">
        <v>0</v>
      </c>
      <c r="I13" s="51">
        <v>0</v>
      </c>
      <c r="J13" s="51">
        <v>0</v>
      </c>
      <c r="K13" s="51">
        <v>0</v>
      </c>
      <c r="L13" s="51">
        <v>0</v>
      </c>
      <c r="M13" s="51">
        <v>0</v>
      </c>
      <c r="N13" s="51">
        <v>0</v>
      </c>
      <c r="O13" s="51">
        <v>0</v>
      </c>
      <c r="P13" s="51">
        <v>4.2600060000000002E-2</v>
      </c>
      <c r="Q13" s="51">
        <v>0</v>
      </c>
      <c r="R13" s="51">
        <v>0</v>
      </c>
      <c r="S13" s="51">
        <v>0.6750744175765111</v>
      </c>
      <c r="T13" s="52">
        <v>0.71767447757651115</v>
      </c>
      <c r="U13" s="165">
        <f t="shared" si="0"/>
        <v>3.3228563871171332E-2</v>
      </c>
      <c r="V13" s="156" t="str">
        <f t="shared" si="1"/>
        <v>RAIL</v>
      </c>
      <c r="W13" s="160"/>
      <c r="X13" s="160"/>
    </row>
    <row r="14" spans="1:24" ht="12.75" customHeight="1">
      <c r="A14" s="156" t="s">
        <v>348</v>
      </c>
      <c r="B14" s="50">
        <v>0</v>
      </c>
      <c r="C14" s="51">
        <v>0</v>
      </c>
      <c r="D14" s="51">
        <v>0</v>
      </c>
      <c r="E14" s="52">
        <v>0</v>
      </c>
      <c r="F14" s="52">
        <v>2.513838E-3</v>
      </c>
      <c r="G14" s="52">
        <v>0</v>
      </c>
      <c r="H14" s="52">
        <v>0</v>
      </c>
      <c r="I14" s="51">
        <v>0</v>
      </c>
      <c r="J14" s="51">
        <v>0</v>
      </c>
      <c r="K14" s="51">
        <v>4.0920023999999992E-2</v>
      </c>
      <c r="L14" s="51">
        <v>0</v>
      </c>
      <c r="M14" s="51">
        <v>0</v>
      </c>
      <c r="N14" s="51">
        <v>0</v>
      </c>
      <c r="O14" s="51">
        <v>0</v>
      </c>
      <c r="P14" s="51">
        <v>0.10479593999999999</v>
      </c>
      <c r="Q14" s="51">
        <v>1.3199975999999999E-2</v>
      </c>
      <c r="R14" s="51">
        <v>0</v>
      </c>
      <c r="S14" s="51">
        <v>0</v>
      </c>
      <c r="T14" s="52">
        <v>0.16142977799999997</v>
      </c>
      <c r="U14" s="165">
        <f t="shared" si="0"/>
        <v>7.474251706840367E-3</v>
      </c>
      <c r="V14" s="156" t="str">
        <f t="shared" si="1"/>
        <v>DOMESNAV</v>
      </c>
      <c r="W14" s="160"/>
      <c r="X14" s="160"/>
    </row>
    <row r="15" spans="1:24" ht="12.75" customHeight="1">
      <c r="A15" s="156" t="s">
        <v>83</v>
      </c>
      <c r="B15" s="50">
        <v>0</v>
      </c>
      <c r="C15" s="51">
        <v>0</v>
      </c>
      <c r="D15" s="51">
        <v>0</v>
      </c>
      <c r="E15" s="52">
        <v>0</v>
      </c>
      <c r="F15" s="52">
        <v>0</v>
      </c>
      <c r="G15" s="52">
        <v>0</v>
      </c>
      <c r="H15" s="52">
        <v>0</v>
      </c>
      <c r="I15" s="51">
        <v>0</v>
      </c>
      <c r="J15" s="51">
        <v>0</v>
      </c>
      <c r="K15" s="51">
        <v>0</v>
      </c>
      <c r="L15" s="51">
        <v>0</v>
      </c>
      <c r="M15" s="51">
        <v>0</v>
      </c>
      <c r="N15" s="51">
        <v>0</v>
      </c>
      <c r="O15" s="51">
        <v>0</v>
      </c>
      <c r="P15" s="51">
        <v>0</v>
      </c>
      <c r="Q15" s="51">
        <v>0</v>
      </c>
      <c r="R15" s="51">
        <v>0</v>
      </c>
      <c r="S15" s="51">
        <v>0</v>
      </c>
      <c r="T15" s="52">
        <v>0</v>
      </c>
      <c r="U15" s="165">
        <f t="shared" si="0"/>
        <v>0</v>
      </c>
      <c r="V15" s="156" t="str">
        <f t="shared" si="1"/>
        <v>TRNONSPE</v>
      </c>
      <c r="W15" s="160"/>
      <c r="X15" s="160"/>
    </row>
    <row r="16" spans="1:24" ht="12.75" customHeight="1">
      <c r="A16" s="156" t="s">
        <v>126</v>
      </c>
      <c r="B16" s="50">
        <v>0</v>
      </c>
      <c r="C16" s="51">
        <v>0</v>
      </c>
      <c r="D16" s="51">
        <v>0</v>
      </c>
      <c r="E16" s="52">
        <v>0</v>
      </c>
      <c r="F16" s="52">
        <v>0</v>
      </c>
      <c r="G16" s="52">
        <v>0</v>
      </c>
      <c r="H16" s="52">
        <v>0</v>
      </c>
      <c r="I16" s="51">
        <v>-1.4867363015273362E-2</v>
      </c>
      <c r="J16" s="51">
        <v>0</v>
      </c>
      <c r="K16" s="51">
        <v>0</v>
      </c>
      <c r="L16" s="51">
        <v>0</v>
      </c>
      <c r="M16" s="51">
        <v>0</v>
      </c>
      <c r="N16" s="51">
        <v>0</v>
      </c>
      <c r="O16" s="51">
        <v>0</v>
      </c>
      <c r="P16" s="51">
        <v>-0.22911705638957169</v>
      </c>
      <c r="Q16" s="51">
        <v>-0.88512086632001152</v>
      </c>
      <c r="R16" s="51">
        <v>0</v>
      </c>
      <c r="S16" s="51">
        <v>0</v>
      </c>
      <c r="T16" s="52">
        <v>-1.1291052857248567</v>
      </c>
      <c r="U16" s="165">
        <f t="shared" si="0"/>
        <v>-5.2277945330702819E-2</v>
      </c>
      <c r="V16" s="156" t="str">
        <f t="shared" si="1"/>
        <v>BUNKERS</v>
      </c>
      <c r="W16" s="160"/>
      <c r="X16" s="160"/>
    </row>
    <row r="17" spans="1:28" ht="12.75" customHeight="1">
      <c r="A17" s="156" t="s">
        <v>84</v>
      </c>
      <c r="B17" s="50">
        <v>0</v>
      </c>
      <c r="C17" s="51">
        <v>0</v>
      </c>
      <c r="D17" s="51">
        <v>0</v>
      </c>
      <c r="E17" s="52">
        <v>0</v>
      </c>
      <c r="F17" s="52">
        <v>1.9331418832599752</v>
      </c>
      <c r="G17" s="52">
        <v>1.6608203851848566E-3</v>
      </c>
      <c r="H17" s="52">
        <v>0</v>
      </c>
      <c r="I17" s="51">
        <v>2.2526798925830416E-2</v>
      </c>
      <c r="J17" s="51">
        <v>0</v>
      </c>
      <c r="K17" s="51">
        <v>6.9697830385250095</v>
      </c>
      <c r="L17" s="51">
        <v>1.759964E-2</v>
      </c>
      <c r="M17" s="51">
        <v>0</v>
      </c>
      <c r="N17" s="51">
        <v>1.8919998400000002</v>
      </c>
      <c r="O17" s="51">
        <v>0</v>
      </c>
      <c r="P17" s="51">
        <v>10.064450257505062</v>
      </c>
      <c r="Q17" s="51">
        <v>1.3199975999999999E-2</v>
      </c>
      <c r="R17" s="51">
        <v>0</v>
      </c>
      <c r="S17" s="51">
        <v>0.68375677211848318</v>
      </c>
      <c r="T17" s="52">
        <v>21.598119026719544</v>
      </c>
      <c r="U17" s="165">
        <f t="shared" si="0"/>
        <v>1</v>
      </c>
      <c r="V17" s="156" t="str">
        <f t="shared" si="1"/>
        <v>TOTTRANS</v>
      </c>
      <c r="W17" s="160"/>
      <c r="X17" s="160"/>
    </row>
    <row r="18" spans="1:28" s="16" customFormat="1" ht="12.75" customHeight="1">
      <c r="A18" s="152"/>
      <c r="B18" s="43" t="s">
        <v>92</v>
      </c>
      <c r="C18" s="43" t="s">
        <v>187</v>
      </c>
      <c r="D18" s="39" t="s">
        <v>196</v>
      </c>
      <c r="E18" s="39" t="s">
        <v>125</v>
      </c>
      <c r="F18" s="39" t="s">
        <v>49</v>
      </c>
      <c r="G18" s="39" t="s">
        <v>198</v>
      </c>
      <c r="H18" s="39" t="s">
        <v>199</v>
      </c>
      <c r="I18" s="43" t="s">
        <v>91</v>
      </c>
      <c r="J18" s="43" t="s">
        <v>334</v>
      </c>
      <c r="K18" s="43" t="s">
        <v>96</v>
      </c>
      <c r="L18" s="43" t="s">
        <v>131</v>
      </c>
      <c r="M18" s="43" t="s">
        <v>132</v>
      </c>
      <c r="N18" s="43" t="s">
        <v>133</v>
      </c>
      <c r="O18" s="43" t="s">
        <v>95</v>
      </c>
      <c r="P18" s="39" t="s">
        <v>94</v>
      </c>
      <c r="Q18" s="39" t="s">
        <v>93</v>
      </c>
      <c r="R18" s="43" t="s">
        <v>220</v>
      </c>
      <c r="S18" s="43" t="s">
        <v>60</v>
      </c>
      <c r="T18" s="155"/>
      <c r="U18" s="155"/>
      <c r="V18" s="155"/>
      <c r="W18" s="187"/>
      <c r="X18" s="187"/>
    </row>
    <row r="19" spans="1:28" s="16" customFormat="1" ht="12.75" customHeight="1">
      <c r="A19" s="152"/>
      <c r="B19" s="152"/>
      <c r="C19" s="152"/>
      <c r="D19" s="152"/>
      <c r="E19" s="152"/>
      <c r="F19" s="152"/>
      <c r="G19" s="152"/>
      <c r="H19" s="152"/>
      <c r="I19" s="152"/>
      <c r="J19" s="152"/>
      <c r="K19" s="152"/>
      <c r="L19" s="152"/>
      <c r="M19" s="152"/>
      <c r="N19" s="152"/>
      <c r="O19" s="152"/>
      <c r="P19" s="152"/>
      <c r="Q19" s="152"/>
      <c r="R19" s="152"/>
      <c r="S19" s="152"/>
      <c r="T19" s="155"/>
      <c r="U19" s="155"/>
      <c r="V19" s="155"/>
      <c r="W19" s="187"/>
      <c r="X19" s="187"/>
    </row>
    <row r="20" spans="1:28" s="16" customFormat="1" ht="18">
      <c r="A20" s="155"/>
      <c r="B20" s="100" t="s">
        <v>237</v>
      </c>
      <c r="C20" s="101"/>
      <c r="D20" s="101"/>
      <c r="E20" s="101"/>
      <c r="F20" s="101"/>
      <c r="G20" s="155"/>
      <c r="H20" s="155"/>
      <c r="I20" s="155"/>
      <c r="J20" s="155"/>
      <c r="K20" s="155"/>
      <c r="L20" s="155"/>
      <c r="M20" s="155"/>
      <c r="N20" s="155"/>
      <c r="O20" s="160"/>
      <c r="P20" s="160"/>
      <c r="Q20" s="160"/>
      <c r="R20" s="160"/>
      <c r="S20" s="160"/>
      <c r="T20" s="160"/>
      <c r="U20" s="160"/>
      <c r="V20" s="160"/>
      <c r="W20" s="160"/>
      <c r="X20" s="160"/>
    </row>
    <row r="21" spans="1:28" s="16" customFormat="1" ht="12.75" customHeight="1">
      <c r="A21" s="155" t="s">
        <v>65</v>
      </c>
      <c r="B21" s="26"/>
      <c r="C21" s="44" t="s">
        <v>97</v>
      </c>
      <c r="D21" s="44" t="s">
        <v>98</v>
      </c>
      <c r="E21" s="76" t="s">
        <v>160</v>
      </c>
      <c r="F21" s="44" t="s">
        <v>118</v>
      </c>
      <c r="G21" s="44" t="s">
        <v>85</v>
      </c>
      <c r="H21" s="44" t="s">
        <v>112</v>
      </c>
      <c r="I21" s="44" t="s">
        <v>113</v>
      </c>
      <c r="J21" s="45" t="s">
        <v>106</v>
      </c>
      <c r="K21" s="45" t="s">
        <v>57</v>
      </c>
      <c r="L21" s="44" t="s">
        <v>68</v>
      </c>
      <c r="M21" s="44" t="s">
        <v>62</v>
      </c>
      <c r="N21" s="44" t="s">
        <v>481</v>
      </c>
      <c r="O21" s="160"/>
      <c r="P21" s="160"/>
      <c r="Q21" s="160"/>
      <c r="R21" s="160"/>
      <c r="S21" s="160"/>
      <c r="T21" s="160"/>
      <c r="U21" s="160"/>
      <c r="V21" s="160"/>
      <c r="W21" s="160"/>
      <c r="X21" s="160"/>
      <c r="Y21"/>
      <c r="Z21"/>
      <c r="AA21"/>
      <c r="AB21"/>
    </row>
    <row r="22" spans="1:28" s="16" customFormat="1" ht="12.75" customHeight="1">
      <c r="A22" s="155"/>
      <c r="B22" s="40" t="s">
        <v>79</v>
      </c>
      <c r="C22" s="46">
        <f t="shared" ref="C22:C27" si="2">$B10+$C10</f>
        <v>0</v>
      </c>
      <c r="D22" s="46">
        <f t="shared" ref="D22:D27" si="3">SUM($D10:$F10,$H10)</f>
        <v>0</v>
      </c>
      <c r="E22" s="46"/>
      <c r="F22" s="46">
        <f t="shared" ref="F22:F27" si="4">$G10+$I10</f>
        <v>0</v>
      </c>
      <c r="G22" s="46">
        <f t="shared" ref="G22:G27" si="5">$J10</f>
        <v>0</v>
      </c>
      <c r="H22" s="46">
        <f t="shared" ref="H22:H27" si="6">$K10</f>
        <v>0</v>
      </c>
      <c r="I22" s="46">
        <f t="shared" ref="I22:I27" si="7">$L10+$M10</f>
        <v>0</v>
      </c>
      <c r="J22" s="49">
        <f t="shared" ref="J22:J27" si="8">$N10+$O10</f>
        <v>25.464600720000004</v>
      </c>
      <c r="K22" s="49">
        <f t="shared" ref="K22:K27" si="9">$P10</f>
        <v>0</v>
      </c>
      <c r="L22" s="46">
        <f t="shared" ref="L22:L27" si="10">$Q10+$R10</f>
        <v>0</v>
      </c>
      <c r="M22" s="46">
        <f t="shared" ref="M22:M27" si="11">$S10</f>
        <v>0</v>
      </c>
      <c r="N22" s="49">
        <v>0</v>
      </c>
      <c r="O22" s="160"/>
      <c r="P22" s="160"/>
      <c r="Q22" s="160"/>
      <c r="R22" s="160"/>
      <c r="S22" s="160"/>
      <c r="T22" s="160"/>
      <c r="U22" s="160"/>
      <c r="V22" s="160"/>
      <c r="W22" s="160"/>
      <c r="X22" s="160"/>
      <c r="Y22"/>
      <c r="Z22"/>
      <c r="AA22"/>
      <c r="AB22"/>
    </row>
    <row r="23" spans="1:28" s="16" customFormat="1" ht="12.75" customHeight="1">
      <c r="A23" s="155"/>
      <c r="B23" s="40" t="s">
        <v>80</v>
      </c>
      <c r="C23" s="46">
        <f t="shared" si="2"/>
        <v>0</v>
      </c>
      <c r="D23" s="46">
        <f t="shared" si="3"/>
        <v>0</v>
      </c>
      <c r="E23" s="46"/>
      <c r="F23" s="46">
        <f t="shared" si="4"/>
        <v>0</v>
      </c>
      <c r="G23" s="46">
        <f t="shared" si="5"/>
        <v>0</v>
      </c>
      <c r="H23" s="46">
        <f t="shared" si="6"/>
        <v>0</v>
      </c>
      <c r="I23" s="46">
        <f t="shared" si="7"/>
        <v>1.759964E-2</v>
      </c>
      <c r="J23" s="49">
        <f t="shared" si="8"/>
        <v>1.8919998400000002</v>
      </c>
      <c r="K23" s="49">
        <f t="shared" si="9"/>
        <v>0</v>
      </c>
      <c r="L23" s="46">
        <f t="shared" si="10"/>
        <v>0</v>
      </c>
      <c r="M23" s="46">
        <f t="shared" si="11"/>
        <v>0</v>
      </c>
      <c r="N23" s="49">
        <v>0</v>
      </c>
      <c r="O23" s="160"/>
      <c r="P23" s="160"/>
      <c r="Q23" s="160"/>
      <c r="R23" s="160"/>
      <c r="S23" s="160"/>
      <c r="T23" s="160"/>
      <c r="U23" s="160"/>
      <c r="V23" s="160"/>
      <c r="W23" s="160"/>
      <c r="X23" s="160"/>
      <c r="Y23" s="75"/>
      <c r="Z23" s="75"/>
      <c r="AA23" s="75"/>
      <c r="AB23" s="75"/>
    </row>
    <row r="24" spans="1:28" s="16" customFormat="1" ht="12.75" customHeight="1">
      <c r="A24" s="155"/>
      <c r="B24" s="40" t="s">
        <v>76</v>
      </c>
      <c r="C24" s="46">
        <f t="shared" si="2"/>
        <v>0</v>
      </c>
      <c r="D24" s="46">
        <f>SUM($D12:$F12,$H12)-N24</f>
        <v>0.79408304348122405</v>
      </c>
      <c r="E24" s="46"/>
      <c r="F24" s="46">
        <f t="shared" si="4"/>
        <v>2.4187619311015273E-2</v>
      </c>
      <c r="G24" s="46">
        <f t="shared" si="5"/>
        <v>0</v>
      </c>
      <c r="H24" s="46">
        <f t="shared" si="6"/>
        <v>6.9288630145250094</v>
      </c>
      <c r="I24" s="46">
        <f t="shared" si="7"/>
        <v>0</v>
      </c>
      <c r="J24" s="49">
        <f t="shared" si="8"/>
        <v>0</v>
      </c>
      <c r="K24" s="49">
        <f t="shared" si="9"/>
        <v>9.9170542575050611</v>
      </c>
      <c r="L24" s="46">
        <f t="shared" si="10"/>
        <v>0</v>
      </c>
      <c r="M24" s="46">
        <f t="shared" si="11"/>
        <v>8.6823545419721145E-3</v>
      </c>
      <c r="N24" s="286">
        <f>F12/(1+K12/P12)</f>
        <v>1.1365450017787511</v>
      </c>
      <c r="O24" s="160"/>
      <c r="P24" s="160"/>
      <c r="Q24" s="160"/>
      <c r="R24" s="160"/>
      <c r="S24" s="160"/>
      <c r="T24" s="160"/>
      <c r="U24" s="160"/>
      <c r="V24" s="160"/>
      <c r="W24" s="160"/>
      <c r="X24" s="160"/>
      <c r="Y24" s="75"/>
      <c r="Z24" s="75"/>
      <c r="AA24" s="75"/>
      <c r="AB24" s="75"/>
    </row>
    <row r="25" spans="1:28" s="16" customFormat="1" ht="12.75" customHeight="1">
      <c r="A25" s="155"/>
      <c r="B25" s="40" t="s">
        <v>81</v>
      </c>
      <c r="C25" s="46">
        <f t="shared" si="2"/>
        <v>0</v>
      </c>
      <c r="D25" s="46">
        <f>SUM($D13:$E13,$H13)</f>
        <v>0</v>
      </c>
      <c r="E25" s="46"/>
      <c r="F25" s="46">
        <f t="shared" si="4"/>
        <v>0</v>
      </c>
      <c r="G25" s="46">
        <f t="shared" si="5"/>
        <v>0</v>
      </c>
      <c r="H25" s="46">
        <f t="shared" si="6"/>
        <v>0</v>
      </c>
      <c r="I25" s="46">
        <f t="shared" si="7"/>
        <v>0</v>
      </c>
      <c r="J25" s="49">
        <f t="shared" si="8"/>
        <v>0</v>
      </c>
      <c r="K25" s="49">
        <f t="shared" si="9"/>
        <v>4.2600060000000002E-2</v>
      </c>
      <c r="L25" s="46">
        <f t="shared" si="10"/>
        <v>0</v>
      </c>
      <c r="M25" s="46">
        <f t="shared" si="11"/>
        <v>0.6750744175765111</v>
      </c>
      <c r="N25" s="286">
        <f>F13</f>
        <v>0</v>
      </c>
      <c r="O25" s="160"/>
      <c r="P25" s="160"/>
      <c r="Q25" s="160"/>
      <c r="R25" s="160"/>
      <c r="S25" s="160"/>
      <c r="T25" s="160"/>
      <c r="U25" s="160"/>
      <c r="V25" s="160"/>
      <c r="W25" s="160"/>
      <c r="X25" s="160"/>
      <c r="Y25" s="75"/>
      <c r="Z25" s="75"/>
      <c r="AA25" s="75"/>
      <c r="AB25" s="75"/>
    </row>
    <row r="26" spans="1:28" s="16" customFormat="1" ht="12.75" customHeight="1">
      <c r="A26" s="155"/>
      <c r="B26" s="40" t="s">
        <v>82</v>
      </c>
      <c r="C26" s="46">
        <f t="shared" si="2"/>
        <v>0</v>
      </c>
      <c r="D26" s="46">
        <f>SUM($D14:$E14,$H14)</f>
        <v>0</v>
      </c>
      <c r="E26" s="46"/>
      <c r="F26" s="46">
        <f t="shared" si="4"/>
        <v>0</v>
      </c>
      <c r="G26" s="46">
        <f t="shared" si="5"/>
        <v>0</v>
      </c>
      <c r="H26" s="46">
        <f t="shared" si="6"/>
        <v>4.0920023999999992E-2</v>
      </c>
      <c r="I26" s="46">
        <f t="shared" si="7"/>
        <v>0</v>
      </c>
      <c r="J26" s="49">
        <f t="shared" si="8"/>
        <v>0</v>
      </c>
      <c r="K26" s="49">
        <f t="shared" si="9"/>
        <v>0.10479593999999999</v>
      </c>
      <c r="L26" s="46">
        <f t="shared" si="10"/>
        <v>1.3199975999999999E-2</v>
      </c>
      <c r="M26" s="46">
        <f t="shared" si="11"/>
        <v>0</v>
      </c>
      <c r="N26" s="286">
        <f>F14</f>
        <v>2.513838E-3</v>
      </c>
      <c r="O26" s="160"/>
      <c r="P26" s="160"/>
      <c r="Q26" s="160"/>
      <c r="R26" s="160"/>
      <c r="S26" s="160"/>
      <c r="T26" s="160"/>
      <c r="U26" s="160"/>
      <c r="V26" s="160"/>
      <c r="W26" s="160"/>
      <c r="X26" s="160"/>
      <c r="Y26" s="75"/>
      <c r="Z26" s="75"/>
      <c r="AA26" s="75"/>
      <c r="AB26" s="75"/>
    </row>
    <row r="27" spans="1:28" s="16" customFormat="1" ht="12.75" customHeight="1">
      <c r="A27" s="155"/>
      <c r="B27" s="40" t="s">
        <v>83</v>
      </c>
      <c r="C27" s="46">
        <f t="shared" si="2"/>
        <v>0</v>
      </c>
      <c r="D27" s="46">
        <f t="shared" si="3"/>
        <v>0</v>
      </c>
      <c r="E27" s="46"/>
      <c r="F27" s="46">
        <f t="shared" si="4"/>
        <v>0</v>
      </c>
      <c r="G27" s="46">
        <f t="shared" si="5"/>
        <v>0</v>
      </c>
      <c r="H27" s="46">
        <f t="shared" si="6"/>
        <v>0</v>
      </c>
      <c r="I27" s="46">
        <f t="shared" si="7"/>
        <v>0</v>
      </c>
      <c r="J27" s="49">
        <f t="shared" si="8"/>
        <v>0</v>
      </c>
      <c r="K27" s="49">
        <f t="shared" si="9"/>
        <v>0</v>
      </c>
      <c r="L27" s="46">
        <f t="shared" si="10"/>
        <v>0</v>
      </c>
      <c r="M27" s="46">
        <f t="shared" si="11"/>
        <v>0</v>
      </c>
      <c r="N27" s="49">
        <v>0</v>
      </c>
      <c r="O27" s="160"/>
      <c r="P27" s="160"/>
      <c r="Q27" s="160"/>
      <c r="R27" s="160"/>
      <c r="S27" s="160"/>
      <c r="T27" s="160"/>
      <c r="U27" s="160"/>
      <c r="V27" s="160"/>
      <c r="W27" s="160"/>
      <c r="X27" s="160"/>
      <c r="Y27" s="75"/>
      <c r="Z27" s="75"/>
      <c r="AA27" s="75"/>
      <c r="AB27" s="75"/>
    </row>
    <row r="28" spans="1:28" s="16" customFormat="1" ht="12.75" customHeight="1">
      <c r="A28" s="155"/>
      <c r="B28" s="40" t="s">
        <v>126</v>
      </c>
      <c r="C28" s="46">
        <f>-($B16+$C16)</f>
        <v>0</v>
      </c>
      <c r="D28" s="46">
        <f>-SUM($D16:$F16,$H16)</f>
        <v>0</v>
      </c>
      <c r="E28" s="46"/>
      <c r="F28" s="46">
        <f>-($G16+$I16)</f>
        <v>1.4867363015273362E-2</v>
      </c>
      <c r="G28" s="46">
        <f>-$J16</f>
        <v>0</v>
      </c>
      <c r="H28" s="46">
        <f>-$K16</f>
        <v>0</v>
      </c>
      <c r="I28" s="46">
        <f>-($L16+$M16)</f>
        <v>0</v>
      </c>
      <c r="J28" s="49">
        <f>-($N16+$O16)</f>
        <v>0</v>
      </c>
      <c r="K28" s="49">
        <f>-1*$P16</f>
        <v>0.22911705638957169</v>
      </c>
      <c r="L28" s="46">
        <f>-1*($Q16+$R16)</f>
        <v>0.88512086632001152</v>
      </c>
      <c r="M28" s="46">
        <f>-$S16</f>
        <v>0</v>
      </c>
      <c r="N28" s="49">
        <v>0</v>
      </c>
      <c r="O28" s="160"/>
      <c r="P28" s="160"/>
      <c r="Q28" s="160"/>
      <c r="R28" s="160"/>
      <c r="S28" s="160"/>
      <c r="T28" s="160"/>
      <c r="U28" s="160"/>
      <c r="V28" s="160"/>
      <c r="W28" s="160"/>
      <c r="X28" s="160"/>
      <c r="Y28" s="75"/>
      <c r="Z28" s="75"/>
      <c r="AA28" s="75"/>
      <c r="AB28" s="75"/>
    </row>
    <row r="29" spans="1:28" s="16" customFormat="1" ht="12.75" customHeight="1">
      <c r="A29" s="155"/>
      <c r="B29" s="41" t="s">
        <v>84</v>
      </c>
      <c r="C29" s="46">
        <f t="shared" ref="C29:N29" si="12">SUM(C22:C28)</f>
        <v>0</v>
      </c>
      <c r="D29" s="46">
        <f t="shared" si="12"/>
        <v>0.79408304348122405</v>
      </c>
      <c r="E29" s="46">
        <f t="shared" si="12"/>
        <v>0</v>
      </c>
      <c r="F29" s="46">
        <f t="shared" si="12"/>
        <v>3.9054982326288637E-2</v>
      </c>
      <c r="G29" s="46">
        <f t="shared" si="12"/>
        <v>0</v>
      </c>
      <c r="H29" s="46">
        <f t="shared" si="12"/>
        <v>6.9697830385250095</v>
      </c>
      <c r="I29" s="46">
        <f t="shared" si="12"/>
        <v>1.759964E-2</v>
      </c>
      <c r="J29" s="46">
        <f t="shared" si="12"/>
        <v>27.356600560000004</v>
      </c>
      <c r="K29" s="46">
        <f t="shared" si="12"/>
        <v>10.293567313894634</v>
      </c>
      <c r="L29" s="46">
        <f t="shared" si="12"/>
        <v>0.89832084232001153</v>
      </c>
      <c r="M29" s="46">
        <f t="shared" si="12"/>
        <v>0.68375677211848318</v>
      </c>
      <c r="N29" s="46">
        <f t="shared" si="12"/>
        <v>1.1390588397787511</v>
      </c>
      <c r="O29" s="233">
        <f>SUM(C29:N29)</f>
        <v>48.191825032444406</v>
      </c>
      <c r="P29" s="160"/>
      <c r="Q29" s="160"/>
      <c r="R29" s="160"/>
      <c r="S29" s="160"/>
      <c r="T29" s="160"/>
      <c r="U29" s="160"/>
      <c r="V29" s="160"/>
      <c r="W29" s="160"/>
      <c r="X29" s="160"/>
      <c r="Y29" s="75"/>
      <c r="Z29" s="75"/>
      <c r="AA29" s="75"/>
      <c r="AB29" s="75"/>
    </row>
    <row r="30" spans="1:28" s="16" customFormat="1" ht="12.75" customHeight="1">
      <c r="A30" s="155"/>
      <c r="B30" s="155"/>
      <c r="C30" s="155"/>
      <c r="D30" s="155"/>
      <c r="E30" s="155"/>
      <c r="F30" s="155"/>
      <c r="G30" s="155"/>
      <c r="H30" s="155"/>
      <c r="I30" s="155"/>
      <c r="J30" s="155"/>
      <c r="K30" s="155"/>
      <c r="L30" s="155"/>
      <c r="M30" s="155"/>
      <c r="N30" s="155"/>
      <c r="O30" s="160"/>
      <c r="P30" s="160"/>
      <c r="Q30" s="160"/>
      <c r="R30" s="160"/>
      <c r="S30" s="160"/>
      <c r="T30" s="160"/>
      <c r="U30" s="160"/>
      <c r="V30" s="160"/>
      <c r="W30" s="160"/>
      <c r="X30" s="160"/>
      <c r="Y30" s="75"/>
      <c r="Z30" s="75"/>
    </row>
    <row r="31" spans="1:28" s="16" customFormat="1" ht="18">
      <c r="A31" s="155"/>
      <c r="B31" s="106" t="s">
        <v>273</v>
      </c>
      <c r="C31" s="107"/>
      <c r="D31" s="107"/>
      <c r="E31" s="107"/>
      <c r="F31" s="107"/>
      <c r="G31" s="107"/>
      <c r="H31" s="107"/>
      <c r="I31" s="107"/>
      <c r="J31" s="107"/>
      <c r="K31" s="185"/>
      <c r="L31" s="155"/>
      <c r="M31" s="155"/>
      <c r="N31" s="166"/>
      <c r="O31" s="160"/>
      <c r="P31" s="160"/>
      <c r="Q31" s="160"/>
      <c r="R31" s="160"/>
      <c r="S31" s="160"/>
      <c r="T31" s="160"/>
      <c r="U31" s="160"/>
      <c r="V31" s="160"/>
      <c r="W31" s="160"/>
      <c r="X31" s="160"/>
    </row>
    <row r="32" spans="1:28" ht="12.75" customHeight="1">
      <c r="A32" s="155"/>
      <c r="B32" s="195"/>
      <c r="C32" s="195" t="s">
        <v>97</v>
      </c>
      <c r="D32" s="195" t="s">
        <v>98</v>
      </c>
      <c r="E32" s="196"/>
      <c r="F32" s="195" t="s">
        <v>118</v>
      </c>
      <c r="G32" s="195" t="s">
        <v>85</v>
      </c>
      <c r="H32" s="195" t="s">
        <v>112</v>
      </c>
      <c r="I32" s="195" t="s">
        <v>113</v>
      </c>
      <c r="J32" s="195" t="s">
        <v>106</v>
      </c>
      <c r="K32" s="195" t="s">
        <v>57</v>
      </c>
      <c r="L32" s="195" t="s">
        <v>68</v>
      </c>
      <c r="M32" s="195" t="s">
        <v>62</v>
      </c>
      <c r="N32" s="166"/>
      <c r="O32" s="160"/>
      <c r="P32" s="160"/>
      <c r="Q32" s="160"/>
      <c r="R32" s="160"/>
      <c r="S32" s="160"/>
      <c r="T32" s="160"/>
      <c r="U32" s="160"/>
      <c r="V32" s="160"/>
      <c r="W32" s="160"/>
      <c r="X32" s="160"/>
    </row>
    <row r="33" spans="1:25" ht="12.75" customHeight="1">
      <c r="A33" s="155"/>
      <c r="B33" s="197" t="s">
        <v>79</v>
      </c>
      <c r="C33" s="198" t="s">
        <v>65</v>
      </c>
      <c r="D33" s="198" t="s">
        <v>65</v>
      </c>
      <c r="E33" s="196"/>
      <c r="F33" s="198" t="s">
        <v>65</v>
      </c>
      <c r="G33" s="198" t="s">
        <v>65</v>
      </c>
      <c r="H33" s="198" t="s">
        <v>65</v>
      </c>
      <c r="I33" s="198" t="s">
        <v>65</v>
      </c>
      <c r="J33" s="198">
        <v>0.53</v>
      </c>
      <c r="K33" s="198" t="s">
        <v>65</v>
      </c>
      <c r="L33" s="198" t="s">
        <v>65</v>
      </c>
      <c r="M33" s="198">
        <v>0</v>
      </c>
      <c r="N33" s="166"/>
      <c r="O33" s="160"/>
      <c r="P33" s="160"/>
      <c r="Q33" s="160"/>
      <c r="R33" s="160"/>
      <c r="S33" s="160"/>
      <c r="T33" s="160"/>
      <c r="U33" s="160"/>
      <c r="V33" s="160"/>
      <c r="W33" s="160"/>
      <c r="X33" s="160"/>
    </row>
    <row r="34" spans="1:25" ht="12.75" customHeight="1">
      <c r="A34" s="155"/>
      <c r="B34" s="197" t="s">
        <v>80</v>
      </c>
      <c r="C34" s="198" t="s">
        <v>65</v>
      </c>
      <c r="D34" s="198" t="s">
        <v>65</v>
      </c>
      <c r="E34" s="196"/>
      <c r="F34" s="198" t="s">
        <v>65</v>
      </c>
      <c r="G34" s="198" t="s">
        <v>65</v>
      </c>
      <c r="H34" s="198" t="s">
        <v>65</v>
      </c>
      <c r="I34" s="198" t="s">
        <v>65</v>
      </c>
      <c r="J34" s="198">
        <v>0.47</v>
      </c>
      <c r="K34" s="198" t="s">
        <v>65</v>
      </c>
      <c r="L34" s="198" t="s">
        <v>65</v>
      </c>
      <c r="M34" s="198">
        <v>0</v>
      </c>
      <c r="N34" s="166"/>
      <c r="O34" s="160"/>
      <c r="P34" s="160"/>
      <c r="Q34" s="160"/>
      <c r="R34" s="160"/>
      <c r="S34" s="160"/>
      <c r="T34" s="160"/>
      <c r="U34" s="160"/>
      <c r="V34" s="160"/>
      <c r="W34" s="160"/>
      <c r="X34" s="160"/>
    </row>
    <row r="35" spans="1:25" ht="12.75" customHeight="1">
      <c r="A35" s="155"/>
      <c r="B35" s="197" t="s">
        <v>76</v>
      </c>
      <c r="C35" s="198" t="s">
        <v>65</v>
      </c>
      <c r="D35" s="198">
        <v>1</v>
      </c>
      <c r="E35" s="196"/>
      <c r="F35" s="198">
        <v>1</v>
      </c>
      <c r="G35" s="198">
        <v>1</v>
      </c>
      <c r="H35" s="198">
        <v>0.99</v>
      </c>
      <c r="I35" s="198" t="s">
        <v>65</v>
      </c>
      <c r="J35" s="199" t="s">
        <v>65</v>
      </c>
      <c r="K35" s="198" t="s">
        <v>65</v>
      </c>
      <c r="L35" s="198" t="s">
        <v>65</v>
      </c>
      <c r="M35" s="198">
        <v>0</v>
      </c>
      <c r="N35" s="166"/>
      <c r="O35" s="160"/>
      <c r="P35" s="160"/>
      <c r="Q35" s="160"/>
      <c r="R35" s="160"/>
      <c r="S35" s="160"/>
      <c r="T35" s="160"/>
      <c r="U35" s="160"/>
      <c r="V35" s="160"/>
      <c r="W35" s="160"/>
      <c r="X35" s="160"/>
    </row>
    <row r="36" spans="1:25" ht="12.75" customHeight="1">
      <c r="A36" s="155"/>
      <c r="B36" s="197" t="s">
        <v>81</v>
      </c>
      <c r="C36" s="198">
        <v>1</v>
      </c>
      <c r="D36" s="198" t="s">
        <v>171</v>
      </c>
      <c r="E36" s="196"/>
      <c r="F36" s="198" t="s">
        <v>65</v>
      </c>
      <c r="G36" s="198" t="s">
        <v>65</v>
      </c>
      <c r="H36" s="198" t="s">
        <v>65</v>
      </c>
      <c r="I36" s="198" t="s">
        <v>65</v>
      </c>
      <c r="J36" s="199" t="s">
        <v>65</v>
      </c>
      <c r="K36" s="198">
        <v>0.35610818176432246</v>
      </c>
      <c r="L36" s="198" t="s">
        <v>65</v>
      </c>
      <c r="M36" s="198">
        <v>1</v>
      </c>
      <c r="N36" s="166"/>
      <c r="O36" s="160"/>
      <c r="P36" s="160"/>
      <c r="Q36" s="160"/>
      <c r="R36" s="160"/>
      <c r="S36" s="160"/>
      <c r="T36" s="160"/>
      <c r="U36" s="160"/>
      <c r="V36" s="160"/>
      <c r="W36" s="160"/>
      <c r="X36" s="160"/>
    </row>
    <row r="37" spans="1:25" ht="12.75" customHeight="1">
      <c r="A37" s="155"/>
      <c r="B37" s="197" t="s">
        <v>82</v>
      </c>
      <c r="C37" s="198" t="s">
        <v>65</v>
      </c>
      <c r="D37" s="198" t="s">
        <v>65</v>
      </c>
      <c r="E37" s="196"/>
      <c r="F37" s="198" t="s">
        <v>65</v>
      </c>
      <c r="G37" s="198" t="s">
        <v>65</v>
      </c>
      <c r="H37" s="198">
        <v>0.01</v>
      </c>
      <c r="I37" s="198" t="s">
        <v>65</v>
      </c>
      <c r="J37" s="199" t="s">
        <v>65</v>
      </c>
      <c r="K37" s="198">
        <v>0.21313466437585163</v>
      </c>
      <c r="L37" s="198">
        <v>0.11</v>
      </c>
      <c r="M37" s="198">
        <v>0</v>
      </c>
      <c r="N37" s="166"/>
      <c r="O37" s="160"/>
      <c r="P37" s="160"/>
      <c r="Q37" s="160"/>
      <c r="R37" s="160"/>
      <c r="S37" s="160"/>
      <c r="T37" s="160"/>
      <c r="U37" s="160"/>
      <c r="V37" s="160"/>
      <c r="W37" s="160"/>
      <c r="X37" s="160"/>
    </row>
    <row r="38" spans="1:25" ht="12.75" customHeight="1">
      <c r="A38" s="155"/>
      <c r="B38" s="197" t="s">
        <v>83</v>
      </c>
      <c r="C38" s="198" t="s">
        <v>65</v>
      </c>
      <c r="D38" s="198" t="s">
        <v>65</v>
      </c>
      <c r="E38" s="196"/>
      <c r="F38" s="198" t="s">
        <v>65</v>
      </c>
      <c r="G38" s="198" t="s">
        <v>65</v>
      </c>
      <c r="H38" s="198" t="s">
        <v>65</v>
      </c>
      <c r="I38" s="198" t="s">
        <v>65</v>
      </c>
      <c r="J38" s="199" t="s">
        <v>65</v>
      </c>
      <c r="K38" s="198" t="s">
        <v>65</v>
      </c>
      <c r="L38" s="198" t="s">
        <v>65</v>
      </c>
      <c r="M38" s="198">
        <v>0</v>
      </c>
      <c r="N38" s="166"/>
      <c r="O38" s="160"/>
      <c r="P38" s="160"/>
      <c r="Q38" s="160"/>
      <c r="R38" s="160"/>
      <c r="S38" s="160"/>
      <c r="T38" s="160"/>
      <c r="U38" s="160"/>
      <c r="V38" s="160"/>
      <c r="W38" s="160"/>
      <c r="X38" s="160"/>
    </row>
    <row r="39" spans="1:25" ht="12.75" customHeight="1">
      <c r="A39" s="155"/>
      <c r="B39" s="197" t="s">
        <v>126</v>
      </c>
      <c r="C39" s="198" t="s">
        <v>65</v>
      </c>
      <c r="D39" s="198" t="s">
        <v>65</v>
      </c>
      <c r="E39" s="196"/>
      <c r="F39" s="198" t="s">
        <v>65</v>
      </c>
      <c r="G39" s="198" t="s">
        <v>65</v>
      </c>
      <c r="H39" s="198" t="s">
        <v>65</v>
      </c>
      <c r="I39" s="198" t="s">
        <v>65</v>
      </c>
      <c r="J39" s="199" t="s">
        <v>65</v>
      </c>
      <c r="K39" s="198">
        <v>0.43075715385982577</v>
      </c>
      <c r="L39" s="198">
        <v>0.89</v>
      </c>
      <c r="M39" s="198">
        <v>0</v>
      </c>
      <c r="N39" s="166"/>
      <c r="O39" s="160"/>
      <c r="P39" s="160"/>
      <c r="Q39" s="160"/>
      <c r="R39" s="160"/>
      <c r="S39" s="160"/>
      <c r="T39" s="160"/>
      <c r="U39" s="160"/>
      <c r="V39" s="160"/>
      <c r="W39" s="160"/>
      <c r="X39" s="160"/>
    </row>
    <row r="40" spans="1:25" ht="12.75" customHeight="1">
      <c r="A40" s="157"/>
      <c r="B40" s="166"/>
      <c r="C40" s="166"/>
      <c r="D40" s="166"/>
      <c r="E40" s="155"/>
      <c r="F40" s="166"/>
      <c r="G40" s="166"/>
      <c r="H40" s="166"/>
      <c r="I40" s="166"/>
      <c r="J40" s="186"/>
      <c r="K40" s="166"/>
      <c r="L40" s="166"/>
      <c r="M40" s="166"/>
      <c r="N40" s="166"/>
      <c r="O40" s="160"/>
      <c r="P40" s="160"/>
      <c r="Q40" s="160"/>
      <c r="R40" s="160"/>
      <c r="S40" s="160"/>
      <c r="T40" s="160"/>
      <c r="U40" s="160"/>
      <c r="V40" s="160"/>
      <c r="W40" s="160"/>
      <c r="X40" s="160"/>
    </row>
    <row r="41" spans="1:25" ht="18">
      <c r="A41" s="157"/>
      <c r="B41" s="106" t="s">
        <v>274</v>
      </c>
      <c r="C41" s="108"/>
      <c r="D41" s="108"/>
      <c r="E41" s="108"/>
      <c r="F41" s="108"/>
      <c r="G41" s="108"/>
      <c r="H41" s="108"/>
      <c r="I41" s="108"/>
      <c r="J41" s="155"/>
      <c r="K41" s="155"/>
      <c r="L41" s="155"/>
      <c r="M41" s="166"/>
      <c r="N41" s="166"/>
      <c r="O41" s="160"/>
      <c r="P41" s="160"/>
      <c r="Q41" s="160"/>
      <c r="R41" s="160"/>
      <c r="S41" s="160"/>
      <c r="T41" s="160"/>
      <c r="U41" s="160"/>
      <c r="V41" s="160"/>
      <c r="W41" s="160"/>
      <c r="X41" s="160"/>
    </row>
    <row r="42" spans="1:25" ht="12.75" customHeight="1">
      <c r="A42" s="155"/>
      <c r="B42" s="26"/>
      <c r="C42" s="44" t="s">
        <v>97</v>
      </c>
      <c r="D42" s="44" t="s">
        <v>98</v>
      </c>
      <c r="E42" s="76" t="s">
        <v>160</v>
      </c>
      <c r="F42" s="44" t="s">
        <v>118</v>
      </c>
      <c r="G42" s="44" t="s">
        <v>85</v>
      </c>
      <c r="H42" s="44" t="s">
        <v>112</v>
      </c>
      <c r="I42" s="44" t="s">
        <v>113</v>
      </c>
      <c r="J42" s="45" t="s">
        <v>106</v>
      </c>
      <c r="K42" s="45" t="s">
        <v>57</v>
      </c>
      <c r="L42" s="44" t="s">
        <v>68</v>
      </c>
      <c r="M42" s="44" t="s">
        <v>62</v>
      </c>
      <c r="N42" s="166"/>
      <c r="O42" s="160"/>
      <c r="P42" s="160"/>
      <c r="Q42" s="160"/>
      <c r="R42" s="160"/>
      <c r="S42" s="160"/>
      <c r="T42" s="160"/>
      <c r="U42" s="160"/>
      <c r="V42" s="160"/>
      <c r="W42" s="160"/>
      <c r="X42" s="160"/>
      <c r="Y42" s="75"/>
    </row>
    <row r="43" spans="1:25" ht="12.75" customHeight="1">
      <c r="A43" s="155"/>
      <c r="B43" s="40" t="str">
        <f>A10</f>
        <v>INTLAIR</v>
      </c>
      <c r="C43" s="46">
        <f t="shared" ref="C43:G44" si="13">C22</f>
        <v>0</v>
      </c>
      <c r="D43" s="46">
        <f t="shared" si="13"/>
        <v>0</v>
      </c>
      <c r="E43" s="46">
        <f t="shared" si="13"/>
        <v>0</v>
      </c>
      <c r="F43" s="46">
        <f t="shared" si="13"/>
        <v>0</v>
      </c>
      <c r="G43" s="46">
        <f t="shared" si="13"/>
        <v>0</v>
      </c>
      <c r="H43" s="46"/>
      <c r="I43" s="46">
        <f>SUM(H22:I22)</f>
        <v>0</v>
      </c>
      <c r="J43" s="46">
        <f>J22+SUM(J25:J28)*J33</f>
        <v>25.464600720000004</v>
      </c>
      <c r="K43" s="46">
        <f t="shared" ref="K43:M44" si="14">K22</f>
        <v>0</v>
      </c>
      <c r="L43" s="46">
        <f t="shared" si="14"/>
        <v>0</v>
      </c>
      <c r="M43" s="46">
        <f t="shared" si="14"/>
        <v>0</v>
      </c>
      <c r="N43" s="166"/>
      <c r="O43" s="160"/>
      <c r="P43" s="160"/>
      <c r="Q43" s="160"/>
      <c r="R43" s="160"/>
      <c r="S43" s="160"/>
      <c r="T43" s="160"/>
      <c r="U43" s="160"/>
      <c r="V43" s="160"/>
      <c r="W43" s="160"/>
      <c r="X43" s="160"/>
      <c r="Y43" s="75"/>
    </row>
    <row r="44" spans="1:25" ht="12.75" customHeight="1">
      <c r="A44" s="155"/>
      <c r="B44" s="40" t="str">
        <f>A11</f>
        <v>DOMESAIR</v>
      </c>
      <c r="C44" s="46">
        <f t="shared" si="13"/>
        <v>0</v>
      </c>
      <c r="D44" s="46">
        <f t="shared" si="13"/>
        <v>0</v>
      </c>
      <c r="E44" s="46">
        <f t="shared" si="13"/>
        <v>0</v>
      </c>
      <c r="F44" s="46">
        <f t="shared" si="13"/>
        <v>0</v>
      </c>
      <c r="G44" s="46">
        <f t="shared" si="13"/>
        <v>0</v>
      </c>
      <c r="H44" s="46"/>
      <c r="I44" s="46">
        <f>SUM(H23:I23)</f>
        <v>1.759964E-2</v>
      </c>
      <c r="J44" s="46">
        <f>J23+J24+SUM(J25:J28)*J34</f>
        <v>1.8919998400000002</v>
      </c>
      <c r="K44" s="46">
        <f t="shared" si="14"/>
        <v>0</v>
      </c>
      <c r="L44" s="46">
        <f t="shared" si="14"/>
        <v>0</v>
      </c>
      <c r="M44" s="46">
        <f t="shared" si="14"/>
        <v>0</v>
      </c>
      <c r="N44" s="166"/>
      <c r="O44" s="160"/>
      <c r="P44" s="160"/>
      <c r="Q44" s="160"/>
      <c r="R44" s="160"/>
      <c r="S44" s="160"/>
      <c r="T44" s="160"/>
      <c r="U44" s="160"/>
      <c r="V44" s="160"/>
      <c r="W44" s="160"/>
      <c r="X44" s="160"/>
      <c r="Y44" s="75"/>
    </row>
    <row r="45" spans="1:25" ht="12.75" customHeight="1">
      <c r="A45" s="155"/>
      <c r="B45" s="40" t="str">
        <f>A12</f>
        <v>ROAD</v>
      </c>
      <c r="C45" s="46">
        <f>C24</f>
        <v>0</v>
      </c>
      <c r="D45" s="46">
        <f>D24+D48*D35</f>
        <v>0.79408304348122405</v>
      </c>
      <c r="E45" s="46">
        <f>E24</f>
        <v>0</v>
      </c>
      <c r="F45" s="46">
        <f>F24+F48*F35</f>
        <v>2.4187619311015273E-2</v>
      </c>
      <c r="G45" s="46">
        <f>G24+G48*G35</f>
        <v>0</v>
      </c>
      <c r="H45" s="46">
        <f>H24+H27*H35+H25</f>
        <v>6.9288630145250094</v>
      </c>
      <c r="I45" s="46">
        <f>I24</f>
        <v>0</v>
      </c>
      <c r="J45" s="46"/>
      <c r="K45" s="46">
        <f>K24+N24</f>
        <v>11.053599259283812</v>
      </c>
      <c r="L45" s="46"/>
      <c r="M45" s="46">
        <f>M24</f>
        <v>8.6823545419721145E-3</v>
      </c>
      <c r="N45" s="166"/>
      <c r="O45" s="160"/>
      <c r="P45" s="160"/>
      <c r="Q45" s="160"/>
      <c r="R45" s="160"/>
      <c r="S45" s="160"/>
      <c r="T45" s="160"/>
      <c r="U45" s="160"/>
      <c r="V45" s="160"/>
      <c r="W45" s="160"/>
      <c r="X45" s="160"/>
      <c r="Y45" s="75"/>
    </row>
    <row r="46" spans="1:25" ht="12.75" customHeight="1">
      <c r="A46" s="155"/>
      <c r="B46" s="40" t="str">
        <f>A13</f>
        <v>RAIL</v>
      </c>
      <c r="C46" s="46">
        <f>C25+C48*C36</f>
        <v>0</v>
      </c>
      <c r="D46" s="46">
        <f>D25</f>
        <v>0</v>
      </c>
      <c r="E46" s="46">
        <f>E25</f>
        <v>0</v>
      </c>
      <c r="F46" s="46">
        <f t="shared" ref="F46:G49" si="15">F25</f>
        <v>0</v>
      </c>
      <c r="G46" s="46">
        <f t="shared" si="15"/>
        <v>0</v>
      </c>
      <c r="H46" s="46"/>
      <c r="I46" s="46">
        <f>I25</f>
        <v>0</v>
      </c>
      <c r="J46" s="46"/>
      <c r="K46" s="46">
        <f>K25+K48*K36+N25</f>
        <v>4.2600060000000002E-2</v>
      </c>
      <c r="L46" s="46">
        <f>L25</f>
        <v>0</v>
      </c>
      <c r="M46" s="46">
        <f>M25+M48*M36</f>
        <v>0.6750744175765111</v>
      </c>
      <c r="N46" s="166"/>
      <c r="O46" s="160"/>
      <c r="P46" s="160"/>
      <c r="Q46" s="160"/>
      <c r="R46" s="160"/>
      <c r="S46" s="160"/>
      <c r="T46" s="160"/>
      <c r="U46" s="160"/>
      <c r="V46" s="160"/>
      <c r="W46" s="160"/>
      <c r="X46" s="160"/>
      <c r="Y46" s="75"/>
    </row>
    <row r="47" spans="1:25" ht="12.75" customHeight="1">
      <c r="A47" s="155"/>
      <c r="B47" s="40" t="str">
        <f>A14</f>
        <v>DOMESNAV</v>
      </c>
      <c r="C47" s="46">
        <f>C26</f>
        <v>0</v>
      </c>
      <c r="D47" s="46">
        <f>D26</f>
        <v>0</v>
      </c>
      <c r="E47" s="46">
        <f>E26</f>
        <v>0</v>
      </c>
      <c r="F47" s="46">
        <f t="shared" si="15"/>
        <v>0</v>
      </c>
      <c r="G47" s="46">
        <f t="shared" si="15"/>
        <v>0</v>
      </c>
      <c r="H47" s="46">
        <f>H26+H48*H37</f>
        <v>4.0920023999999992E-2</v>
      </c>
      <c r="I47" s="46">
        <f>I26</f>
        <v>0</v>
      </c>
      <c r="J47" s="46"/>
      <c r="K47" s="46">
        <f>K26+K48*K37+N26</f>
        <v>0.10730977799999999</v>
      </c>
      <c r="L47" s="46">
        <f>L26+L24+(L48*L37)</f>
        <v>1.3199975999999999E-2</v>
      </c>
      <c r="M47" s="46">
        <f>M26</f>
        <v>0</v>
      </c>
      <c r="N47" s="166"/>
      <c r="O47" s="160"/>
      <c r="P47" s="160"/>
      <c r="Q47" s="160"/>
      <c r="R47" s="160"/>
      <c r="S47" s="160"/>
      <c r="T47" s="160"/>
      <c r="U47" s="160"/>
      <c r="V47" s="160"/>
      <c r="W47" s="160"/>
      <c r="X47" s="160"/>
      <c r="Y47" s="75"/>
    </row>
    <row r="48" spans="1:25" ht="12.75" customHeight="1">
      <c r="A48" s="155"/>
      <c r="B48" s="152" t="s">
        <v>83</v>
      </c>
      <c r="C48" s="153">
        <f>C27</f>
        <v>0</v>
      </c>
      <c r="D48" s="153">
        <f>D27</f>
        <v>0</v>
      </c>
      <c r="E48" s="153">
        <f>E27</f>
        <v>0</v>
      </c>
      <c r="F48" s="153">
        <f t="shared" si="15"/>
        <v>0</v>
      </c>
      <c r="G48" s="153">
        <f t="shared" si="15"/>
        <v>0</v>
      </c>
      <c r="H48" s="153">
        <f>H27</f>
        <v>0</v>
      </c>
      <c r="I48" s="153">
        <f>I27</f>
        <v>0</v>
      </c>
      <c r="J48" s="153"/>
      <c r="K48" s="153">
        <f>K27</f>
        <v>0</v>
      </c>
      <c r="L48" s="153">
        <f>L27</f>
        <v>0</v>
      </c>
      <c r="M48" s="153">
        <f>M27</f>
        <v>0</v>
      </c>
      <c r="N48" s="166"/>
      <c r="O48" s="160"/>
      <c r="P48" s="160"/>
      <c r="Q48" s="160"/>
      <c r="R48" s="160"/>
      <c r="S48" s="160"/>
      <c r="T48" s="160"/>
      <c r="U48" s="160"/>
      <c r="V48" s="160"/>
      <c r="W48" s="160"/>
      <c r="X48" s="160"/>
      <c r="Y48" s="75"/>
    </row>
    <row r="49" spans="1:25" ht="12.75" customHeight="1">
      <c r="A49" s="155"/>
      <c r="B49" s="41" t="s">
        <v>126</v>
      </c>
      <c r="C49" s="46">
        <f>C28</f>
        <v>0</v>
      </c>
      <c r="D49" s="46">
        <f>D28</f>
        <v>0</v>
      </c>
      <c r="E49" s="46">
        <f>E28</f>
        <v>0</v>
      </c>
      <c r="F49" s="46">
        <f t="shared" si="15"/>
        <v>1.4867363015273362E-2</v>
      </c>
      <c r="G49" s="46">
        <f t="shared" si="15"/>
        <v>0</v>
      </c>
      <c r="H49" s="46">
        <f>H28</f>
        <v>0</v>
      </c>
      <c r="I49" s="46">
        <f>I28</f>
        <v>0</v>
      </c>
      <c r="J49" s="46"/>
      <c r="K49" s="46">
        <f>K28+K48*K39</f>
        <v>0.22911705638957169</v>
      </c>
      <c r="L49" s="46">
        <f>L28+L48*L39</f>
        <v>0.88512086632001152</v>
      </c>
      <c r="M49" s="46">
        <f>M28</f>
        <v>0</v>
      </c>
      <c r="N49" s="166"/>
      <c r="O49" s="160"/>
      <c r="P49" s="160"/>
      <c r="Q49" s="160"/>
      <c r="R49" s="160"/>
      <c r="S49" s="160"/>
      <c r="T49" s="160"/>
      <c r="U49" s="160"/>
      <c r="V49" s="160"/>
      <c r="W49" s="160"/>
      <c r="X49" s="160"/>
      <c r="Y49" s="75"/>
    </row>
    <row r="50" spans="1:25" ht="12.75" customHeight="1">
      <c r="A50" s="155"/>
      <c r="B50" s="41" t="s">
        <v>84</v>
      </c>
      <c r="C50" s="46">
        <f t="shared" ref="C50:M50" si="16">SUM(C43:C49)-C48</f>
        <v>0</v>
      </c>
      <c r="D50" s="46">
        <f t="shared" si="16"/>
        <v>0.79408304348122405</v>
      </c>
      <c r="E50" s="46">
        <f t="shared" si="16"/>
        <v>0</v>
      </c>
      <c r="F50" s="46">
        <f t="shared" si="16"/>
        <v>3.9054982326288637E-2</v>
      </c>
      <c r="G50" s="46">
        <f t="shared" si="16"/>
        <v>0</v>
      </c>
      <c r="H50" s="46">
        <f t="shared" si="16"/>
        <v>6.9697830385250095</v>
      </c>
      <c r="I50" s="46">
        <f t="shared" si="16"/>
        <v>1.759964E-2</v>
      </c>
      <c r="J50" s="46">
        <f t="shared" si="16"/>
        <v>27.356600560000004</v>
      </c>
      <c r="K50" s="46">
        <f t="shared" si="16"/>
        <v>11.432626153673382</v>
      </c>
      <c r="L50" s="46">
        <f t="shared" si="16"/>
        <v>0.89832084232001153</v>
      </c>
      <c r="M50" s="46">
        <f t="shared" si="16"/>
        <v>0.68375677211848318</v>
      </c>
      <c r="N50" s="233">
        <f>SUM(C50:M50)</f>
        <v>48.191825032444406</v>
      </c>
      <c r="O50" s="160"/>
      <c r="P50" s="160"/>
      <c r="Q50" s="160"/>
      <c r="R50" s="160"/>
      <c r="S50" s="160"/>
      <c r="T50" s="160"/>
      <c r="U50" s="160"/>
      <c r="V50" s="160"/>
      <c r="W50" s="160"/>
      <c r="X50" s="160"/>
      <c r="Y50" s="75"/>
    </row>
    <row r="51" spans="1:25" ht="12.75" customHeight="1">
      <c r="A51" s="155"/>
      <c r="B51" s="41"/>
      <c r="C51" s="39" t="s">
        <v>102</v>
      </c>
      <c r="D51" s="39" t="s">
        <v>105</v>
      </c>
      <c r="E51" s="39" t="s">
        <v>162</v>
      </c>
      <c r="F51" s="39" t="s">
        <v>100</v>
      </c>
      <c r="G51" s="39" t="s">
        <v>101</v>
      </c>
      <c r="H51" s="39" t="s">
        <v>172</v>
      </c>
      <c r="I51" s="39" t="s">
        <v>130</v>
      </c>
      <c r="J51" s="39" t="s">
        <v>135</v>
      </c>
      <c r="K51" s="39" t="s">
        <v>104</v>
      </c>
      <c r="L51" s="39" t="s">
        <v>103</v>
      </c>
      <c r="M51" s="39" t="s">
        <v>99</v>
      </c>
      <c r="N51" s="166"/>
      <c r="O51" s="160"/>
      <c r="P51" s="160"/>
      <c r="Q51" s="160"/>
      <c r="R51" s="160"/>
      <c r="S51" s="160"/>
      <c r="T51" s="160"/>
      <c r="U51" s="160"/>
      <c r="V51" s="160"/>
      <c r="W51" s="160"/>
      <c r="X51" s="160"/>
      <c r="Y51" s="75"/>
    </row>
    <row r="52" spans="1:25" ht="12.75" customHeight="1">
      <c r="A52" s="155"/>
      <c r="B52" s="155"/>
      <c r="C52" s="155"/>
      <c r="D52" s="155"/>
      <c r="E52" s="155"/>
      <c r="F52" s="155"/>
      <c r="G52" s="155"/>
      <c r="H52" s="155"/>
      <c r="I52" s="184" t="s">
        <v>65</v>
      </c>
      <c r="J52" s="155"/>
      <c r="K52" s="155"/>
      <c r="L52" s="166"/>
      <c r="M52" s="166"/>
      <c r="N52" s="166"/>
      <c r="O52" s="160"/>
      <c r="P52" s="160"/>
      <c r="Q52" s="160"/>
      <c r="R52" s="160"/>
      <c r="S52" s="160"/>
      <c r="T52" s="160"/>
      <c r="U52" s="160"/>
      <c r="V52" s="160"/>
      <c r="W52" s="160"/>
      <c r="X52" s="160"/>
    </row>
    <row r="53" spans="1:25" s="16" customFormat="1" ht="18">
      <c r="A53" s="155"/>
      <c r="B53" s="100" t="s">
        <v>275</v>
      </c>
      <c r="C53" s="101"/>
      <c r="D53" s="101"/>
      <c r="E53" s="101"/>
      <c r="F53" s="101"/>
      <c r="G53" s="105"/>
      <c r="H53" s="155"/>
      <c r="I53" s="155"/>
      <c r="J53" s="155"/>
      <c r="K53" s="155"/>
      <c r="L53" s="155"/>
      <c r="M53" s="155"/>
      <c r="N53" s="155"/>
      <c r="O53" s="160"/>
      <c r="P53" s="160"/>
      <c r="Q53" s="160"/>
      <c r="R53" s="160"/>
      <c r="S53" s="160"/>
      <c r="T53" s="160"/>
      <c r="U53" s="160"/>
      <c r="V53" s="160"/>
      <c r="W53" s="160"/>
      <c r="X53" s="160"/>
    </row>
    <row r="54" spans="1:25" ht="12.75" customHeight="1">
      <c r="A54" s="155" t="s">
        <v>111</v>
      </c>
      <c r="B54" s="155"/>
      <c r="C54" s="155"/>
      <c r="D54" s="72" t="s">
        <v>162</v>
      </c>
      <c r="E54" s="72" t="s">
        <v>163</v>
      </c>
      <c r="F54" s="155"/>
      <c r="G54" s="155"/>
      <c r="H54" s="155"/>
      <c r="I54" s="155"/>
      <c r="J54" s="155"/>
      <c r="K54" s="155"/>
      <c r="L54" s="155"/>
      <c r="M54" s="155"/>
      <c r="N54" s="155"/>
      <c r="O54" s="160"/>
      <c r="P54" s="160"/>
      <c r="Q54" s="160"/>
      <c r="R54" s="160"/>
      <c r="S54" s="160"/>
      <c r="T54" s="160"/>
      <c r="U54" s="160"/>
      <c r="V54" s="160"/>
      <c r="W54" s="160"/>
      <c r="X54" s="160"/>
    </row>
    <row r="55" spans="1:25" s="16" customFormat="1" ht="12.75" customHeight="1">
      <c r="A55" s="152"/>
      <c r="B55" s="152"/>
      <c r="C55" s="168" t="s">
        <v>97</v>
      </c>
      <c r="D55" s="168" t="s">
        <v>160</v>
      </c>
      <c r="E55" s="168" t="s">
        <v>161</v>
      </c>
      <c r="F55" s="168" t="s">
        <v>118</v>
      </c>
      <c r="G55" s="168" t="s">
        <v>85</v>
      </c>
      <c r="H55" s="168" t="s">
        <v>114</v>
      </c>
      <c r="I55" s="168" t="s">
        <v>115</v>
      </c>
      <c r="J55" s="168" t="s">
        <v>106</v>
      </c>
      <c r="K55" s="168" t="s">
        <v>57</v>
      </c>
      <c r="L55" s="168" t="s">
        <v>68</v>
      </c>
      <c r="M55" s="168" t="s">
        <v>62</v>
      </c>
      <c r="N55" s="155"/>
      <c r="O55" s="160"/>
      <c r="P55" s="160"/>
      <c r="Q55" s="160"/>
      <c r="R55" s="160"/>
      <c r="S55" s="160"/>
      <c r="T55" s="160"/>
      <c r="U55" s="160"/>
      <c r="V55" s="160"/>
      <c r="W55" s="160"/>
      <c r="X55" s="160"/>
    </row>
    <row r="56" spans="1:25" s="16" customFormat="1" ht="12.75" customHeight="1">
      <c r="A56" s="152"/>
      <c r="B56" s="152"/>
      <c r="C56" s="226">
        <f ca="1">MATCH(C55,OFFSET(CalibData2!$B$3,1,0,100),0)</f>
        <v>64</v>
      </c>
      <c r="D56" s="226">
        <f ca="1">MATCH(D55,OFFSET(CalibData2!$B$3,1,0,100),0)</f>
        <v>1</v>
      </c>
      <c r="E56" s="226">
        <f ca="1">MATCH(E55,OFFSET(CalibData2!$B$3,1,0,100),0)</f>
        <v>10</v>
      </c>
      <c r="F56" s="226">
        <f ca="1">MATCH(F55,OFFSET(CalibData2!$B$3,1,0,100),0)</f>
        <v>19</v>
      </c>
      <c r="G56" s="226">
        <f ca="1">MATCH(G55,OFFSET(CalibData2!$B$3,1,0,100),0)</f>
        <v>28</v>
      </c>
      <c r="H56" s="226">
        <f ca="1">MATCH(H55,OFFSET(CalibData2!$B$3,1,0,100),0)</f>
        <v>37</v>
      </c>
      <c r="I56" s="226"/>
      <c r="J56" s="226"/>
      <c r="K56" s="226">
        <f ca="1">MATCH(K55,OFFSET(CalibData2!$B$3,1,0,100),0)</f>
        <v>46</v>
      </c>
      <c r="L56" s="226"/>
      <c r="M56" s="226">
        <f ca="1">MATCH(M55,OFFSET(CalibData2!$B$3,1,0,100),0)</f>
        <v>55</v>
      </c>
      <c r="N56" s="155"/>
      <c r="O56" s="160"/>
      <c r="P56" s="160"/>
      <c r="Q56" s="160"/>
      <c r="R56" s="160"/>
      <c r="S56" s="160"/>
      <c r="T56" s="160"/>
      <c r="U56" s="160"/>
      <c r="V56" s="160"/>
      <c r="W56" s="160"/>
      <c r="X56" s="160"/>
    </row>
    <row r="57" spans="1:25" s="16" customFormat="1" ht="12.75" customHeight="1">
      <c r="A57" s="152"/>
      <c r="B57" s="152"/>
      <c r="C57" s="152"/>
      <c r="D57" s="89"/>
      <c r="E57" s="89" t="s">
        <v>65</v>
      </c>
      <c r="F57" s="181">
        <f t="shared" ref="F57:M57" ca="1" si="17">SUM(F59:F62)</f>
        <v>1</v>
      </c>
      <c r="G57" s="181">
        <f t="shared" ca="1" si="17"/>
        <v>1</v>
      </c>
      <c r="H57" s="181">
        <f t="shared" ca="1" si="17"/>
        <v>0.99999999999999989</v>
      </c>
      <c r="I57" s="181">
        <f t="shared" si="17"/>
        <v>0</v>
      </c>
      <c r="J57" s="181">
        <f t="shared" si="17"/>
        <v>0</v>
      </c>
      <c r="K57" s="181">
        <f t="shared" ca="1" si="17"/>
        <v>1</v>
      </c>
      <c r="L57" s="181">
        <f t="shared" si="17"/>
        <v>0</v>
      </c>
      <c r="M57" s="181">
        <f t="shared" ca="1" si="17"/>
        <v>1</v>
      </c>
      <c r="N57" s="155"/>
      <c r="O57" s="160"/>
      <c r="P57" s="160"/>
      <c r="Q57" s="160"/>
      <c r="R57" s="160"/>
      <c r="S57" s="160"/>
      <c r="T57" s="160"/>
      <c r="U57" s="160"/>
      <c r="V57" s="160"/>
      <c r="W57" s="160"/>
      <c r="X57" s="160"/>
    </row>
    <row r="58" spans="1:25" s="16" customFormat="1" ht="13.7" customHeight="1">
      <c r="A58" s="152" t="s">
        <v>76</v>
      </c>
      <c r="B58" s="177" t="s">
        <v>181</v>
      </c>
      <c r="C58" s="109"/>
      <c r="D58" s="93">
        <f t="array" aca="1" ref="D58:D62" ca="1">OFFSET(CalibData2!$O$3,D$56,0,5)</f>
        <v>1</v>
      </c>
      <c r="E58" s="93">
        <f t="array" aca="1" ref="E58:E62" ca="1">OFFSET(CalibData2!$O$3,E$56,0,5)</f>
        <v>1</v>
      </c>
      <c r="F58" s="93">
        <f t="array" aca="1" ref="F58:F62" ca="1">OFFSET(CalibData2!$O$3,F$56,0,5)</f>
        <v>0.24846014023504176</v>
      </c>
      <c r="G58" s="93">
        <f t="array" aca="1" ref="G58:G62" ca="1">OFFSET(CalibData2!$O$3,G$56,0,5)</f>
        <v>0.75</v>
      </c>
      <c r="H58" s="93">
        <f t="array" aca="1" ref="H58:H62" ca="1">OFFSET(CalibData2!$O$3,H$56,0,5)</f>
        <v>1</v>
      </c>
      <c r="I58" s="94"/>
      <c r="J58" s="94"/>
      <c r="K58" s="93">
        <f t="array" aca="1" ref="K58:K62" ca="1">OFFSET(CalibData2!$O$3,K$56,0,5)</f>
        <v>0.48437083746683546</v>
      </c>
      <c r="L58" s="94"/>
      <c r="M58" s="93">
        <f t="array" aca="1" ref="M58:M62" ca="1">OFFSET(CalibData2!$O$3,M$56,0,5)</f>
        <v>0.92055614393758034</v>
      </c>
      <c r="N58" s="155"/>
      <c r="O58" s="160"/>
      <c r="P58" s="160"/>
      <c r="Q58" s="160"/>
      <c r="R58" s="160"/>
      <c r="S58" s="160"/>
      <c r="T58" s="160"/>
      <c r="U58" s="160"/>
      <c r="V58" s="160"/>
      <c r="W58" s="160"/>
      <c r="X58" s="160"/>
    </row>
    <row r="59" spans="1:25" s="13" customFormat="1" ht="12.75" customHeight="1">
      <c r="A59" s="152" t="s">
        <v>76</v>
      </c>
      <c r="B59" s="178" t="s">
        <v>141</v>
      </c>
      <c r="C59" s="88"/>
      <c r="D59" s="88">
        <f ca="1"/>
        <v>0.47</v>
      </c>
      <c r="E59" s="88">
        <f ca="1"/>
        <v>0.83</v>
      </c>
      <c r="F59" s="88">
        <f ca="1"/>
        <v>0.84973820543861878</v>
      </c>
      <c r="G59" s="88">
        <f ca="1"/>
        <v>0.626</v>
      </c>
      <c r="H59" s="88">
        <f ca="1"/>
        <v>0.94157346581580337</v>
      </c>
      <c r="I59" s="88"/>
      <c r="J59" s="88"/>
      <c r="K59" s="88">
        <f ca="1"/>
        <v>0.69600428521803503</v>
      </c>
      <c r="L59" s="88"/>
      <c r="M59" s="88">
        <f ca="1"/>
        <v>0.83440562555137976</v>
      </c>
      <c r="N59" s="155"/>
      <c r="O59" s="160"/>
      <c r="P59" s="160"/>
      <c r="Q59" s="160"/>
      <c r="R59" s="160"/>
      <c r="S59" s="160"/>
      <c r="T59" s="160"/>
      <c r="U59" s="160"/>
      <c r="V59" s="160"/>
      <c r="W59" s="160"/>
      <c r="X59" s="160"/>
    </row>
    <row r="60" spans="1:25" s="13" customFormat="1" ht="12.75" customHeight="1">
      <c r="A60" s="152" t="s">
        <v>76</v>
      </c>
      <c r="B60" s="179" t="s">
        <v>142</v>
      </c>
      <c r="C60" s="103"/>
      <c r="D60" s="103">
        <f ca="1"/>
        <v>0.53</v>
      </c>
      <c r="E60" s="103">
        <f ca="1"/>
        <v>0.17</v>
      </c>
      <c r="F60" s="103">
        <f ca="1"/>
        <v>0.15026179456138125</v>
      </c>
      <c r="G60" s="103">
        <f ca="1"/>
        <v>0.374</v>
      </c>
      <c r="H60" s="103">
        <f ca="1"/>
        <v>6.611767931509983E-3</v>
      </c>
      <c r="I60" s="103"/>
      <c r="J60" s="103"/>
      <c r="K60" s="103">
        <f ca="1"/>
        <v>0.30399571478196497</v>
      </c>
      <c r="L60" s="103"/>
      <c r="M60" s="103">
        <f ca="1"/>
        <v>0.13059437444862024</v>
      </c>
      <c r="N60" s="155"/>
      <c r="O60" s="160"/>
      <c r="P60" s="160"/>
      <c r="Q60" s="160"/>
      <c r="R60" s="160"/>
      <c r="S60" s="160"/>
      <c r="T60" s="160"/>
      <c r="U60" s="160"/>
      <c r="V60" s="160"/>
      <c r="W60" s="160"/>
      <c r="X60" s="160"/>
    </row>
    <row r="61" spans="1:25" s="13" customFormat="1" ht="12.75" customHeight="1">
      <c r="A61" s="152" t="s">
        <v>76</v>
      </c>
      <c r="B61" s="179" t="s">
        <v>200</v>
      </c>
      <c r="C61" s="103"/>
      <c r="D61" s="103">
        <f ca="1"/>
        <v>0</v>
      </c>
      <c r="E61" s="103">
        <f ca="1"/>
        <v>0</v>
      </c>
      <c r="F61" s="103">
        <f ca="1"/>
        <v>0</v>
      </c>
      <c r="G61" s="103">
        <f ca="1"/>
        <v>0</v>
      </c>
      <c r="H61" s="103">
        <f ca="1"/>
        <v>0</v>
      </c>
      <c r="I61" s="103">
        <v>0</v>
      </c>
      <c r="J61" s="103">
        <v>0</v>
      </c>
      <c r="K61" s="103">
        <f ca="1"/>
        <v>0</v>
      </c>
      <c r="L61" s="103">
        <v>0</v>
      </c>
      <c r="M61" s="103">
        <f ca="1"/>
        <v>0</v>
      </c>
      <c r="N61" s="155"/>
      <c r="O61" s="160"/>
      <c r="P61" s="160"/>
      <c r="Q61" s="160"/>
      <c r="R61" s="160"/>
      <c r="S61" s="160"/>
      <c r="T61" s="160"/>
      <c r="U61" s="160"/>
      <c r="V61" s="160"/>
      <c r="W61" s="160"/>
      <c r="X61" s="160"/>
    </row>
    <row r="62" spans="1:25" s="13" customFormat="1" ht="13.7" customHeight="1">
      <c r="A62" s="152" t="s">
        <v>76</v>
      </c>
      <c r="B62" s="179" t="s">
        <v>201</v>
      </c>
      <c r="C62" s="110"/>
      <c r="D62" s="110">
        <f ca="1"/>
        <v>0</v>
      </c>
      <c r="E62" s="110">
        <f ca="1"/>
        <v>0</v>
      </c>
      <c r="F62" s="110">
        <f ca="1"/>
        <v>0</v>
      </c>
      <c r="G62" s="110">
        <f ca="1"/>
        <v>0</v>
      </c>
      <c r="H62" s="110">
        <f ca="1"/>
        <v>5.1814766252686585E-2</v>
      </c>
      <c r="I62" s="110"/>
      <c r="J62" s="110"/>
      <c r="K62" s="110">
        <f ca="1"/>
        <v>0</v>
      </c>
      <c r="L62" s="110"/>
      <c r="M62" s="110">
        <f ca="1"/>
        <v>3.5000000000000003E-2</v>
      </c>
      <c r="N62" s="155"/>
      <c r="O62" s="160"/>
      <c r="P62" s="160"/>
      <c r="Q62" s="160"/>
      <c r="R62" s="160"/>
      <c r="S62" s="160"/>
      <c r="T62" s="160"/>
      <c r="U62" s="160"/>
      <c r="V62" s="160"/>
      <c r="W62" s="160"/>
      <c r="X62" s="160"/>
    </row>
    <row r="63" spans="1:25" s="13" customFormat="1" ht="12.75" customHeight="1">
      <c r="A63" s="152" t="s">
        <v>65</v>
      </c>
      <c r="B63" s="176" t="s">
        <v>231</v>
      </c>
      <c r="C63" s="182"/>
      <c r="D63" s="182">
        <f t="shared" ref="D63:M63" ca="1" si="18">1-D58</f>
        <v>0</v>
      </c>
      <c r="E63" s="182">
        <f t="shared" ca="1" si="18"/>
        <v>0</v>
      </c>
      <c r="F63" s="182">
        <f t="shared" ca="1" si="18"/>
        <v>0.7515398597649583</v>
      </c>
      <c r="G63" s="182">
        <f t="shared" ca="1" si="18"/>
        <v>0.25</v>
      </c>
      <c r="H63" s="182">
        <f t="shared" ca="1" si="18"/>
        <v>0</v>
      </c>
      <c r="I63" s="182">
        <f t="shared" si="18"/>
        <v>1</v>
      </c>
      <c r="J63" s="182">
        <f t="shared" si="18"/>
        <v>1</v>
      </c>
      <c r="K63" s="182">
        <f t="shared" ca="1" si="18"/>
        <v>0.5156291625331646</v>
      </c>
      <c r="L63" s="182">
        <f t="shared" si="18"/>
        <v>1</v>
      </c>
      <c r="M63" s="182">
        <f t="shared" ca="1" si="18"/>
        <v>7.944385606241966E-2</v>
      </c>
      <c r="N63" s="155"/>
      <c r="O63" s="160"/>
      <c r="P63" s="160"/>
      <c r="Q63" s="160"/>
      <c r="R63" s="160"/>
      <c r="S63" s="160"/>
      <c r="T63" s="160"/>
      <c r="U63" s="160"/>
      <c r="V63" s="160"/>
      <c r="W63" s="160"/>
      <c r="X63" s="160"/>
    </row>
    <row r="64" spans="1:25" s="13" customFormat="1" ht="12.75" customHeight="1">
      <c r="A64" s="152" t="s">
        <v>76</v>
      </c>
      <c r="B64" s="178" t="s">
        <v>107</v>
      </c>
      <c r="C64" s="42"/>
      <c r="D64" s="89">
        <f t="array" aca="1" ref="D64:D67" ca="1">OFFSET(CalibData2!$O$3,D$56+5,0,4)</f>
        <v>0</v>
      </c>
      <c r="E64" s="89">
        <f t="array" aca="1" ref="E64:E67" ca="1">OFFSET(CalibData2!$O$3,E$56+5,0,4)</f>
        <v>0</v>
      </c>
      <c r="F64" s="89">
        <f t="array" aca="1" ref="F64:F67" ca="1">OFFSET(CalibData2!$O$3,F$56+5,0,4)</f>
        <v>0.99055637960520104</v>
      </c>
      <c r="G64" s="89">
        <f t="array" aca="1" ref="G64:G67" ca="1">OFFSET(CalibData2!$O$3,G$56+5,0,4)</f>
        <v>0.4</v>
      </c>
      <c r="H64" s="89">
        <f t="array" aca="1" ref="H64:H67" ca="1">OFFSET(CalibData2!$O$3,H$56+5,0,4)</f>
        <v>0</v>
      </c>
      <c r="I64" s="89"/>
      <c r="J64" s="89"/>
      <c r="K64" s="89">
        <f t="array" aca="1" ref="K64:K67" ca="1">OFFSET(CalibData2!$O$3,K$56+5,0,4)</f>
        <v>0.24473033977883984</v>
      </c>
      <c r="L64" s="89"/>
      <c r="M64" s="89">
        <f t="array" aca="1" ref="M64:M67" ca="1">OFFSET(CalibData2!$O$3,M$56+5,0,4)</f>
        <v>0.56432145521791766</v>
      </c>
      <c r="N64" s="155"/>
      <c r="O64" s="160"/>
      <c r="P64" s="160"/>
      <c r="Q64" s="160"/>
      <c r="R64" s="160"/>
      <c r="S64" s="160"/>
      <c r="T64" s="160"/>
      <c r="U64" s="160"/>
      <c r="V64" s="160"/>
      <c r="W64" s="160"/>
      <c r="X64" s="160"/>
    </row>
    <row r="65" spans="1:24" s="13" customFormat="1" ht="12.75" customHeight="1">
      <c r="A65" s="152" t="s">
        <v>76</v>
      </c>
      <c r="B65" s="178" t="s">
        <v>108</v>
      </c>
      <c r="C65" s="42"/>
      <c r="D65" s="89">
        <f ca="1"/>
        <v>0</v>
      </c>
      <c r="E65" s="89">
        <f ca="1"/>
        <v>0</v>
      </c>
      <c r="F65" s="89">
        <f ca="1"/>
        <v>0</v>
      </c>
      <c r="G65" s="89">
        <f ca="1"/>
        <v>0</v>
      </c>
      <c r="H65" s="89">
        <f ca="1"/>
        <v>0</v>
      </c>
      <c r="I65" s="89"/>
      <c r="J65" s="89"/>
      <c r="K65" s="89">
        <f ca="1"/>
        <v>0.31227240380626642</v>
      </c>
      <c r="L65" s="89"/>
      <c r="M65" s="89">
        <f ca="1"/>
        <v>0</v>
      </c>
      <c r="N65" s="155"/>
      <c r="O65" s="160"/>
      <c r="P65" s="160"/>
      <c r="Q65" s="160"/>
      <c r="R65" s="160"/>
      <c r="S65" s="160"/>
      <c r="T65" s="160"/>
      <c r="U65" s="160"/>
      <c r="V65" s="160"/>
      <c r="W65" s="160"/>
      <c r="X65" s="160"/>
    </row>
    <row r="66" spans="1:24" s="13" customFormat="1" ht="12.75" customHeight="1">
      <c r="A66" s="152" t="s">
        <v>76</v>
      </c>
      <c r="B66" s="178" t="s">
        <v>256</v>
      </c>
      <c r="C66" s="42"/>
      <c r="D66" s="90">
        <f ca="1"/>
        <v>0</v>
      </c>
      <c r="E66" s="90">
        <f ca="1"/>
        <v>0</v>
      </c>
      <c r="F66" s="90">
        <f ca="1"/>
        <v>9.4436203947989572E-3</v>
      </c>
      <c r="G66" s="90">
        <f ca="1"/>
        <v>0.6</v>
      </c>
      <c r="H66" s="90">
        <f ca="1"/>
        <v>1</v>
      </c>
      <c r="I66" s="90"/>
      <c r="J66" s="90"/>
      <c r="K66" s="90">
        <f ca="1"/>
        <v>0.44299725641489374</v>
      </c>
      <c r="L66" s="90"/>
      <c r="M66" s="90">
        <f ca="1"/>
        <v>0.43567854478208229</v>
      </c>
      <c r="N66" s="155"/>
      <c r="O66" s="160"/>
      <c r="P66" s="160"/>
      <c r="Q66" s="160"/>
      <c r="R66" s="160"/>
      <c r="S66" s="160"/>
      <c r="T66" s="160"/>
      <c r="U66" s="160"/>
      <c r="V66" s="160"/>
      <c r="W66" s="160"/>
      <c r="X66" s="160"/>
    </row>
    <row r="67" spans="1:24" s="13" customFormat="1" ht="12.75" customHeight="1">
      <c r="A67" s="152" t="s">
        <v>76</v>
      </c>
      <c r="B67" s="178" t="s">
        <v>116</v>
      </c>
      <c r="C67" s="42"/>
      <c r="D67" s="90">
        <f ca="1"/>
        <v>0</v>
      </c>
      <c r="E67" s="90">
        <f ca="1"/>
        <v>0</v>
      </c>
      <c r="F67" s="90">
        <f ca="1"/>
        <v>0</v>
      </c>
      <c r="G67" s="90">
        <f ca="1"/>
        <v>0</v>
      </c>
      <c r="H67" s="90">
        <f ca="1"/>
        <v>0</v>
      </c>
      <c r="I67" s="90"/>
      <c r="J67" s="90"/>
      <c r="K67" s="90">
        <f ca="1"/>
        <v>0</v>
      </c>
      <c r="L67" s="90"/>
      <c r="M67" s="90">
        <f ca="1"/>
        <v>0</v>
      </c>
      <c r="N67" s="155"/>
      <c r="O67" s="160"/>
      <c r="P67" s="160"/>
      <c r="Q67" s="160"/>
      <c r="R67" s="160"/>
      <c r="S67" s="160"/>
      <c r="T67" s="160"/>
      <c r="U67" s="160"/>
      <c r="V67" s="160"/>
      <c r="W67" s="160"/>
      <c r="X67" s="160"/>
    </row>
    <row r="68" spans="1:24" s="13" customFormat="1" ht="12.75" customHeight="1">
      <c r="A68" s="152"/>
      <c r="B68" s="178"/>
      <c r="C68" s="183">
        <f>SUM(C63:C67)</f>
        <v>0</v>
      </c>
      <c r="D68" s="183">
        <f t="shared" ref="D68:M68" ca="1" si="19">SUM(D64:D67)</f>
        <v>0</v>
      </c>
      <c r="E68" s="183">
        <f t="shared" ca="1" si="19"/>
        <v>0</v>
      </c>
      <c r="F68" s="183">
        <f t="shared" ca="1" si="19"/>
        <v>1</v>
      </c>
      <c r="G68" s="183">
        <f t="shared" ca="1" si="19"/>
        <v>1</v>
      </c>
      <c r="H68" s="183">
        <f t="shared" ca="1" si="19"/>
        <v>1</v>
      </c>
      <c r="I68" s="183">
        <f t="shared" si="19"/>
        <v>0</v>
      </c>
      <c r="J68" s="183">
        <f t="shared" si="19"/>
        <v>0</v>
      </c>
      <c r="K68" s="183">
        <f t="shared" ca="1" si="19"/>
        <v>1</v>
      </c>
      <c r="L68" s="183">
        <f t="shared" si="19"/>
        <v>0</v>
      </c>
      <c r="M68" s="183">
        <f t="shared" ca="1" si="19"/>
        <v>1</v>
      </c>
      <c r="N68" s="155"/>
      <c r="O68" s="160"/>
      <c r="P68" s="160"/>
      <c r="Q68" s="160"/>
      <c r="R68" s="160"/>
      <c r="S68" s="160"/>
      <c r="T68" s="160"/>
      <c r="U68" s="160"/>
      <c r="V68" s="160"/>
      <c r="W68" s="160"/>
      <c r="X68" s="160"/>
    </row>
    <row r="69" spans="1:24" s="13" customFormat="1" ht="12.75" customHeight="1">
      <c r="A69" s="152" t="s">
        <v>81</v>
      </c>
      <c r="B69" s="178" t="s">
        <v>109</v>
      </c>
      <c r="C69" s="42">
        <f ca="1">OFFSET(CalibData2!$O$3,$C$56,0)</f>
        <v>0</v>
      </c>
      <c r="D69" s="42">
        <v>0.5</v>
      </c>
      <c r="E69" s="42">
        <v>0.5</v>
      </c>
      <c r="F69" s="42">
        <f ca="1">OFFSET(CalibData2!$O$3,$C$56+1,0)</f>
        <v>0</v>
      </c>
      <c r="G69" s="42">
        <f ca="1">OFFSET(CalibData2!$O$3,$C$56+2,0)</f>
        <v>0</v>
      </c>
      <c r="H69" s="42">
        <f ca="1">OFFSET(CalibData2!$O$3,$C$56+3,0)</f>
        <v>0</v>
      </c>
      <c r="I69" s="42"/>
      <c r="J69" s="42"/>
      <c r="K69" s="42">
        <f ca="1">OFFSET(CalibData2!$O$3,$C$56+4,0)</f>
        <v>0.89</v>
      </c>
      <c r="L69" s="42"/>
      <c r="M69" s="239">
        <f ca="1">OFFSET(CalibData2!$O$3,$C$56+6,0)</f>
        <v>0.1</v>
      </c>
      <c r="N69" s="155"/>
      <c r="O69" s="160"/>
      <c r="P69" s="160"/>
      <c r="Q69" s="160"/>
      <c r="R69" s="160"/>
      <c r="S69" s="160"/>
      <c r="T69" s="160"/>
      <c r="U69" s="160"/>
      <c r="V69" s="160"/>
      <c r="W69" s="160"/>
      <c r="X69" s="160"/>
    </row>
    <row r="70" spans="1:24" s="13" customFormat="1" ht="12.75" customHeight="1">
      <c r="A70" s="152" t="s">
        <v>81</v>
      </c>
      <c r="B70" s="178" t="s">
        <v>67</v>
      </c>
      <c r="C70" s="42">
        <f t="shared" ref="C70:H70" ca="1" si="20">1-C69</f>
        <v>1</v>
      </c>
      <c r="D70" s="42">
        <f t="shared" si="20"/>
        <v>0.5</v>
      </c>
      <c r="E70" s="42">
        <f t="shared" si="20"/>
        <v>0.5</v>
      </c>
      <c r="F70" s="42">
        <f t="shared" ca="1" si="20"/>
        <v>1</v>
      </c>
      <c r="G70" s="42">
        <f t="shared" ca="1" si="20"/>
        <v>1</v>
      </c>
      <c r="H70" s="42">
        <f t="shared" ca="1" si="20"/>
        <v>1</v>
      </c>
      <c r="I70" s="42"/>
      <c r="J70" s="42"/>
      <c r="K70" s="42">
        <f ca="1">1-K69</f>
        <v>0.10999999999999999</v>
      </c>
      <c r="L70" s="42"/>
      <c r="M70" s="239">
        <f ca="1">1-M69</f>
        <v>0.9</v>
      </c>
      <c r="N70" s="155"/>
      <c r="O70" s="160"/>
      <c r="P70" s="160"/>
      <c r="Q70" s="160"/>
      <c r="R70" s="160"/>
      <c r="S70" s="160"/>
      <c r="T70" s="160"/>
      <c r="U70" s="160"/>
      <c r="V70" s="160"/>
      <c r="W70" s="160"/>
      <c r="X70" s="160"/>
    </row>
    <row r="71" spans="1:24" s="13" customFormat="1" ht="12.75" customHeight="1">
      <c r="A71" s="152"/>
      <c r="B71" s="152"/>
      <c r="C71" s="152"/>
      <c r="D71" s="152"/>
      <c r="E71" s="155"/>
      <c r="F71" s="152"/>
      <c r="G71" s="152"/>
      <c r="H71" s="152" t="s">
        <v>65</v>
      </c>
      <c r="I71" s="152"/>
      <c r="J71" s="152"/>
      <c r="K71" s="152"/>
      <c r="L71" s="152"/>
      <c r="M71" s="152"/>
      <c r="N71" s="155"/>
      <c r="O71" s="160"/>
      <c r="P71" s="160"/>
      <c r="Q71" s="160"/>
      <c r="R71" s="160"/>
      <c r="S71" s="160"/>
      <c r="T71" s="160"/>
      <c r="U71" s="160"/>
      <c r="V71" s="160"/>
      <c r="W71" s="160"/>
      <c r="X71" s="160"/>
    </row>
    <row r="72" spans="1:24" s="13" customFormat="1" ht="12.75" customHeight="1">
      <c r="A72" s="152"/>
      <c r="B72" s="152"/>
      <c r="C72" s="152"/>
      <c r="D72" s="152"/>
      <c r="E72" s="155"/>
      <c r="F72" s="152"/>
      <c r="G72" s="152"/>
      <c r="H72" s="152"/>
      <c r="I72" s="152"/>
      <c r="J72" s="152"/>
      <c r="K72" s="152"/>
      <c r="L72" s="152"/>
      <c r="M72" s="152"/>
      <c r="N72" s="155"/>
      <c r="O72" s="160"/>
      <c r="P72" s="160"/>
      <c r="Q72" s="160"/>
      <c r="R72" s="160"/>
      <c r="S72" s="160"/>
      <c r="T72" s="160"/>
      <c r="U72" s="160"/>
      <c r="V72" s="160"/>
      <c r="W72" s="160"/>
      <c r="X72" s="160"/>
    </row>
    <row r="73" spans="1:24" s="13" customFormat="1" ht="18">
      <c r="A73" s="155"/>
      <c r="B73" s="106" t="s">
        <v>276</v>
      </c>
      <c r="C73" s="101"/>
      <c r="D73" s="101"/>
      <c r="E73" s="101"/>
      <c r="F73" s="101"/>
      <c r="G73" s="155"/>
      <c r="H73" s="155"/>
      <c r="I73" s="155"/>
      <c r="J73" s="155"/>
      <c r="K73" s="155"/>
      <c r="L73" s="155"/>
      <c r="M73" s="155"/>
      <c r="N73" s="155"/>
      <c r="O73" s="155"/>
      <c r="P73" s="167"/>
      <c r="Q73" s="167"/>
      <c r="R73" s="167"/>
      <c r="S73" s="167"/>
      <c r="T73" s="167"/>
      <c r="U73" s="167"/>
      <c r="V73" s="167"/>
      <c r="W73" s="167"/>
      <c r="X73" s="167"/>
    </row>
    <row r="74" spans="1:24" s="13" customFormat="1" ht="12.75" customHeight="1">
      <c r="A74" s="155"/>
      <c r="B74" s="175"/>
      <c r="C74" s="168" t="s">
        <v>97</v>
      </c>
      <c r="D74" s="168" t="s">
        <v>160</v>
      </c>
      <c r="E74" s="168" t="s">
        <v>161</v>
      </c>
      <c r="F74" s="168" t="s">
        <v>118</v>
      </c>
      <c r="G74" s="168" t="s">
        <v>85</v>
      </c>
      <c r="H74" s="168" t="s">
        <v>114</v>
      </c>
      <c r="I74" s="168" t="s">
        <v>115</v>
      </c>
      <c r="J74" s="168" t="s">
        <v>106</v>
      </c>
      <c r="K74" s="168" t="s">
        <v>57</v>
      </c>
      <c r="L74" s="168" t="s">
        <v>68</v>
      </c>
      <c r="M74" s="168" t="s">
        <v>62</v>
      </c>
      <c r="N74" s="168" t="s">
        <v>63</v>
      </c>
      <c r="O74" s="152"/>
      <c r="P74" s="257" t="s">
        <v>448</v>
      </c>
      <c r="Q74" s="257" t="s">
        <v>449</v>
      </c>
      <c r="R74" s="167"/>
      <c r="S74" s="167"/>
      <c r="T74" s="167"/>
      <c r="U74" s="167"/>
      <c r="V74" s="167"/>
      <c r="W74" s="167"/>
      <c r="X74" s="167"/>
    </row>
    <row r="75" spans="1:24" s="13" customFormat="1" ht="12.75" customHeight="1">
      <c r="A75" s="156" t="s">
        <v>79</v>
      </c>
      <c r="B75" s="163" t="s">
        <v>110</v>
      </c>
      <c r="C75" s="47">
        <f>C43</f>
        <v>0</v>
      </c>
      <c r="D75" s="47">
        <f>E43</f>
        <v>0</v>
      </c>
      <c r="E75" s="36">
        <f>D43</f>
        <v>0</v>
      </c>
      <c r="F75" s="47">
        <f t="shared" ref="F75:M76" si="21">F43</f>
        <v>0</v>
      </c>
      <c r="G75" s="47">
        <f t="shared" si="21"/>
        <v>0</v>
      </c>
      <c r="H75" s="47">
        <f t="shared" si="21"/>
        <v>0</v>
      </c>
      <c r="I75" s="47">
        <f t="shared" si="21"/>
        <v>0</v>
      </c>
      <c r="J75" s="47">
        <f t="shared" si="21"/>
        <v>25.464600720000004</v>
      </c>
      <c r="K75" s="47">
        <f t="shared" si="21"/>
        <v>0</v>
      </c>
      <c r="L75" s="47">
        <f t="shared" si="21"/>
        <v>0</v>
      </c>
      <c r="M75" s="47">
        <f t="shared" si="21"/>
        <v>0</v>
      </c>
      <c r="N75" s="169">
        <f>SUM(C75:M75)</f>
        <v>25.464600720000004</v>
      </c>
      <c r="O75" s="165">
        <f ca="1">N75/$N$95</f>
        <v>0.52840083775321556</v>
      </c>
      <c r="P75" s="167"/>
      <c r="Q75" s="257"/>
      <c r="R75" s="167"/>
      <c r="S75" s="167"/>
      <c r="T75" s="167"/>
      <c r="U75" s="167"/>
      <c r="V75" s="167"/>
      <c r="W75" s="167"/>
      <c r="X75" s="167"/>
    </row>
    <row r="76" spans="1:24" ht="12.75" customHeight="1">
      <c r="A76" s="156" t="s">
        <v>80</v>
      </c>
      <c r="B76" s="180" t="s">
        <v>110</v>
      </c>
      <c r="C76" s="47">
        <f>C44</f>
        <v>0</v>
      </c>
      <c r="D76" s="47">
        <f>E44</f>
        <v>0</v>
      </c>
      <c r="E76" s="36">
        <f>D44</f>
        <v>0</v>
      </c>
      <c r="F76" s="47">
        <f t="shared" si="21"/>
        <v>0</v>
      </c>
      <c r="G76" s="47">
        <f t="shared" si="21"/>
        <v>0</v>
      </c>
      <c r="H76" s="47">
        <f t="shared" si="21"/>
        <v>0</v>
      </c>
      <c r="I76" s="47">
        <f t="shared" si="21"/>
        <v>1.759964E-2</v>
      </c>
      <c r="J76" s="47">
        <f t="shared" si="21"/>
        <v>1.8919998400000002</v>
      </c>
      <c r="K76" s="47">
        <f t="shared" si="21"/>
        <v>0</v>
      </c>
      <c r="L76" s="47">
        <f t="shared" si="21"/>
        <v>0</v>
      </c>
      <c r="M76" s="47">
        <f t="shared" si="21"/>
        <v>0</v>
      </c>
      <c r="N76" s="169">
        <f>SUM(C76:M76)</f>
        <v>1.9095994800000002</v>
      </c>
      <c r="O76" s="165">
        <f ca="1">N76/$N$95</f>
        <v>3.9624967070958445E-2</v>
      </c>
      <c r="P76" s="160"/>
      <c r="Q76" s="258"/>
      <c r="R76" s="160"/>
      <c r="S76" s="160"/>
      <c r="T76" s="160"/>
      <c r="U76" s="160"/>
      <c r="V76" s="160"/>
      <c r="W76" s="160"/>
      <c r="X76" s="160"/>
    </row>
    <row r="77" spans="1:24" ht="12.75" customHeight="1">
      <c r="A77" s="156"/>
      <c r="B77" s="180"/>
      <c r="C77" s="169"/>
      <c r="D77" s="169"/>
      <c r="E77" s="169"/>
      <c r="F77" s="169"/>
      <c r="G77" s="169"/>
      <c r="H77" s="169"/>
      <c r="I77" s="169"/>
      <c r="J77" s="169"/>
      <c r="K77" s="169"/>
      <c r="L77" s="169"/>
      <c r="M77" s="169"/>
      <c r="N77" s="169"/>
      <c r="O77" s="165"/>
      <c r="P77" s="160"/>
      <c r="Q77" s="258"/>
      <c r="R77" s="160"/>
      <c r="S77" s="160"/>
      <c r="T77" s="160"/>
      <c r="U77" s="160"/>
      <c r="V77" s="160"/>
      <c r="W77" s="160"/>
      <c r="X77" s="160"/>
    </row>
    <row r="78" spans="1:24" ht="12.75" customHeight="1">
      <c r="A78" s="156" t="str">
        <f t="shared" ref="A78:B80" si="22">A59</f>
        <v>ROAD</v>
      </c>
      <c r="B78" s="180" t="str">
        <f t="shared" si="22"/>
        <v>Auto</v>
      </c>
      <c r="C78" s="47">
        <f>C$45*C59</f>
        <v>0</v>
      </c>
      <c r="D78" s="47">
        <f ca="1">E$45*D58*D59</f>
        <v>0</v>
      </c>
      <c r="E78" s="47">
        <f ca="1">D$45*E$58*E59</f>
        <v>0.65908892608941594</v>
      </c>
      <c r="F78" s="47">
        <f t="shared" ref="F78:H79" ca="1" si="23">F$45*F$58*F59</f>
        <v>5.1066370969548398E-3</v>
      </c>
      <c r="G78" s="47">
        <f t="shared" ca="1" si="23"/>
        <v>0</v>
      </c>
      <c r="H78" s="47">
        <f t="shared" ca="1" si="23"/>
        <v>6.5240335627492483</v>
      </c>
      <c r="I78" s="47">
        <f>I45*I58*I59</f>
        <v>0</v>
      </c>
      <c r="J78" s="47">
        <f>J45*J58*J59</f>
        <v>0</v>
      </c>
      <c r="K78" s="47">
        <f ca="1">K45*K58*K59</f>
        <v>3.7264355698821077</v>
      </c>
      <c r="L78" s="47">
        <f>L45*L58*L59</f>
        <v>0</v>
      </c>
      <c r="M78" s="47">
        <f ca="1">M45*M58*M59</f>
        <v>6.6690660784387464E-3</v>
      </c>
      <c r="N78" s="169">
        <f t="shared" ref="N78:N85" ca="1" si="24">SUM(C78:M78)</f>
        <v>10.921333761896166</v>
      </c>
      <c r="O78" s="165">
        <f t="shared" ref="O78:O85" ca="1" si="25">N78/$N$95</f>
        <v>0.22662212428235592</v>
      </c>
      <c r="P78" s="259">
        <f ca="1">E78-MIN(0.07*H78,E78)-MAX(0,E78-0.07*H78)/3</f>
        <v>0.13493771779797897</v>
      </c>
      <c r="Q78" s="259">
        <f ca="1">E78-P78</f>
        <v>0.52415120829143702</v>
      </c>
      <c r="R78" s="160"/>
      <c r="S78" s="160"/>
      <c r="T78" s="160"/>
      <c r="U78" s="160"/>
      <c r="V78" s="160"/>
      <c r="W78" s="160"/>
      <c r="X78" s="160"/>
    </row>
    <row r="79" spans="1:24" ht="12.75" customHeight="1">
      <c r="A79" s="156" t="str">
        <f t="shared" si="22"/>
        <v>ROAD</v>
      </c>
      <c r="B79" s="180" t="str">
        <f t="shared" si="22"/>
        <v>Light Trucks</v>
      </c>
      <c r="C79" s="47">
        <f>C$45*C60</f>
        <v>0</v>
      </c>
      <c r="D79" s="47">
        <f ca="1">E$45*D58*D60</f>
        <v>0</v>
      </c>
      <c r="E79" s="47">
        <f ca="1">D$45*E$58*E60</f>
        <v>0.13499411739180811</v>
      </c>
      <c r="F79" s="47">
        <f t="shared" ca="1" si="23"/>
        <v>9.0302218901181929E-4</v>
      </c>
      <c r="G79" s="47">
        <f t="shared" ca="1" si="23"/>
        <v>0</v>
      </c>
      <c r="H79" s="47">
        <f t="shared" ca="1" si="23"/>
        <v>4.581203428126205E-2</v>
      </c>
      <c r="I79" s="47">
        <f>I45*I58*I60</f>
        <v>0</v>
      </c>
      <c r="J79" s="47">
        <f>J45*J58*J60</f>
        <v>0</v>
      </c>
      <c r="K79" s="47">
        <f ca="1">K45*K58*K60</f>
        <v>1.6276055603599844</v>
      </c>
      <c r="L79" s="47">
        <f>L45*L58*L60</f>
        <v>0</v>
      </c>
      <c r="M79" s="47">
        <f ca="1">M45*M58*M60</f>
        <v>1.0437879204070531E-3</v>
      </c>
      <c r="N79" s="169">
        <f t="shared" ca="1" si="24"/>
        <v>1.8103585221424734</v>
      </c>
      <c r="O79" s="165">
        <f t="shared" ca="1" si="25"/>
        <v>3.7565676770358408E-2</v>
      </c>
      <c r="P79" s="259">
        <f ca="1">E79-MIN(0.07*(H79+K79),E79)-MAX(0,E79-0.07*(H79+K79))/3</f>
        <v>1.190325717794723E-2</v>
      </c>
      <c r="Q79" s="259">
        <f ca="1">E79-P79</f>
        <v>0.12309086021386088</v>
      </c>
      <c r="R79" s="160"/>
      <c r="S79" s="160"/>
      <c r="T79" s="160"/>
      <c r="U79" s="160"/>
      <c r="V79" s="160"/>
      <c r="W79" s="160"/>
      <c r="X79" s="160"/>
    </row>
    <row r="80" spans="1:24" ht="12.75" customHeight="1">
      <c r="A80" s="156" t="str">
        <f t="shared" si="22"/>
        <v>ROAD</v>
      </c>
      <c r="B80" s="163" t="str">
        <f t="shared" si="22"/>
        <v>Three Wheels</v>
      </c>
      <c r="C80" s="47">
        <f>C$45*C61</f>
        <v>0</v>
      </c>
      <c r="D80" s="47">
        <f ca="1">E$45*D58*D61</f>
        <v>0</v>
      </c>
      <c r="E80" s="47">
        <f ca="1">D$45*E58*E61</f>
        <v>0</v>
      </c>
      <c r="F80" s="47">
        <f t="shared" ref="F80:M80" ca="1" si="26">F$45*F58*F61</f>
        <v>0</v>
      </c>
      <c r="G80" s="47">
        <f t="shared" ca="1" si="26"/>
        <v>0</v>
      </c>
      <c r="H80" s="47">
        <f t="shared" ca="1" si="26"/>
        <v>0</v>
      </c>
      <c r="I80" s="47">
        <f t="shared" si="26"/>
        <v>0</v>
      </c>
      <c r="J80" s="47">
        <f t="shared" si="26"/>
        <v>0</v>
      </c>
      <c r="K80" s="47">
        <f t="shared" ca="1" si="26"/>
        <v>0</v>
      </c>
      <c r="L80" s="47">
        <f t="shared" si="26"/>
        <v>0</v>
      </c>
      <c r="M80" s="47">
        <f t="shared" ca="1" si="26"/>
        <v>0</v>
      </c>
      <c r="N80" s="169">
        <f t="shared" ca="1" si="24"/>
        <v>0</v>
      </c>
      <c r="O80" s="165">
        <f t="shared" ca="1" si="25"/>
        <v>0</v>
      </c>
      <c r="P80" s="260"/>
      <c r="Q80" s="260"/>
      <c r="R80" s="160"/>
      <c r="S80" s="160"/>
      <c r="T80" s="160"/>
      <c r="U80" s="160"/>
      <c r="V80" s="160"/>
      <c r="W80" s="160"/>
      <c r="X80" s="160"/>
    </row>
    <row r="81" spans="1:24" ht="12.75" customHeight="1">
      <c r="A81" s="156" t="str">
        <f t="shared" ref="A81:B84" si="27">A64</f>
        <v>ROAD</v>
      </c>
      <c r="B81" s="163" t="str">
        <f t="shared" si="27"/>
        <v>Bus</v>
      </c>
      <c r="C81" s="47">
        <f>C$45*C64</f>
        <v>0</v>
      </c>
      <c r="D81" s="47">
        <f ca="1">E$45*D$63*D64</f>
        <v>0</v>
      </c>
      <c r="E81" s="47">
        <f ca="1">D$45*E$63*E64</f>
        <v>0</v>
      </c>
      <c r="F81" s="47">
        <f t="shared" ref="F81:M84" ca="1" si="28">F$45*F$63*F64</f>
        <v>1.8006294271020226E-2</v>
      </c>
      <c r="G81" s="47">
        <f t="shared" ca="1" si="28"/>
        <v>0</v>
      </c>
      <c r="H81" s="47">
        <f t="shared" ca="1" si="28"/>
        <v>0</v>
      </c>
      <c r="I81" s="47">
        <f t="shared" si="28"/>
        <v>0</v>
      </c>
      <c r="J81" s="47">
        <f t="shared" si="28"/>
        <v>0</v>
      </c>
      <c r="K81" s="47">
        <f t="shared" ca="1" si="28"/>
        <v>1.394854797509629</v>
      </c>
      <c r="L81" s="47">
        <f t="shared" si="28"/>
        <v>0</v>
      </c>
      <c r="M81" s="47">
        <f t="shared" ca="1" si="28"/>
        <v>3.8924621148920001E-4</v>
      </c>
      <c r="N81" s="169">
        <f t="shared" ca="1" si="24"/>
        <v>1.4132503379921384</v>
      </c>
      <c r="O81" s="165">
        <f t="shared" ca="1" si="25"/>
        <v>2.9325520190212541E-2</v>
      </c>
      <c r="P81" s="160"/>
      <c r="Q81" s="160"/>
      <c r="R81" s="160"/>
      <c r="S81" s="160"/>
      <c r="T81" s="160"/>
      <c r="U81" s="160"/>
      <c r="V81" s="160"/>
      <c r="W81" s="160"/>
      <c r="X81" s="160"/>
    </row>
    <row r="82" spans="1:24" ht="12.75" customHeight="1">
      <c r="A82" s="156" t="str">
        <f t="shared" si="27"/>
        <v>ROAD</v>
      </c>
      <c r="B82" s="163" t="str">
        <f t="shared" si="27"/>
        <v>Heavy Trucks</v>
      </c>
      <c r="C82" s="47">
        <f>C$45*C65</f>
        <v>0</v>
      </c>
      <c r="D82" s="47">
        <f ca="1">E$45*D$63*D65</f>
        <v>0</v>
      </c>
      <c r="E82" s="47">
        <f ca="1">D$45*E$63*E65</f>
        <v>0</v>
      </c>
      <c r="F82" s="47">
        <f t="shared" ca="1" si="28"/>
        <v>0</v>
      </c>
      <c r="G82" s="47">
        <f t="shared" ca="1" si="28"/>
        <v>0</v>
      </c>
      <c r="H82" s="47">
        <f t="shared" ca="1" si="28"/>
        <v>0</v>
      </c>
      <c r="I82" s="47">
        <f t="shared" si="28"/>
        <v>0</v>
      </c>
      <c r="J82" s="47">
        <f t="shared" si="28"/>
        <v>0</v>
      </c>
      <c r="K82" s="47">
        <f t="shared" ca="1" si="28"/>
        <v>1.7798147175894046</v>
      </c>
      <c r="L82" s="47">
        <f t="shared" si="28"/>
        <v>0</v>
      </c>
      <c r="M82" s="47">
        <f t="shared" ca="1" si="28"/>
        <v>0</v>
      </c>
      <c r="N82" s="169">
        <f t="shared" ca="1" si="24"/>
        <v>1.7798147175894046</v>
      </c>
      <c r="O82" s="165">
        <f t="shared" ca="1" si="25"/>
        <v>3.6931880384093604E-2</v>
      </c>
      <c r="P82" s="160"/>
      <c r="Q82" s="160"/>
      <c r="R82" s="160"/>
      <c r="S82" s="160"/>
      <c r="T82" s="160"/>
      <c r="U82" s="160"/>
      <c r="V82" s="160"/>
      <c r="W82" s="160"/>
      <c r="X82" s="160"/>
    </row>
    <row r="83" spans="1:24" ht="12.75" customHeight="1">
      <c r="A83" s="156" t="str">
        <f t="shared" si="27"/>
        <v>ROAD</v>
      </c>
      <c r="B83" s="163" t="str">
        <f t="shared" si="27"/>
        <v>Medium Trucks</v>
      </c>
      <c r="C83" s="47">
        <f>C$45*C66</f>
        <v>0</v>
      </c>
      <c r="D83" s="47">
        <f ca="1">E$45*D$63*D66</f>
        <v>0</v>
      </c>
      <c r="E83" s="47">
        <f ca="1">D$45*E$63*E66</f>
        <v>0</v>
      </c>
      <c r="F83" s="47">
        <f t="shared" ca="1" si="28"/>
        <v>1.7166575402838928E-4</v>
      </c>
      <c r="G83" s="47">
        <f t="shared" ca="1" si="28"/>
        <v>0</v>
      </c>
      <c r="H83" s="47">
        <f t="shared" ca="1" si="28"/>
        <v>0</v>
      </c>
      <c r="I83" s="47">
        <f t="shared" si="28"/>
        <v>0</v>
      </c>
      <c r="J83" s="47">
        <f t="shared" si="28"/>
        <v>0</v>
      </c>
      <c r="K83" s="47">
        <f t="shared" ca="1" si="28"/>
        <v>2.5248886139426872</v>
      </c>
      <c r="L83" s="47">
        <f t="shared" si="28"/>
        <v>0</v>
      </c>
      <c r="M83" s="47">
        <f t="shared" ca="1" si="28"/>
        <v>3.0051351302612817E-4</v>
      </c>
      <c r="N83" s="169">
        <f t="shared" ca="1" si="24"/>
        <v>2.5253607932097415</v>
      </c>
      <c r="O83" s="165">
        <f t="shared" ca="1" si="25"/>
        <v>5.2402265145791459E-2</v>
      </c>
      <c r="P83" s="160"/>
      <c r="Q83" s="160"/>
      <c r="R83" s="160"/>
      <c r="S83" s="160"/>
      <c r="T83" s="160"/>
      <c r="U83" s="160"/>
      <c r="V83" s="160"/>
      <c r="W83" s="160"/>
      <c r="X83" s="160"/>
    </row>
    <row r="84" spans="1:24" ht="12.75" customHeight="1">
      <c r="A84" s="156" t="str">
        <f t="shared" si="27"/>
        <v>ROAD</v>
      </c>
      <c r="B84" s="163" t="str">
        <f t="shared" si="27"/>
        <v>Commercial Trucks</v>
      </c>
      <c r="C84" s="47">
        <f>C$45*C67</f>
        <v>0</v>
      </c>
      <c r="D84" s="47">
        <f ca="1">E$45*D$63*D67</f>
        <v>0</v>
      </c>
      <c r="E84" s="47">
        <f ca="1">D$45*E$63*E67</f>
        <v>0</v>
      </c>
      <c r="F84" s="47">
        <f t="shared" ca="1" si="28"/>
        <v>0</v>
      </c>
      <c r="G84" s="47">
        <f t="shared" ca="1" si="28"/>
        <v>0</v>
      </c>
      <c r="H84" s="47">
        <f t="shared" ca="1" si="28"/>
        <v>0</v>
      </c>
      <c r="I84" s="47">
        <f t="shared" si="28"/>
        <v>0</v>
      </c>
      <c r="J84" s="47">
        <f t="shared" si="28"/>
        <v>0</v>
      </c>
      <c r="K84" s="47">
        <f t="shared" ca="1" si="28"/>
        <v>0</v>
      </c>
      <c r="L84" s="47">
        <f t="shared" si="28"/>
        <v>0</v>
      </c>
      <c r="M84" s="47">
        <f t="shared" ca="1" si="28"/>
        <v>0</v>
      </c>
      <c r="N84" s="169">
        <f t="shared" ca="1" si="24"/>
        <v>0</v>
      </c>
      <c r="O84" s="165">
        <f t="shared" ca="1" si="25"/>
        <v>0</v>
      </c>
      <c r="P84" s="160"/>
      <c r="Q84" s="160"/>
      <c r="R84" s="160"/>
      <c r="S84" s="160"/>
      <c r="T84" s="160"/>
      <c r="U84" s="160"/>
      <c r="V84" s="160"/>
      <c r="W84" s="160"/>
      <c r="X84" s="160"/>
    </row>
    <row r="85" spans="1:24" ht="12.75" customHeight="1">
      <c r="A85" s="156" t="str">
        <f>A62</f>
        <v>ROAD</v>
      </c>
      <c r="B85" s="163" t="str">
        <f>B62</f>
        <v>Two Wheels</v>
      </c>
      <c r="C85" s="47">
        <f>C$45*C62</f>
        <v>0</v>
      </c>
      <c r="D85" s="47">
        <f ca="1">E$45*D$58*D62</f>
        <v>0</v>
      </c>
      <c r="E85" s="47">
        <f ca="1">F$45*E$58*E62</f>
        <v>0</v>
      </c>
      <c r="F85" s="47">
        <f t="shared" ref="F85:M85" ca="1" si="29">F$45*F$58*F62</f>
        <v>0</v>
      </c>
      <c r="G85" s="47">
        <f t="shared" ca="1" si="29"/>
        <v>0</v>
      </c>
      <c r="H85" s="47">
        <f t="shared" ca="1" si="29"/>
        <v>0.35901741749449873</v>
      </c>
      <c r="I85" s="47">
        <f t="shared" si="29"/>
        <v>0</v>
      </c>
      <c r="J85" s="47">
        <f t="shared" si="29"/>
        <v>0</v>
      </c>
      <c r="K85" s="47">
        <f t="shared" ca="1" si="29"/>
        <v>0</v>
      </c>
      <c r="L85" s="47">
        <f t="shared" si="29"/>
        <v>0</v>
      </c>
      <c r="M85" s="47">
        <f t="shared" ca="1" si="29"/>
        <v>2.7974081861098754E-4</v>
      </c>
      <c r="N85" s="169">
        <f t="shared" ca="1" si="24"/>
        <v>0.35929715831310971</v>
      </c>
      <c r="O85" s="165">
        <f t="shared" ca="1" si="25"/>
        <v>7.4555623919869913E-3</v>
      </c>
      <c r="P85" s="160"/>
      <c r="Q85" s="160"/>
      <c r="R85" s="160"/>
      <c r="S85" s="160"/>
      <c r="T85" s="160"/>
      <c r="U85" s="160"/>
      <c r="V85" s="160"/>
      <c r="W85" s="160"/>
      <c r="X85" s="160"/>
    </row>
    <row r="86" spans="1:24" ht="12.75" customHeight="1">
      <c r="A86" s="156"/>
      <c r="B86" s="156"/>
      <c r="C86" s="156"/>
      <c r="D86" s="156"/>
      <c r="E86" s="156"/>
      <c r="F86" s="156"/>
      <c r="G86" s="156"/>
      <c r="H86" s="156"/>
      <c r="I86" s="156"/>
      <c r="J86" s="156"/>
      <c r="K86" s="156"/>
      <c r="L86" s="156"/>
      <c r="M86" s="156"/>
      <c r="N86" s="169"/>
      <c r="O86" s="165"/>
      <c r="P86" s="160"/>
      <c r="Q86" s="160"/>
      <c r="R86" s="160"/>
      <c r="S86" s="160"/>
      <c r="T86" s="160"/>
      <c r="U86" s="160"/>
      <c r="V86" s="160"/>
      <c r="W86" s="160"/>
      <c r="X86" s="160"/>
    </row>
    <row r="87" spans="1:24" ht="12.75" customHeight="1">
      <c r="A87" s="156" t="str">
        <f>A69</f>
        <v>RAIL</v>
      </c>
      <c r="B87" s="156" t="str">
        <f>B69</f>
        <v>Freight</v>
      </c>
      <c r="C87" s="47">
        <f t="shared" ref="C87:L87" ca="1" si="30">C$46*C69</f>
        <v>0</v>
      </c>
      <c r="D87" s="47">
        <f t="shared" si="30"/>
        <v>0</v>
      </c>
      <c r="E87" s="47">
        <f t="shared" si="30"/>
        <v>0</v>
      </c>
      <c r="F87" s="47">
        <f t="shared" ca="1" si="30"/>
        <v>0</v>
      </c>
      <c r="G87" s="47">
        <f t="shared" ca="1" si="30"/>
        <v>0</v>
      </c>
      <c r="H87" s="47">
        <f t="shared" ca="1" si="30"/>
        <v>0</v>
      </c>
      <c r="I87" s="47">
        <f t="shared" si="30"/>
        <v>0</v>
      </c>
      <c r="J87" s="47">
        <f t="shared" si="30"/>
        <v>0</v>
      </c>
      <c r="K87" s="47">
        <f t="shared" ca="1" si="30"/>
        <v>3.7914053400000002E-2</v>
      </c>
      <c r="L87" s="47">
        <f t="shared" si="30"/>
        <v>0</v>
      </c>
      <c r="M87" s="47">
        <f ca="1">M46*M69</f>
        <v>6.750744175765111E-2</v>
      </c>
      <c r="N87" s="169">
        <f ca="1">SUM(C87:M87)</f>
        <v>0.10542149515765112</v>
      </c>
      <c r="O87" s="165">
        <f ca="1">N87/$N$95</f>
        <v>2.1875389671729122E-3</v>
      </c>
      <c r="P87" s="160"/>
      <c r="Q87" s="160"/>
      <c r="R87" s="160"/>
      <c r="S87" s="160"/>
      <c r="T87" s="160"/>
      <c r="U87" s="160"/>
      <c r="V87" s="160"/>
      <c r="W87" s="160"/>
      <c r="X87" s="160"/>
    </row>
    <row r="88" spans="1:24" ht="12.75" customHeight="1">
      <c r="A88" s="156" t="str">
        <f>A70</f>
        <v>RAIL</v>
      </c>
      <c r="B88" s="156" t="str">
        <f>B70</f>
        <v>Passengers</v>
      </c>
      <c r="C88" s="47">
        <f t="shared" ref="C88:L88" ca="1" si="31">C$46*C70</f>
        <v>0</v>
      </c>
      <c r="D88" s="47">
        <f t="shared" si="31"/>
        <v>0</v>
      </c>
      <c r="E88" s="47">
        <f t="shared" si="31"/>
        <v>0</v>
      </c>
      <c r="F88" s="47">
        <f t="shared" ca="1" si="31"/>
        <v>0</v>
      </c>
      <c r="G88" s="47">
        <f t="shared" ca="1" si="31"/>
        <v>0</v>
      </c>
      <c r="H88" s="47">
        <f t="shared" ca="1" si="31"/>
        <v>0</v>
      </c>
      <c r="I88" s="47">
        <f t="shared" si="31"/>
        <v>0</v>
      </c>
      <c r="J88" s="47">
        <f t="shared" si="31"/>
        <v>0</v>
      </c>
      <c r="K88" s="47">
        <f t="shared" ca="1" si="31"/>
        <v>4.6860065999999997E-3</v>
      </c>
      <c r="L88" s="47">
        <f t="shared" si="31"/>
        <v>0</v>
      </c>
      <c r="M88" s="47">
        <f ca="1">M46*M70</f>
        <v>0.60756697581885999</v>
      </c>
      <c r="N88" s="169">
        <f ca="1">SUM(C88:M88)</f>
        <v>0.61225298241885995</v>
      </c>
      <c r="O88" s="165">
        <f ca="1">N88/$N$95</f>
        <v>1.2704498781830116E-2</v>
      </c>
      <c r="P88" s="160"/>
      <c r="Q88" s="160"/>
      <c r="R88" s="160"/>
      <c r="S88" s="160"/>
      <c r="T88" s="160"/>
      <c r="U88" s="160"/>
      <c r="V88" s="160"/>
      <c r="W88" s="160"/>
      <c r="X88" s="160"/>
    </row>
    <row r="89" spans="1:24" ht="12.75" customHeight="1">
      <c r="A89" s="156"/>
      <c r="B89" s="156"/>
      <c r="C89" s="169"/>
      <c r="D89" s="169"/>
      <c r="E89" s="169"/>
      <c r="F89" s="169"/>
      <c r="G89" s="169"/>
      <c r="H89" s="169" t="s">
        <v>65</v>
      </c>
      <c r="I89" s="169"/>
      <c r="J89" s="169"/>
      <c r="K89" s="169"/>
      <c r="L89" s="169"/>
      <c r="M89" s="169"/>
      <c r="N89" s="169"/>
      <c r="O89" s="165"/>
      <c r="P89" s="160"/>
      <c r="Q89" s="160"/>
      <c r="R89" s="160"/>
      <c r="S89" s="160"/>
      <c r="T89" s="160"/>
      <c r="U89" s="160"/>
      <c r="V89" s="160"/>
      <c r="W89" s="160"/>
      <c r="X89" s="160"/>
    </row>
    <row r="90" spans="1:24" ht="12.75" customHeight="1">
      <c r="A90" s="156" t="s">
        <v>82</v>
      </c>
      <c r="B90" s="156" t="s">
        <v>110</v>
      </c>
      <c r="C90" s="47">
        <f t="shared" ref="C90:M90" si="32">C47</f>
        <v>0</v>
      </c>
      <c r="D90" s="47">
        <f t="shared" si="32"/>
        <v>0</v>
      </c>
      <c r="E90" s="47">
        <f t="shared" si="32"/>
        <v>0</v>
      </c>
      <c r="F90" s="47">
        <f t="shared" si="32"/>
        <v>0</v>
      </c>
      <c r="G90" s="47">
        <f t="shared" si="32"/>
        <v>0</v>
      </c>
      <c r="H90" s="47">
        <f t="shared" si="32"/>
        <v>4.0920023999999992E-2</v>
      </c>
      <c r="I90" s="47">
        <f t="shared" si="32"/>
        <v>0</v>
      </c>
      <c r="J90" s="47">
        <f t="shared" si="32"/>
        <v>0</v>
      </c>
      <c r="K90" s="47">
        <f t="shared" si="32"/>
        <v>0.10730977799999999</v>
      </c>
      <c r="L90" s="47">
        <f t="shared" si="32"/>
        <v>1.3199975999999999E-2</v>
      </c>
      <c r="M90" s="47">
        <f t="shared" si="32"/>
        <v>0</v>
      </c>
      <c r="N90" s="169">
        <f>SUM(C90:M90)</f>
        <v>0.161429778</v>
      </c>
      <c r="O90" s="165">
        <f ca="1">N90/$N$95</f>
        <v>3.3497336507036183E-3</v>
      </c>
      <c r="P90" s="160"/>
      <c r="Q90" s="160"/>
      <c r="R90" s="160"/>
      <c r="S90" s="160"/>
      <c r="T90" s="160"/>
      <c r="U90" s="160"/>
      <c r="V90" s="160"/>
      <c r="W90" s="160"/>
      <c r="X90" s="160"/>
    </row>
    <row r="91" spans="1:24" ht="12.75" customHeight="1">
      <c r="A91" s="156"/>
      <c r="B91" s="156"/>
      <c r="C91" s="169"/>
      <c r="D91" s="169"/>
      <c r="E91" s="169"/>
      <c r="F91" s="169"/>
      <c r="G91" s="169"/>
      <c r="H91" s="169"/>
      <c r="I91" s="169"/>
      <c r="J91" s="169"/>
      <c r="K91" s="169"/>
      <c r="L91" s="169"/>
      <c r="M91" s="169"/>
      <c r="N91" s="169"/>
      <c r="O91" s="165"/>
      <c r="P91" s="160"/>
      <c r="Q91" s="160"/>
      <c r="R91" s="160"/>
      <c r="S91" s="160"/>
      <c r="T91" s="160"/>
      <c r="U91" s="160"/>
      <c r="V91" s="160"/>
      <c r="W91" s="160"/>
      <c r="X91" s="160"/>
    </row>
    <row r="92" spans="1:24" ht="12.75" customHeight="1">
      <c r="A92" s="156" t="s">
        <v>134</v>
      </c>
      <c r="B92" s="156" t="s">
        <v>110</v>
      </c>
      <c r="C92" s="47">
        <f t="shared" ref="C92:M92" si="33">C48</f>
        <v>0</v>
      </c>
      <c r="D92" s="47">
        <f t="shared" si="33"/>
        <v>0</v>
      </c>
      <c r="E92" s="47">
        <f t="shared" si="33"/>
        <v>0</v>
      </c>
      <c r="F92" s="47">
        <f t="shared" si="33"/>
        <v>0</v>
      </c>
      <c r="G92" s="47">
        <f t="shared" si="33"/>
        <v>0</v>
      </c>
      <c r="H92" s="47">
        <f t="shared" si="33"/>
        <v>0</v>
      </c>
      <c r="I92" s="47">
        <f t="shared" si="33"/>
        <v>0</v>
      </c>
      <c r="J92" s="47">
        <f t="shared" si="33"/>
        <v>0</v>
      </c>
      <c r="K92" s="47">
        <f t="shared" si="33"/>
        <v>0</v>
      </c>
      <c r="L92" s="47">
        <f t="shared" si="33"/>
        <v>0</v>
      </c>
      <c r="M92" s="47">
        <f t="shared" si="33"/>
        <v>0</v>
      </c>
      <c r="N92" s="169">
        <f>SUM(C92:M92)</f>
        <v>0</v>
      </c>
      <c r="O92" s="165">
        <f ca="1">N92/$N$95</f>
        <v>0</v>
      </c>
      <c r="P92" s="160"/>
      <c r="Q92" s="160"/>
      <c r="R92" s="160"/>
      <c r="S92" s="160"/>
      <c r="T92" s="160"/>
      <c r="U92" s="160"/>
      <c r="V92" s="160"/>
      <c r="W92" s="160"/>
      <c r="X92" s="160"/>
    </row>
    <row r="93" spans="1:24" ht="12.75" customHeight="1">
      <c r="A93" s="156"/>
      <c r="B93" s="156"/>
      <c r="C93" s="155"/>
      <c r="D93" s="155"/>
      <c r="E93" s="155"/>
      <c r="F93" s="155"/>
      <c r="G93" s="155"/>
      <c r="H93" s="155"/>
      <c r="I93" s="155"/>
      <c r="J93" s="155"/>
      <c r="K93" s="155"/>
      <c r="L93" s="155"/>
      <c r="M93" s="155"/>
      <c r="N93" s="155"/>
      <c r="O93" s="165"/>
      <c r="P93" s="160"/>
      <c r="Q93" s="160"/>
      <c r="R93" s="160"/>
      <c r="S93" s="160"/>
      <c r="T93" s="160"/>
      <c r="U93" s="160"/>
      <c r="V93" s="160"/>
      <c r="W93" s="160"/>
      <c r="X93" s="160"/>
    </row>
    <row r="94" spans="1:24" ht="12.75" customHeight="1">
      <c r="A94" s="156" t="s">
        <v>126</v>
      </c>
      <c r="B94" s="156" t="s">
        <v>110</v>
      </c>
      <c r="C94" s="47">
        <f t="shared" ref="C94:M94" si="34">C49</f>
        <v>0</v>
      </c>
      <c r="D94" s="47">
        <f t="shared" si="34"/>
        <v>0</v>
      </c>
      <c r="E94" s="47">
        <f t="shared" si="34"/>
        <v>0</v>
      </c>
      <c r="F94" s="47">
        <f t="shared" si="34"/>
        <v>1.4867363015273362E-2</v>
      </c>
      <c r="G94" s="47">
        <f t="shared" si="34"/>
        <v>0</v>
      </c>
      <c r="H94" s="47">
        <f t="shared" si="34"/>
        <v>0</v>
      </c>
      <c r="I94" s="47">
        <f t="shared" si="34"/>
        <v>0</v>
      </c>
      <c r="J94" s="47">
        <f t="shared" si="34"/>
        <v>0</v>
      </c>
      <c r="K94" s="47">
        <f t="shared" si="34"/>
        <v>0.22911705638957169</v>
      </c>
      <c r="L94" s="47">
        <f t="shared" si="34"/>
        <v>0.88512086632001152</v>
      </c>
      <c r="M94" s="47">
        <f t="shared" si="34"/>
        <v>0</v>
      </c>
      <c r="N94" s="169">
        <f>SUM(C94:M94)</f>
        <v>1.1291052857248567</v>
      </c>
      <c r="O94" s="165">
        <f ca="1">N94/$N$95</f>
        <v>2.3429394611320573E-2</v>
      </c>
      <c r="P94" s="160"/>
      <c r="Q94" s="160"/>
      <c r="R94" s="160"/>
      <c r="S94" s="160"/>
      <c r="T94" s="160"/>
      <c r="U94" s="160"/>
      <c r="V94" s="160"/>
      <c r="W94" s="160"/>
      <c r="X94" s="160"/>
    </row>
    <row r="95" spans="1:24" ht="12.75" customHeight="1">
      <c r="A95" s="158" t="s">
        <v>78</v>
      </c>
      <c r="B95" s="174"/>
      <c r="C95" s="170">
        <f t="shared" ref="C95:N95" ca="1" si="35">SUM(C75:C94)</f>
        <v>0</v>
      </c>
      <c r="D95" s="170">
        <f t="shared" ca="1" si="35"/>
        <v>0</v>
      </c>
      <c r="E95" s="170">
        <f t="shared" ca="1" si="35"/>
        <v>0.79408304348122405</v>
      </c>
      <c r="F95" s="170">
        <f t="shared" ca="1" si="35"/>
        <v>3.9054982326288637E-2</v>
      </c>
      <c r="G95" s="170">
        <f t="shared" ca="1" si="35"/>
        <v>0</v>
      </c>
      <c r="H95" s="170">
        <f t="shared" ca="1" si="35"/>
        <v>6.9697830385250095</v>
      </c>
      <c r="I95" s="170">
        <f t="shared" si="35"/>
        <v>1.759964E-2</v>
      </c>
      <c r="J95" s="170">
        <f t="shared" si="35"/>
        <v>27.356600560000004</v>
      </c>
      <c r="K95" s="170">
        <f t="shared" ca="1" si="35"/>
        <v>11.432626153673386</v>
      </c>
      <c r="L95" s="170">
        <f t="shared" si="35"/>
        <v>0.89832084232001153</v>
      </c>
      <c r="M95" s="170">
        <f t="shared" ca="1" si="35"/>
        <v>0.68375677211848318</v>
      </c>
      <c r="N95" s="170">
        <f t="shared" ca="1" si="35"/>
        <v>48.191825032444399</v>
      </c>
      <c r="O95" s="171">
        <f ca="1">N95/$N$95</f>
        <v>1</v>
      </c>
      <c r="P95" s="261">
        <f ca="1">SUM(P75:P94)</f>
        <v>0.14684097497592621</v>
      </c>
      <c r="Q95" s="261">
        <f ca="1">SUM(Q75:Q94)</f>
        <v>0.64724206850529786</v>
      </c>
      <c r="R95" s="160"/>
      <c r="S95" s="160"/>
      <c r="T95" s="160"/>
      <c r="U95" s="160"/>
      <c r="V95" s="160"/>
      <c r="W95" s="160"/>
      <c r="X95" s="160"/>
    </row>
    <row r="96" spans="1:24" ht="12.75" customHeight="1">
      <c r="A96" s="159" t="s">
        <v>250</v>
      </c>
      <c r="B96" s="159"/>
      <c r="C96" s="171">
        <f t="shared" ref="C96:N96" ca="1" si="36">C95/$N$95</f>
        <v>0</v>
      </c>
      <c r="D96" s="171">
        <f t="shared" ca="1" si="36"/>
        <v>0</v>
      </c>
      <c r="E96" s="171">
        <f t="shared" ca="1" si="36"/>
        <v>1.6477546615979367E-2</v>
      </c>
      <c r="F96" s="171">
        <f t="shared" ca="1" si="36"/>
        <v>8.1040679202324208E-4</v>
      </c>
      <c r="G96" s="171">
        <f t="shared" ca="1" si="36"/>
        <v>0</v>
      </c>
      <c r="H96" s="171">
        <f t="shared" ca="1" si="36"/>
        <v>0.14462583713799407</v>
      </c>
      <c r="I96" s="171">
        <f t="shared" ca="1" si="36"/>
        <v>3.6519969908073235E-4</v>
      </c>
      <c r="J96" s="171">
        <f t="shared" ca="1" si="36"/>
        <v>0.5676606051250932</v>
      </c>
      <c r="K96" s="171">
        <f t="shared" ca="1" si="36"/>
        <v>0.23723164968283619</v>
      </c>
      <c r="L96" s="171">
        <f t="shared" ca="1" si="36"/>
        <v>1.8640523402366084E-2</v>
      </c>
      <c r="M96" s="171">
        <f t="shared" ca="1" si="36"/>
        <v>1.4188231544627217E-2</v>
      </c>
      <c r="N96" s="171">
        <f t="shared" ca="1" si="36"/>
        <v>1</v>
      </c>
      <c r="O96" s="159"/>
      <c r="P96" s="160"/>
      <c r="Q96" s="160"/>
      <c r="R96" s="160"/>
      <c r="S96" s="160"/>
      <c r="T96" s="160"/>
      <c r="U96" s="160"/>
      <c r="V96" s="160"/>
      <c r="W96" s="160"/>
      <c r="X96" s="160"/>
    </row>
    <row r="97" spans="1:24">
      <c r="A97" s="160"/>
      <c r="B97" s="160"/>
      <c r="C97" s="160"/>
      <c r="D97" s="160"/>
      <c r="E97" s="160"/>
      <c r="F97" s="160"/>
      <c r="G97" s="160"/>
      <c r="H97" s="160"/>
      <c r="I97" s="160"/>
      <c r="J97" s="160"/>
      <c r="K97" s="160"/>
      <c r="L97" s="160"/>
      <c r="M97" s="160"/>
      <c r="N97" s="160"/>
      <c r="O97" s="160"/>
      <c r="P97" s="160"/>
      <c r="Q97" s="160"/>
      <c r="R97" s="160"/>
      <c r="S97" s="160"/>
      <c r="T97" s="160"/>
      <c r="U97" s="160"/>
      <c r="V97" s="160"/>
      <c r="W97" s="160"/>
      <c r="X97" s="160"/>
    </row>
    <row r="98" spans="1:24" ht="18">
      <c r="B98" s="104" t="s">
        <v>277</v>
      </c>
      <c r="C98" s="111"/>
      <c r="D98" s="111"/>
      <c r="E98" s="111"/>
      <c r="F98" s="111"/>
      <c r="G98" s="111"/>
      <c r="H98" s="160"/>
      <c r="I98" s="160"/>
      <c r="J98" s="160"/>
      <c r="K98" s="160"/>
      <c r="L98" s="160"/>
      <c r="M98" s="160"/>
      <c r="N98" s="160"/>
      <c r="O98" s="160"/>
      <c r="P98" s="160"/>
      <c r="Q98" s="160"/>
      <c r="R98" s="167"/>
      <c r="S98" s="160"/>
      <c r="T98" s="160"/>
      <c r="U98" s="160"/>
      <c r="V98" s="160"/>
      <c r="W98" s="160"/>
      <c r="X98" s="160"/>
    </row>
    <row r="99" spans="1:24">
      <c r="A99" s="154"/>
      <c r="B99" s="152" t="s">
        <v>90</v>
      </c>
      <c r="C99" s="161"/>
      <c r="D99" s="161"/>
      <c r="E99" s="161"/>
      <c r="F99" s="161"/>
      <c r="G99" s="161"/>
      <c r="H99" s="161"/>
      <c r="I99" s="161"/>
      <c r="J99" s="161"/>
      <c r="K99" s="161"/>
      <c r="L99" s="161"/>
      <c r="M99" s="161"/>
      <c r="N99" s="160"/>
      <c r="O99" s="160"/>
      <c r="P99" s="160"/>
      <c r="Q99" s="160"/>
      <c r="R99" s="160"/>
      <c r="S99" s="160"/>
      <c r="T99" s="160"/>
      <c r="U99" s="160"/>
      <c r="V99" s="160"/>
      <c r="W99" s="160"/>
      <c r="X99" s="160"/>
    </row>
    <row r="100" spans="1:24">
      <c r="A100" s="152" t="s">
        <v>340</v>
      </c>
      <c r="B100" s="162" t="s">
        <v>341</v>
      </c>
      <c r="C100" s="163" t="s">
        <v>342</v>
      </c>
      <c r="D100" s="164" t="s">
        <v>124</v>
      </c>
      <c r="E100" s="164" t="s">
        <v>267</v>
      </c>
      <c r="F100" s="163" t="s">
        <v>346</v>
      </c>
      <c r="G100" s="164" t="s">
        <v>268</v>
      </c>
      <c r="H100" s="164" t="s">
        <v>239</v>
      </c>
      <c r="I100" s="164" t="s">
        <v>71</v>
      </c>
      <c r="J100" s="164" t="s">
        <v>85</v>
      </c>
      <c r="K100" s="164" t="s">
        <v>75</v>
      </c>
      <c r="L100" s="164" t="s">
        <v>86</v>
      </c>
      <c r="M100" s="164" t="s">
        <v>88</v>
      </c>
      <c r="N100" s="164" t="s">
        <v>74</v>
      </c>
      <c r="O100" s="164" t="s">
        <v>72</v>
      </c>
      <c r="P100" s="164" t="s">
        <v>73</v>
      </c>
      <c r="Q100" s="164" t="s">
        <v>89</v>
      </c>
      <c r="R100" s="164" t="s">
        <v>77</v>
      </c>
      <c r="S100" s="164" t="s">
        <v>240</v>
      </c>
      <c r="T100" s="164" t="s">
        <v>241</v>
      </c>
      <c r="U100" s="164" t="s">
        <v>242</v>
      </c>
      <c r="V100" s="164" t="s">
        <v>243</v>
      </c>
      <c r="W100" s="164" t="s">
        <v>33</v>
      </c>
      <c r="X100" s="164" t="s">
        <v>78</v>
      </c>
    </row>
    <row r="101" spans="1:24">
      <c r="A101" s="156" t="s">
        <v>34</v>
      </c>
      <c r="B101" s="50">
        <v>0</v>
      </c>
      <c r="C101" s="51">
        <v>0</v>
      </c>
      <c r="D101" s="51">
        <v>0</v>
      </c>
      <c r="E101" s="52">
        <v>0</v>
      </c>
      <c r="F101" s="52">
        <v>0</v>
      </c>
      <c r="G101" s="52">
        <v>0</v>
      </c>
      <c r="H101" s="52">
        <v>0</v>
      </c>
      <c r="I101" s="51">
        <v>0</v>
      </c>
      <c r="J101" s="51">
        <v>0</v>
      </c>
      <c r="K101" s="51">
        <v>0</v>
      </c>
      <c r="L101" s="51">
        <v>0</v>
      </c>
      <c r="M101" s="51">
        <v>0</v>
      </c>
      <c r="N101" s="51">
        <v>0</v>
      </c>
      <c r="O101" s="51">
        <v>0</v>
      </c>
      <c r="P101" s="51">
        <v>0</v>
      </c>
      <c r="Q101" s="51">
        <v>0</v>
      </c>
      <c r="R101" s="51">
        <v>0</v>
      </c>
      <c r="S101" s="51">
        <v>0</v>
      </c>
      <c r="T101" s="51">
        <v>0</v>
      </c>
      <c r="U101" s="51">
        <v>0</v>
      </c>
      <c r="V101" s="51">
        <v>0</v>
      </c>
      <c r="W101" s="51">
        <v>0</v>
      </c>
      <c r="X101" s="52">
        <v>0</v>
      </c>
    </row>
    <row r="102" spans="1:24">
      <c r="B102" s="43" t="s">
        <v>92</v>
      </c>
      <c r="C102" s="43" t="s">
        <v>187</v>
      </c>
      <c r="D102" s="39" t="s">
        <v>196</v>
      </c>
      <c r="E102" s="39" t="s">
        <v>125</v>
      </c>
      <c r="F102" s="39" t="s">
        <v>197</v>
      </c>
      <c r="G102" s="39" t="s">
        <v>198</v>
      </c>
      <c r="H102" s="39" t="s">
        <v>244</v>
      </c>
      <c r="I102" s="43" t="s">
        <v>91</v>
      </c>
      <c r="J102" s="43" t="s">
        <v>334</v>
      </c>
      <c r="K102" s="43" t="s">
        <v>96</v>
      </c>
      <c r="L102" s="43" t="s">
        <v>131</v>
      </c>
      <c r="M102" s="43" t="s">
        <v>133</v>
      </c>
      <c r="N102" s="43" t="s">
        <v>95</v>
      </c>
      <c r="O102" s="39" t="s">
        <v>94</v>
      </c>
      <c r="P102" s="39" t="s">
        <v>93</v>
      </c>
      <c r="Q102" s="43" t="s">
        <v>220</v>
      </c>
      <c r="R102" s="43" t="s">
        <v>60</v>
      </c>
      <c r="S102" s="43" t="s">
        <v>245</v>
      </c>
      <c r="T102" s="39" t="s">
        <v>214</v>
      </c>
      <c r="U102" s="43" t="s">
        <v>193</v>
      </c>
      <c r="V102" s="43" t="s">
        <v>246</v>
      </c>
      <c r="W102" s="43" t="s">
        <v>217</v>
      </c>
      <c r="X102" s="160"/>
    </row>
    <row r="103" spans="1:24">
      <c r="A103" s="160"/>
      <c r="B103" s="160"/>
      <c r="C103" s="160"/>
      <c r="D103" s="160"/>
      <c r="E103" s="160"/>
      <c r="F103" s="160"/>
      <c r="G103" s="160"/>
      <c r="H103" s="160"/>
      <c r="I103" s="160"/>
      <c r="J103" s="160"/>
      <c r="K103" s="160"/>
      <c r="L103" s="160"/>
      <c r="M103" s="160"/>
      <c r="N103" s="160"/>
      <c r="O103" s="160"/>
      <c r="P103" s="160"/>
      <c r="Q103" s="160"/>
      <c r="R103" s="160"/>
      <c r="S103" s="160"/>
      <c r="T103" s="160"/>
      <c r="U103" s="160"/>
      <c r="V103" s="160"/>
      <c r="W103" s="160"/>
      <c r="X103" s="160"/>
    </row>
    <row r="104" spans="1:24">
      <c r="A104" s="160"/>
      <c r="B104" s="160"/>
      <c r="C104" s="160"/>
      <c r="D104" s="160"/>
      <c r="E104" s="160"/>
      <c r="F104" s="160"/>
      <c r="G104" s="160"/>
      <c r="H104" s="160"/>
      <c r="I104" s="160"/>
      <c r="J104" s="160"/>
      <c r="K104" s="160"/>
      <c r="L104" s="160"/>
      <c r="M104" s="160"/>
      <c r="N104" s="160"/>
      <c r="O104" s="160"/>
      <c r="P104" s="160"/>
      <c r="Q104" s="160"/>
      <c r="R104" s="160"/>
      <c r="S104" s="160"/>
      <c r="T104" s="160"/>
      <c r="U104" s="160"/>
      <c r="V104" s="160"/>
      <c r="W104" s="160"/>
      <c r="X104" s="160"/>
    </row>
    <row r="105" spans="1:24">
      <c r="A105" s="160"/>
      <c r="B105" s="160"/>
      <c r="C105" s="160"/>
      <c r="D105" s="160"/>
      <c r="E105" s="160"/>
      <c r="F105" s="160"/>
      <c r="G105" s="160"/>
      <c r="H105" s="160"/>
      <c r="I105" s="160"/>
      <c r="J105" s="160"/>
      <c r="K105" s="172"/>
      <c r="L105" s="173"/>
      <c r="M105" s="173"/>
      <c r="N105" s="173"/>
      <c r="O105" s="173"/>
      <c r="P105" s="172"/>
      <c r="Q105" s="160"/>
      <c r="R105" s="160"/>
      <c r="S105" s="160"/>
      <c r="T105" s="160"/>
      <c r="U105" s="160"/>
      <c r="V105" s="160"/>
      <c r="W105" s="160"/>
      <c r="X105" s="160"/>
    </row>
    <row r="107" spans="1:24">
      <c r="H107" s="227"/>
      <c r="I107" s="227"/>
      <c r="J107" s="227"/>
      <c r="K107" s="227"/>
      <c r="L107" s="227"/>
      <c r="M107" s="227"/>
    </row>
  </sheetData>
  <phoneticPr fontId="0" type="noConversion"/>
  <pageMargins left="0.75" right="0.75" top="1" bottom="1" header="0.5" footer="0.5"/>
  <pageSetup orientation="landscape" horizontalDpi="300" verticalDpi="300" r:id="rId1"/>
  <headerFooter alignWithMargins="0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3"/>
  <dimension ref="A1:Q127"/>
  <sheetViews>
    <sheetView showGridLines="0" showRowColHeaders="0" showZeros="0" showOutlineSymbols="0" zoomScale="75" workbookViewId="0">
      <pane xSplit="5" ySplit="3" topLeftCell="F77" activePane="bottomRight" state="frozen"/>
      <selection pane="topRight" activeCell="F1" sqref="F1"/>
      <selection pane="bottomLeft" activeCell="A4" sqref="A4"/>
      <selection pane="bottomRight" activeCell="Q119" sqref="Q119"/>
    </sheetView>
  </sheetViews>
  <sheetFormatPr defaultColWidth="0" defaultRowHeight="12.75" zeroHeight="1"/>
  <cols>
    <col min="1" max="1" width="12.140625" style="355" hidden="1" customWidth="1"/>
    <col min="2" max="2" width="12.5703125" style="355" hidden="1" customWidth="1"/>
    <col min="3" max="3" width="0" style="355" hidden="1" customWidth="1"/>
    <col min="4" max="5" width="5.140625" style="355" hidden="1" customWidth="1"/>
    <col min="6" max="16384" width="0" style="355" hidden="1"/>
  </cols>
  <sheetData>
    <row r="1" spans="1:17" hidden="1">
      <c r="B1" s="356" t="s">
        <v>362</v>
      </c>
      <c r="C1" s="357">
        <f>MATCH(Region,$F$3:$L$3,0)</f>
        <v>3</v>
      </c>
      <c r="D1" s="356"/>
      <c r="E1" s="358"/>
      <c r="F1" s="359"/>
      <c r="O1" s="360">
        <f>CODE("A")-1</f>
        <v>64</v>
      </c>
    </row>
    <row r="2" spans="1:17" ht="15" hidden="1">
      <c r="F2" s="361" t="s">
        <v>363</v>
      </c>
      <c r="J2" s="361" t="s">
        <v>463</v>
      </c>
      <c r="K2" s="361"/>
    </row>
    <row r="3" spans="1:17" ht="13.5" hidden="1" thickBot="1">
      <c r="A3" s="362" t="s">
        <v>367</v>
      </c>
      <c r="B3" s="362" t="s">
        <v>368</v>
      </c>
      <c r="C3" s="362" t="s">
        <v>90</v>
      </c>
      <c r="D3" s="362" t="s">
        <v>369</v>
      </c>
      <c r="E3" s="362" t="s">
        <v>370</v>
      </c>
      <c r="F3" s="363" t="s">
        <v>364</v>
      </c>
      <c r="G3" s="363" t="s">
        <v>396</v>
      </c>
      <c r="H3" s="364" t="s">
        <v>458</v>
      </c>
      <c r="J3" s="363" t="s">
        <v>364</v>
      </c>
      <c r="K3" s="363" t="s">
        <v>396</v>
      </c>
      <c r="L3" s="364" t="s">
        <v>458</v>
      </c>
      <c r="N3" s="365" t="str">
        <f>Region</f>
        <v>FIM</v>
      </c>
      <c r="O3" s="365" t="str">
        <f>Region</f>
        <v>FIM</v>
      </c>
      <c r="Q3" s="366" t="s">
        <v>479</v>
      </c>
    </row>
    <row r="4" spans="1:17" hidden="1">
      <c r="A4" s="355" t="s">
        <v>181</v>
      </c>
      <c r="B4" s="355" t="s">
        <v>160</v>
      </c>
      <c r="C4" s="367" t="s">
        <v>90</v>
      </c>
      <c r="D4" s="367" t="s">
        <v>371</v>
      </c>
      <c r="E4" s="367">
        <v>58</v>
      </c>
      <c r="F4" s="368">
        <v>1</v>
      </c>
      <c r="G4" s="369">
        <v>1</v>
      </c>
      <c r="H4" s="366">
        <v>1</v>
      </c>
      <c r="I4" s="370"/>
      <c r="J4" s="368">
        <v>1</v>
      </c>
      <c r="K4" s="371">
        <v>1</v>
      </c>
      <c r="L4" s="372">
        <v>1</v>
      </c>
      <c r="N4" s="373">
        <f t="shared" ref="N4:N35" ca="1" si="0">OFFSET($E4,0,RegIndex)</f>
        <v>1</v>
      </c>
      <c r="O4" s="373">
        <f t="shared" ref="O4:O35" ca="1" si="1">OFFSET($I4,0,RegIndex)</f>
        <v>1</v>
      </c>
      <c r="Q4" s="355" t="s">
        <v>480</v>
      </c>
    </row>
    <row r="5" spans="1:17" hidden="1">
      <c r="A5" s="355" t="s">
        <v>141</v>
      </c>
      <c r="B5" s="355" t="s">
        <v>160</v>
      </c>
      <c r="C5" s="367" t="s">
        <v>90</v>
      </c>
      <c r="D5" s="367" t="s">
        <v>371</v>
      </c>
      <c r="E5" s="367">
        <v>59</v>
      </c>
      <c r="F5" s="368">
        <v>0.47</v>
      </c>
      <c r="G5" s="369">
        <v>0.47</v>
      </c>
      <c r="H5" s="366">
        <v>0.47</v>
      </c>
      <c r="I5" s="370"/>
      <c r="J5" s="368">
        <v>0.47</v>
      </c>
      <c r="K5" s="371">
        <v>0.47</v>
      </c>
      <c r="L5" s="372">
        <v>0.47</v>
      </c>
      <c r="N5" s="373">
        <f t="shared" ca="1" si="0"/>
        <v>0.47</v>
      </c>
      <c r="O5" s="373">
        <f t="shared" ca="1" si="1"/>
        <v>0.47</v>
      </c>
    </row>
    <row r="6" spans="1:17" hidden="1">
      <c r="A6" s="355" t="s">
        <v>142</v>
      </c>
      <c r="B6" s="355" t="s">
        <v>160</v>
      </c>
      <c r="C6" s="355" t="s">
        <v>90</v>
      </c>
      <c r="D6" s="367" t="s">
        <v>371</v>
      </c>
      <c r="E6" s="367">
        <v>60</v>
      </c>
      <c r="F6" s="368">
        <v>0.53</v>
      </c>
      <c r="G6" s="369">
        <v>0.53</v>
      </c>
      <c r="H6" s="366">
        <v>0.53</v>
      </c>
      <c r="I6" s="370"/>
      <c r="J6" s="368">
        <v>0.53</v>
      </c>
      <c r="K6" s="371">
        <v>0.53</v>
      </c>
      <c r="L6" s="372">
        <v>0.53</v>
      </c>
      <c r="N6" s="373">
        <f t="shared" ca="1" si="0"/>
        <v>0.53</v>
      </c>
      <c r="O6" s="373">
        <f t="shared" ca="1" si="1"/>
        <v>0.53</v>
      </c>
    </row>
    <row r="7" spans="1:17" hidden="1">
      <c r="A7" s="355" t="s">
        <v>200</v>
      </c>
      <c r="B7" s="355" t="s">
        <v>160</v>
      </c>
      <c r="C7" s="355" t="s">
        <v>90</v>
      </c>
      <c r="D7" s="367" t="s">
        <v>371</v>
      </c>
      <c r="E7" s="367">
        <v>61</v>
      </c>
      <c r="F7" s="368">
        <v>0</v>
      </c>
      <c r="G7" s="369">
        <v>0</v>
      </c>
      <c r="H7" s="366">
        <v>0</v>
      </c>
      <c r="I7" s="370"/>
      <c r="J7" s="368">
        <v>0</v>
      </c>
      <c r="K7" s="371">
        <v>0</v>
      </c>
      <c r="L7" s="372">
        <v>0</v>
      </c>
      <c r="N7" s="373">
        <f t="shared" ca="1" si="0"/>
        <v>0</v>
      </c>
      <c r="O7" s="373">
        <f t="shared" ca="1" si="1"/>
        <v>0</v>
      </c>
    </row>
    <row r="8" spans="1:17" hidden="1">
      <c r="A8" s="355" t="s">
        <v>201</v>
      </c>
      <c r="B8" s="355" t="s">
        <v>160</v>
      </c>
      <c r="C8" s="355" t="s">
        <v>90</v>
      </c>
      <c r="D8" s="367" t="s">
        <v>371</v>
      </c>
      <c r="E8" s="367">
        <v>62</v>
      </c>
      <c r="F8" s="368">
        <v>0</v>
      </c>
      <c r="G8" s="369">
        <v>0</v>
      </c>
      <c r="H8" s="366">
        <v>0</v>
      </c>
      <c r="I8" s="370"/>
      <c r="J8" s="368">
        <v>0</v>
      </c>
      <c r="K8" s="371">
        <v>0</v>
      </c>
      <c r="L8" s="372">
        <v>0</v>
      </c>
      <c r="N8" s="373">
        <f t="shared" ca="1" si="0"/>
        <v>0</v>
      </c>
      <c r="O8" s="373">
        <f t="shared" ca="1" si="1"/>
        <v>0</v>
      </c>
    </row>
    <row r="9" spans="1:17" hidden="1">
      <c r="A9" s="355" t="s">
        <v>107</v>
      </c>
      <c r="B9" s="355" t="s">
        <v>160</v>
      </c>
      <c r="C9" s="355" t="s">
        <v>90</v>
      </c>
      <c r="D9" s="367" t="s">
        <v>371</v>
      </c>
      <c r="E9" s="367">
        <v>64</v>
      </c>
      <c r="F9" s="368">
        <v>0</v>
      </c>
      <c r="G9" s="369">
        <v>0</v>
      </c>
      <c r="H9" s="366">
        <v>0</v>
      </c>
      <c r="I9" s="370"/>
      <c r="J9" s="368">
        <v>0</v>
      </c>
      <c r="K9" s="371">
        <v>0</v>
      </c>
      <c r="L9" s="372">
        <v>0</v>
      </c>
      <c r="N9" s="373">
        <f t="shared" ca="1" si="0"/>
        <v>0</v>
      </c>
      <c r="O9" s="373">
        <f t="shared" ca="1" si="1"/>
        <v>0</v>
      </c>
    </row>
    <row r="10" spans="1:17" hidden="1">
      <c r="A10" s="355" t="s">
        <v>108</v>
      </c>
      <c r="B10" s="355" t="s">
        <v>160</v>
      </c>
      <c r="C10" s="355" t="s">
        <v>90</v>
      </c>
      <c r="D10" s="367" t="s">
        <v>371</v>
      </c>
      <c r="E10" s="367">
        <v>65</v>
      </c>
      <c r="F10" s="368">
        <v>0</v>
      </c>
      <c r="G10" s="369">
        <v>0</v>
      </c>
      <c r="H10" s="366">
        <v>0</v>
      </c>
      <c r="I10" s="370"/>
      <c r="J10" s="368">
        <v>0</v>
      </c>
      <c r="K10" s="371">
        <v>0</v>
      </c>
      <c r="L10" s="372">
        <v>0</v>
      </c>
      <c r="N10" s="373">
        <f t="shared" ca="1" si="0"/>
        <v>0</v>
      </c>
      <c r="O10" s="373">
        <f t="shared" ca="1" si="1"/>
        <v>0</v>
      </c>
    </row>
    <row r="11" spans="1:17" hidden="1">
      <c r="A11" s="355" t="s">
        <v>256</v>
      </c>
      <c r="B11" s="355" t="s">
        <v>160</v>
      </c>
      <c r="C11" s="355" t="s">
        <v>90</v>
      </c>
      <c r="D11" s="367" t="s">
        <v>371</v>
      </c>
      <c r="E11" s="367">
        <v>66</v>
      </c>
      <c r="F11" s="368">
        <v>0</v>
      </c>
      <c r="G11" s="369">
        <v>0</v>
      </c>
      <c r="H11" s="366">
        <v>0</v>
      </c>
      <c r="I11" s="370"/>
      <c r="J11" s="368">
        <v>0</v>
      </c>
      <c r="K11" s="371">
        <v>0</v>
      </c>
      <c r="L11" s="372">
        <v>0</v>
      </c>
      <c r="N11" s="373">
        <f t="shared" ca="1" si="0"/>
        <v>0</v>
      </c>
      <c r="O11" s="373">
        <f t="shared" ca="1" si="1"/>
        <v>0</v>
      </c>
    </row>
    <row r="12" spans="1:17" hidden="1">
      <c r="A12" s="355" t="s">
        <v>116</v>
      </c>
      <c r="B12" s="355" t="s">
        <v>160</v>
      </c>
      <c r="C12" s="355" t="s">
        <v>90</v>
      </c>
      <c r="D12" s="367" t="s">
        <v>371</v>
      </c>
      <c r="E12" s="367">
        <v>67</v>
      </c>
      <c r="F12" s="368">
        <v>0</v>
      </c>
      <c r="G12" s="369">
        <v>0</v>
      </c>
      <c r="H12" s="366">
        <v>0</v>
      </c>
      <c r="I12" s="370"/>
      <c r="J12" s="368">
        <v>0</v>
      </c>
      <c r="K12" s="371">
        <v>0</v>
      </c>
      <c r="L12" s="372">
        <v>0</v>
      </c>
      <c r="N12" s="373">
        <f t="shared" ca="1" si="0"/>
        <v>0</v>
      </c>
      <c r="O12" s="373">
        <f t="shared" ca="1" si="1"/>
        <v>0</v>
      </c>
    </row>
    <row r="13" spans="1:17" hidden="1">
      <c r="A13" s="355" t="s">
        <v>181</v>
      </c>
      <c r="B13" s="355" t="s">
        <v>161</v>
      </c>
      <c r="C13" s="355" t="s">
        <v>90</v>
      </c>
      <c r="D13" s="367" t="s">
        <v>372</v>
      </c>
      <c r="E13" s="367">
        <v>58</v>
      </c>
      <c r="F13" s="368">
        <v>1</v>
      </c>
      <c r="G13" s="369">
        <v>1</v>
      </c>
      <c r="H13" s="366">
        <v>1</v>
      </c>
      <c r="I13" s="370"/>
      <c r="J13" s="368">
        <v>1</v>
      </c>
      <c r="K13" s="371">
        <v>1</v>
      </c>
      <c r="L13" s="372">
        <v>1</v>
      </c>
      <c r="N13" s="373">
        <f t="shared" ca="1" si="0"/>
        <v>1</v>
      </c>
      <c r="O13" s="373">
        <f t="shared" ca="1" si="1"/>
        <v>1</v>
      </c>
    </row>
    <row r="14" spans="1:17" hidden="1">
      <c r="A14" s="355" t="s">
        <v>141</v>
      </c>
      <c r="B14" s="355" t="s">
        <v>161</v>
      </c>
      <c r="C14" s="355" t="s">
        <v>90</v>
      </c>
      <c r="D14" s="367" t="s">
        <v>372</v>
      </c>
      <c r="E14" s="367">
        <v>59</v>
      </c>
      <c r="F14" s="368">
        <v>0.2</v>
      </c>
      <c r="G14" s="369">
        <v>0.83</v>
      </c>
      <c r="H14" s="366">
        <v>0.83</v>
      </c>
      <c r="I14" s="370"/>
      <c r="J14" s="368">
        <v>0.2</v>
      </c>
      <c r="K14" s="371">
        <v>0.83</v>
      </c>
      <c r="L14" s="372">
        <v>0.83</v>
      </c>
      <c r="N14" s="373">
        <f t="shared" ca="1" si="0"/>
        <v>0.83</v>
      </c>
      <c r="O14" s="373">
        <f t="shared" ca="1" si="1"/>
        <v>0.83</v>
      </c>
    </row>
    <row r="15" spans="1:17" hidden="1">
      <c r="A15" s="355" t="s">
        <v>142</v>
      </c>
      <c r="B15" s="355" t="s">
        <v>161</v>
      </c>
      <c r="C15" s="355" t="s">
        <v>90</v>
      </c>
      <c r="D15" s="367" t="s">
        <v>372</v>
      </c>
      <c r="E15" s="367">
        <v>60</v>
      </c>
      <c r="F15" s="368">
        <v>0.8</v>
      </c>
      <c r="G15" s="369">
        <v>0.17</v>
      </c>
      <c r="H15" s="366">
        <v>0.17</v>
      </c>
      <c r="I15" s="370"/>
      <c r="J15" s="368">
        <v>0.8</v>
      </c>
      <c r="K15" s="371">
        <v>0.17</v>
      </c>
      <c r="L15" s="372">
        <v>0.17</v>
      </c>
      <c r="N15" s="373">
        <f t="shared" ca="1" si="0"/>
        <v>0.17</v>
      </c>
      <c r="O15" s="373">
        <f t="shared" ca="1" si="1"/>
        <v>0.17</v>
      </c>
    </row>
    <row r="16" spans="1:17" hidden="1">
      <c r="A16" s="355" t="s">
        <v>200</v>
      </c>
      <c r="B16" s="355" t="s">
        <v>161</v>
      </c>
      <c r="C16" s="355" t="s">
        <v>90</v>
      </c>
      <c r="D16" s="367" t="s">
        <v>372</v>
      </c>
      <c r="E16" s="367">
        <v>61</v>
      </c>
      <c r="F16" s="368">
        <v>0</v>
      </c>
      <c r="G16" s="369">
        <v>0</v>
      </c>
      <c r="H16" s="366">
        <v>0</v>
      </c>
      <c r="I16" s="370"/>
      <c r="J16" s="368">
        <v>0</v>
      </c>
      <c r="K16" s="371">
        <v>0</v>
      </c>
      <c r="L16" s="372">
        <v>0</v>
      </c>
      <c r="N16" s="373">
        <f t="shared" ca="1" si="0"/>
        <v>0</v>
      </c>
      <c r="O16" s="373">
        <f t="shared" ca="1" si="1"/>
        <v>0</v>
      </c>
    </row>
    <row r="17" spans="1:15" hidden="1">
      <c r="A17" s="355" t="s">
        <v>201</v>
      </c>
      <c r="B17" s="355" t="s">
        <v>161</v>
      </c>
      <c r="C17" s="355" t="s">
        <v>90</v>
      </c>
      <c r="D17" s="367" t="s">
        <v>372</v>
      </c>
      <c r="E17" s="367">
        <v>62</v>
      </c>
      <c r="F17" s="368">
        <v>0</v>
      </c>
      <c r="G17" s="369">
        <v>0</v>
      </c>
      <c r="H17" s="366">
        <v>0</v>
      </c>
      <c r="I17" s="370"/>
      <c r="J17" s="368">
        <v>0</v>
      </c>
      <c r="K17" s="371">
        <v>0</v>
      </c>
      <c r="L17" s="372">
        <v>0</v>
      </c>
      <c r="N17" s="373">
        <f t="shared" ca="1" si="0"/>
        <v>0</v>
      </c>
      <c r="O17" s="373">
        <f t="shared" ca="1" si="1"/>
        <v>0</v>
      </c>
    </row>
    <row r="18" spans="1:15" hidden="1">
      <c r="A18" s="355" t="s">
        <v>107</v>
      </c>
      <c r="B18" s="355" t="s">
        <v>161</v>
      </c>
      <c r="C18" s="355" t="s">
        <v>90</v>
      </c>
      <c r="D18" s="367" t="s">
        <v>372</v>
      </c>
      <c r="E18" s="367">
        <v>64</v>
      </c>
      <c r="F18" s="368">
        <v>0</v>
      </c>
      <c r="G18" s="369">
        <v>0</v>
      </c>
      <c r="H18" s="366">
        <v>0</v>
      </c>
      <c r="I18" s="370"/>
      <c r="J18" s="368">
        <v>0</v>
      </c>
      <c r="K18" s="371">
        <v>0</v>
      </c>
      <c r="L18" s="372">
        <v>0</v>
      </c>
      <c r="N18" s="373">
        <f t="shared" ca="1" si="0"/>
        <v>0</v>
      </c>
      <c r="O18" s="373">
        <f t="shared" ca="1" si="1"/>
        <v>0</v>
      </c>
    </row>
    <row r="19" spans="1:15" hidden="1">
      <c r="A19" s="355" t="s">
        <v>108</v>
      </c>
      <c r="B19" s="355" t="s">
        <v>161</v>
      </c>
      <c r="C19" s="355" t="s">
        <v>90</v>
      </c>
      <c r="D19" s="367" t="s">
        <v>372</v>
      </c>
      <c r="E19" s="367">
        <v>65</v>
      </c>
      <c r="F19" s="368">
        <v>0</v>
      </c>
      <c r="G19" s="369">
        <v>0</v>
      </c>
      <c r="H19" s="366">
        <v>0</v>
      </c>
      <c r="I19" s="370"/>
      <c r="J19" s="368">
        <v>0</v>
      </c>
      <c r="K19" s="371">
        <v>0</v>
      </c>
      <c r="L19" s="372">
        <v>0</v>
      </c>
      <c r="N19" s="373">
        <f t="shared" ca="1" si="0"/>
        <v>0</v>
      </c>
      <c r="O19" s="373">
        <f t="shared" ca="1" si="1"/>
        <v>0</v>
      </c>
    </row>
    <row r="20" spans="1:15" hidden="1">
      <c r="A20" s="355" t="s">
        <v>256</v>
      </c>
      <c r="B20" s="355" t="s">
        <v>161</v>
      </c>
      <c r="C20" s="355" t="s">
        <v>90</v>
      </c>
      <c r="D20" s="367" t="s">
        <v>372</v>
      </c>
      <c r="E20" s="367">
        <v>66</v>
      </c>
      <c r="F20" s="368">
        <v>0</v>
      </c>
      <c r="G20" s="369">
        <v>0</v>
      </c>
      <c r="H20" s="366">
        <v>0</v>
      </c>
      <c r="I20" s="370"/>
      <c r="J20" s="368">
        <v>0</v>
      </c>
      <c r="K20" s="371">
        <v>0</v>
      </c>
      <c r="L20" s="372">
        <v>0</v>
      </c>
      <c r="N20" s="373">
        <f t="shared" ca="1" si="0"/>
        <v>0</v>
      </c>
      <c r="O20" s="373">
        <f t="shared" ca="1" si="1"/>
        <v>0</v>
      </c>
    </row>
    <row r="21" spans="1:15" hidden="1">
      <c r="A21" s="355" t="s">
        <v>116</v>
      </c>
      <c r="B21" s="355" t="s">
        <v>161</v>
      </c>
      <c r="C21" s="355" t="s">
        <v>90</v>
      </c>
      <c r="D21" s="367" t="s">
        <v>372</v>
      </c>
      <c r="E21" s="367">
        <v>67</v>
      </c>
      <c r="F21" s="368">
        <v>0</v>
      </c>
      <c r="G21" s="369">
        <v>0</v>
      </c>
      <c r="H21" s="366">
        <v>0</v>
      </c>
      <c r="I21" s="370"/>
      <c r="J21" s="368">
        <v>0</v>
      </c>
      <c r="K21" s="371">
        <v>0</v>
      </c>
      <c r="L21" s="372">
        <v>0</v>
      </c>
      <c r="N21" s="373">
        <f t="shared" ca="1" si="0"/>
        <v>0</v>
      </c>
      <c r="O21" s="373">
        <f t="shared" ca="1" si="1"/>
        <v>0</v>
      </c>
    </row>
    <row r="22" spans="1:15" hidden="1">
      <c r="A22" s="355" t="s">
        <v>181</v>
      </c>
      <c r="B22" s="355" t="s">
        <v>118</v>
      </c>
      <c r="C22" s="355" t="s">
        <v>90</v>
      </c>
      <c r="D22" s="367" t="s">
        <v>373</v>
      </c>
      <c r="E22" s="367">
        <v>58</v>
      </c>
      <c r="F22" s="368">
        <v>0.68200000000000005</v>
      </c>
      <c r="G22" s="369">
        <v>0.4</v>
      </c>
      <c r="H22" s="366">
        <v>0.4</v>
      </c>
      <c r="I22" s="370"/>
      <c r="J22" s="368">
        <v>0.68200000000000005</v>
      </c>
      <c r="K22" s="371">
        <v>0.67086211571801924</v>
      </c>
      <c r="L22" s="372">
        <v>0.24846014023504176</v>
      </c>
      <c r="N22" s="373">
        <f t="shared" ca="1" si="0"/>
        <v>0.4</v>
      </c>
      <c r="O22" s="373">
        <f t="shared" ca="1" si="1"/>
        <v>0.24846014023504176</v>
      </c>
    </row>
    <row r="23" spans="1:15" hidden="1">
      <c r="A23" s="355" t="s">
        <v>141</v>
      </c>
      <c r="B23" s="355" t="s">
        <v>118</v>
      </c>
      <c r="C23" s="355" t="s">
        <v>90</v>
      </c>
      <c r="D23" s="367" t="s">
        <v>373</v>
      </c>
      <c r="E23" s="367">
        <v>59</v>
      </c>
      <c r="F23" s="368">
        <v>0.92</v>
      </c>
      <c r="G23" s="369">
        <v>0.92</v>
      </c>
      <c r="H23" s="366">
        <v>0.92</v>
      </c>
      <c r="I23" s="370"/>
      <c r="J23" s="368">
        <v>0.92</v>
      </c>
      <c r="K23" s="371">
        <v>0.8522437534002798</v>
      </c>
      <c r="L23" s="372">
        <v>0.84973820543861878</v>
      </c>
      <c r="N23" s="373">
        <f t="shared" ca="1" si="0"/>
        <v>0.92</v>
      </c>
      <c r="O23" s="373">
        <f t="shared" ca="1" si="1"/>
        <v>0.84973820543861878</v>
      </c>
    </row>
    <row r="24" spans="1:15" hidden="1">
      <c r="A24" s="355" t="s">
        <v>142</v>
      </c>
      <c r="B24" s="355" t="s">
        <v>118</v>
      </c>
      <c r="C24" s="355" t="s">
        <v>90</v>
      </c>
      <c r="D24" s="367" t="s">
        <v>373</v>
      </c>
      <c r="E24" s="367">
        <v>60</v>
      </c>
      <c r="F24" s="368">
        <v>0.08</v>
      </c>
      <c r="G24" s="369">
        <v>0.08</v>
      </c>
      <c r="H24" s="366">
        <v>0.08</v>
      </c>
      <c r="I24" s="370"/>
      <c r="J24" s="368">
        <v>0.08</v>
      </c>
      <c r="K24" s="371">
        <v>0.14775624659972014</v>
      </c>
      <c r="L24" s="372">
        <v>0.15026179456138125</v>
      </c>
      <c r="N24" s="373">
        <f t="shared" ca="1" si="0"/>
        <v>0.08</v>
      </c>
      <c r="O24" s="373">
        <f t="shared" ca="1" si="1"/>
        <v>0.15026179456138125</v>
      </c>
    </row>
    <row r="25" spans="1:15" hidden="1">
      <c r="A25" s="355" t="s">
        <v>200</v>
      </c>
      <c r="B25" s="355" t="s">
        <v>118</v>
      </c>
      <c r="C25" s="355" t="s">
        <v>90</v>
      </c>
      <c r="D25" s="367" t="s">
        <v>373</v>
      </c>
      <c r="E25" s="367">
        <v>61</v>
      </c>
      <c r="F25" s="368">
        <v>0</v>
      </c>
      <c r="G25" s="369">
        <v>0</v>
      </c>
      <c r="H25" s="366">
        <v>0</v>
      </c>
      <c r="I25" s="370"/>
      <c r="J25" s="368">
        <v>0</v>
      </c>
      <c r="K25" s="371">
        <v>0</v>
      </c>
      <c r="L25" s="372">
        <v>0</v>
      </c>
      <c r="N25" s="373">
        <f t="shared" ca="1" si="0"/>
        <v>0</v>
      </c>
      <c r="O25" s="373">
        <f t="shared" ca="1" si="1"/>
        <v>0</v>
      </c>
    </row>
    <row r="26" spans="1:15" hidden="1">
      <c r="A26" s="355" t="s">
        <v>201</v>
      </c>
      <c r="B26" s="355" t="s">
        <v>118</v>
      </c>
      <c r="C26" s="355" t="s">
        <v>90</v>
      </c>
      <c r="D26" s="367" t="s">
        <v>373</v>
      </c>
      <c r="E26" s="367">
        <v>62</v>
      </c>
      <c r="F26" s="368">
        <v>0</v>
      </c>
      <c r="G26" s="369">
        <v>0</v>
      </c>
      <c r="H26" s="366">
        <v>0</v>
      </c>
      <c r="I26" s="370"/>
      <c r="J26" s="368">
        <v>0</v>
      </c>
      <c r="K26" s="371">
        <v>0</v>
      </c>
      <c r="L26" s="372">
        <v>0</v>
      </c>
      <c r="N26" s="373">
        <f t="shared" ca="1" si="0"/>
        <v>0</v>
      </c>
      <c r="O26" s="373">
        <f t="shared" ca="1" si="1"/>
        <v>0</v>
      </c>
    </row>
    <row r="27" spans="1:15" hidden="1">
      <c r="A27" s="355" t="s">
        <v>107</v>
      </c>
      <c r="B27" s="355" t="s">
        <v>118</v>
      </c>
      <c r="C27" s="355" t="s">
        <v>90</v>
      </c>
      <c r="D27" s="367" t="s">
        <v>373</v>
      </c>
      <c r="E27" s="367">
        <v>64</v>
      </c>
      <c r="F27" s="368">
        <v>1</v>
      </c>
      <c r="G27" s="369">
        <v>1</v>
      </c>
      <c r="H27" s="366">
        <v>1</v>
      </c>
      <c r="I27" s="370"/>
      <c r="J27" s="368">
        <v>1</v>
      </c>
      <c r="K27" s="371">
        <v>0.9504632682404841</v>
      </c>
      <c r="L27" s="372">
        <v>0.99055637960520104</v>
      </c>
      <c r="N27" s="373">
        <f t="shared" ca="1" si="0"/>
        <v>1</v>
      </c>
      <c r="O27" s="373">
        <f t="shared" ca="1" si="1"/>
        <v>0.99055637960520104</v>
      </c>
    </row>
    <row r="28" spans="1:15" hidden="1">
      <c r="A28" s="355" t="s">
        <v>108</v>
      </c>
      <c r="B28" s="355" t="s">
        <v>118</v>
      </c>
      <c r="C28" s="355" t="s">
        <v>90</v>
      </c>
      <c r="D28" s="367" t="s">
        <v>373</v>
      </c>
      <c r="E28" s="367">
        <v>65</v>
      </c>
      <c r="F28" s="368">
        <v>0</v>
      </c>
      <c r="G28" s="369">
        <v>0</v>
      </c>
      <c r="H28" s="366">
        <v>0</v>
      </c>
      <c r="I28" s="370"/>
      <c r="J28" s="368">
        <v>0</v>
      </c>
      <c r="K28" s="371">
        <v>0</v>
      </c>
      <c r="L28" s="372">
        <v>0</v>
      </c>
      <c r="N28" s="373">
        <f t="shared" ca="1" si="0"/>
        <v>0</v>
      </c>
      <c r="O28" s="373">
        <f t="shared" ca="1" si="1"/>
        <v>0</v>
      </c>
    </row>
    <row r="29" spans="1:15" hidden="1">
      <c r="A29" s="355" t="s">
        <v>256</v>
      </c>
      <c r="B29" s="355" t="s">
        <v>118</v>
      </c>
      <c r="C29" s="355" t="s">
        <v>90</v>
      </c>
      <c r="D29" s="367" t="s">
        <v>373</v>
      </c>
      <c r="E29" s="367">
        <v>66</v>
      </c>
      <c r="F29" s="368">
        <v>0</v>
      </c>
      <c r="G29" s="369">
        <v>0</v>
      </c>
      <c r="H29" s="366">
        <v>0</v>
      </c>
      <c r="I29" s="370"/>
      <c r="J29" s="368">
        <v>0</v>
      </c>
      <c r="K29" s="371">
        <v>4.9536731759515895E-2</v>
      </c>
      <c r="L29" s="372">
        <v>9.4436203947989572E-3</v>
      </c>
      <c r="N29" s="373">
        <f t="shared" ca="1" si="0"/>
        <v>0</v>
      </c>
      <c r="O29" s="373">
        <f t="shared" ca="1" si="1"/>
        <v>9.4436203947989572E-3</v>
      </c>
    </row>
    <row r="30" spans="1:15" hidden="1">
      <c r="A30" s="355" t="s">
        <v>116</v>
      </c>
      <c r="B30" s="355" t="s">
        <v>118</v>
      </c>
      <c r="C30" s="355" t="s">
        <v>90</v>
      </c>
      <c r="D30" s="367" t="s">
        <v>373</v>
      </c>
      <c r="E30" s="367">
        <v>67</v>
      </c>
      <c r="F30" s="368">
        <v>0</v>
      </c>
      <c r="G30" s="369">
        <v>0</v>
      </c>
      <c r="H30" s="366">
        <v>0</v>
      </c>
      <c r="I30" s="370"/>
      <c r="J30" s="368">
        <v>0</v>
      </c>
      <c r="K30" s="371">
        <v>0</v>
      </c>
      <c r="L30" s="372">
        <v>0</v>
      </c>
      <c r="N30" s="373">
        <f t="shared" ca="1" si="0"/>
        <v>0</v>
      </c>
      <c r="O30" s="373">
        <f t="shared" ca="1" si="1"/>
        <v>0</v>
      </c>
    </row>
    <row r="31" spans="1:15" hidden="1">
      <c r="A31" s="355" t="s">
        <v>181</v>
      </c>
      <c r="B31" s="355" t="s">
        <v>85</v>
      </c>
      <c r="C31" s="355" t="s">
        <v>90</v>
      </c>
      <c r="D31" s="367" t="s">
        <v>374</v>
      </c>
      <c r="E31" s="367">
        <v>58</v>
      </c>
      <c r="F31" s="368">
        <v>0.75</v>
      </c>
      <c r="G31" s="369">
        <v>0.75</v>
      </c>
      <c r="H31" s="366">
        <v>0.75</v>
      </c>
      <c r="I31" s="370"/>
      <c r="J31" s="368">
        <v>0.75</v>
      </c>
      <c r="K31" s="371">
        <v>0.75</v>
      </c>
      <c r="L31" s="372">
        <v>0.75</v>
      </c>
      <c r="N31" s="373">
        <f t="shared" ca="1" si="0"/>
        <v>0.75</v>
      </c>
      <c r="O31" s="373">
        <f t="shared" ca="1" si="1"/>
        <v>0.75</v>
      </c>
    </row>
    <row r="32" spans="1:15" hidden="1">
      <c r="A32" s="355" t="s">
        <v>141</v>
      </c>
      <c r="B32" s="355" t="s">
        <v>85</v>
      </c>
      <c r="C32" s="355" t="s">
        <v>90</v>
      </c>
      <c r="D32" s="367" t="s">
        <v>374</v>
      </c>
      <c r="E32" s="367">
        <v>59</v>
      </c>
      <c r="F32" s="368">
        <v>0.626</v>
      </c>
      <c r="G32" s="369">
        <v>0.626</v>
      </c>
      <c r="H32" s="366">
        <v>0.626</v>
      </c>
      <c r="I32" s="370"/>
      <c r="J32" s="368">
        <v>0.626</v>
      </c>
      <c r="K32" s="371">
        <v>0.626</v>
      </c>
      <c r="L32" s="372">
        <v>0.626</v>
      </c>
      <c r="N32" s="373">
        <f t="shared" ca="1" si="0"/>
        <v>0.626</v>
      </c>
      <c r="O32" s="373">
        <f t="shared" ca="1" si="1"/>
        <v>0.626</v>
      </c>
    </row>
    <row r="33" spans="1:15" hidden="1">
      <c r="A33" s="355" t="s">
        <v>142</v>
      </c>
      <c r="B33" s="355" t="s">
        <v>85</v>
      </c>
      <c r="C33" s="355" t="s">
        <v>90</v>
      </c>
      <c r="D33" s="367" t="s">
        <v>374</v>
      </c>
      <c r="E33" s="367">
        <v>60</v>
      </c>
      <c r="F33" s="368">
        <v>0.374</v>
      </c>
      <c r="G33" s="369">
        <v>0.374</v>
      </c>
      <c r="H33" s="366">
        <v>0.374</v>
      </c>
      <c r="I33" s="370"/>
      <c r="J33" s="368">
        <v>0.374</v>
      </c>
      <c r="K33" s="371">
        <v>0.374</v>
      </c>
      <c r="L33" s="372">
        <v>0.374</v>
      </c>
      <c r="N33" s="373">
        <f t="shared" ca="1" si="0"/>
        <v>0.374</v>
      </c>
      <c r="O33" s="373">
        <f t="shared" ca="1" si="1"/>
        <v>0.374</v>
      </c>
    </row>
    <row r="34" spans="1:15" hidden="1">
      <c r="A34" s="355" t="s">
        <v>200</v>
      </c>
      <c r="B34" s="355" t="s">
        <v>85</v>
      </c>
      <c r="C34" s="355" t="s">
        <v>90</v>
      </c>
      <c r="D34" s="367" t="s">
        <v>374</v>
      </c>
      <c r="E34" s="367">
        <v>61</v>
      </c>
      <c r="F34" s="368">
        <v>0</v>
      </c>
      <c r="G34" s="369">
        <v>0</v>
      </c>
      <c r="H34" s="366">
        <v>0</v>
      </c>
      <c r="I34" s="370"/>
      <c r="J34" s="368">
        <v>0</v>
      </c>
      <c r="K34" s="371">
        <v>0</v>
      </c>
      <c r="L34" s="372">
        <v>0</v>
      </c>
      <c r="N34" s="373">
        <f t="shared" ca="1" si="0"/>
        <v>0</v>
      </c>
      <c r="O34" s="373">
        <f t="shared" ca="1" si="1"/>
        <v>0</v>
      </c>
    </row>
    <row r="35" spans="1:15" hidden="1">
      <c r="A35" s="355" t="s">
        <v>201</v>
      </c>
      <c r="B35" s="355" t="s">
        <v>85</v>
      </c>
      <c r="C35" s="355" t="s">
        <v>90</v>
      </c>
      <c r="D35" s="367" t="s">
        <v>374</v>
      </c>
      <c r="E35" s="367">
        <v>62</v>
      </c>
      <c r="F35" s="368">
        <v>0</v>
      </c>
      <c r="G35" s="369">
        <v>0</v>
      </c>
      <c r="H35" s="366">
        <v>0</v>
      </c>
      <c r="I35" s="370"/>
      <c r="J35" s="368">
        <v>0</v>
      </c>
      <c r="K35" s="371">
        <v>0</v>
      </c>
      <c r="L35" s="372">
        <v>0</v>
      </c>
      <c r="N35" s="373">
        <f t="shared" ca="1" si="0"/>
        <v>0</v>
      </c>
      <c r="O35" s="373">
        <f t="shared" ca="1" si="1"/>
        <v>0</v>
      </c>
    </row>
    <row r="36" spans="1:15" hidden="1">
      <c r="A36" s="355" t="s">
        <v>107</v>
      </c>
      <c r="B36" s="355" t="s">
        <v>85</v>
      </c>
      <c r="C36" s="355" t="s">
        <v>90</v>
      </c>
      <c r="D36" s="367" t="s">
        <v>374</v>
      </c>
      <c r="E36" s="367">
        <v>64</v>
      </c>
      <c r="F36" s="368">
        <v>0</v>
      </c>
      <c r="G36" s="369">
        <v>0.4</v>
      </c>
      <c r="H36" s="366">
        <v>0.4</v>
      </c>
      <c r="I36" s="370"/>
      <c r="J36" s="368">
        <v>0</v>
      </c>
      <c r="K36" s="371">
        <v>0.4</v>
      </c>
      <c r="L36" s="372">
        <v>0.4</v>
      </c>
      <c r="N36" s="373">
        <f t="shared" ref="N36:N67" ca="1" si="2">OFFSET($E36,0,RegIndex)</f>
        <v>0.4</v>
      </c>
      <c r="O36" s="373">
        <f t="shared" ref="O36:O67" ca="1" si="3">OFFSET($I36,0,RegIndex)</f>
        <v>0.4</v>
      </c>
    </row>
    <row r="37" spans="1:15" hidden="1">
      <c r="A37" s="355" t="s">
        <v>108</v>
      </c>
      <c r="B37" s="355" t="s">
        <v>85</v>
      </c>
      <c r="C37" s="355" t="s">
        <v>90</v>
      </c>
      <c r="D37" s="367" t="s">
        <v>374</v>
      </c>
      <c r="E37" s="367">
        <v>65</v>
      </c>
      <c r="F37" s="368">
        <v>0</v>
      </c>
      <c r="G37" s="369">
        <v>0</v>
      </c>
      <c r="H37" s="366">
        <v>0</v>
      </c>
      <c r="I37" s="370"/>
      <c r="J37" s="368">
        <v>0</v>
      </c>
      <c r="K37" s="371">
        <v>0</v>
      </c>
      <c r="L37" s="372">
        <v>0</v>
      </c>
      <c r="N37" s="373">
        <f t="shared" ca="1" si="2"/>
        <v>0</v>
      </c>
      <c r="O37" s="373">
        <f t="shared" ca="1" si="3"/>
        <v>0</v>
      </c>
    </row>
    <row r="38" spans="1:15" hidden="1">
      <c r="A38" s="355" t="s">
        <v>256</v>
      </c>
      <c r="B38" s="355" t="s">
        <v>85</v>
      </c>
      <c r="C38" s="355" t="s">
        <v>90</v>
      </c>
      <c r="D38" s="367" t="s">
        <v>374</v>
      </c>
      <c r="E38" s="367">
        <v>66</v>
      </c>
      <c r="F38" s="368">
        <v>0.3</v>
      </c>
      <c r="G38" s="369">
        <v>0.6</v>
      </c>
      <c r="H38" s="366">
        <v>0.6</v>
      </c>
      <c r="I38" s="370"/>
      <c r="J38" s="368">
        <v>0.3</v>
      </c>
      <c r="K38" s="371">
        <v>0.6</v>
      </c>
      <c r="L38" s="372">
        <v>0.6</v>
      </c>
      <c r="N38" s="373">
        <f t="shared" ca="1" si="2"/>
        <v>0.6</v>
      </c>
      <c r="O38" s="373">
        <f t="shared" ca="1" si="3"/>
        <v>0.6</v>
      </c>
    </row>
    <row r="39" spans="1:15" hidden="1">
      <c r="A39" s="355" t="s">
        <v>116</v>
      </c>
      <c r="B39" s="355" t="s">
        <v>85</v>
      </c>
      <c r="C39" s="355" t="s">
        <v>90</v>
      </c>
      <c r="D39" s="367" t="s">
        <v>374</v>
      </c>
      <c r="E39" s="367">
        <v>67</v>
      </c>
      <c r="F39" s="368">
        <v>0.7</v>
      </c>
      <c r="G39" s="369">
        <v>0</v>
      </c>
      <c r="H39" s="366">
        <v>0</v>
      </c>
      <c r="I39" s="370"/>
      <c r="J39" s="368">
        <v>0.7</v>
      </c>
      <c r="K39" s="371">
        <v>0</v>
      </c>
      <c r="L39" s="372">
        <v>0</v>
      </c>
      <c r="N39" s="373">
        <f t="shared" ca="1" si="2"/>
        <v>0</v>
      </c>
      <c r="O39" s="373">
        <f t="shared" ca="1" si="3"/>
        <v>0</v>
      </c>
    </row>
    <row r="40" spans="1:15" hidden="1">
      <c r="A40" s="355" t="s">
        <v>181</v>
      </c>
      <c r="B40" s="355" t="s">
        <v>114</v>
      </c>
      <c r="C40" s="355" t="s">
        <v>90</v>
      </c>
      <c r="D40" s="367" t="s">
        <v>375</v>
      </c>
      <c r="E40" s="367">
        <v>58</v>
      </c>
      <c r="F40" s="368">
        <v>0.97</v>
      </c>
      <c r="G40" s="369">
        <v>0.995</v>
      </c>
      <c r="H40" s="366">
        <v>1</v>
      </c>
      <c r="I40" s="370"/>
      <c r="J40" s="368">
        <v>0.97</v>
      </c>
      <c r="K40" s="371">
        <v>0.995</v>
      </c>
      <c r="L40" s="372">
        <v>1</v>
      </c>
      <c r="N40" s="373">
        <f t="shared" ca="1" si="2"/>
        <v>1</v>
      </c>
      <c r="O40" s="373">
        <f t="shared" ca="1" si="3"/>
        <v>1</v>
      </c>
    </row>
    <row r="41" spans="1:15" hidden="1">
      <c r="A41" s="355" t="s">
        <v>141</v>
      </c>
      <c r="B41" s="355" t="s">
        <v>114</v>
      </c>
      <c r="C41" s="355" t="s">
        <v>90</v>
      </c>
      <c r="D41" s="367" t="s">
        <v>375</v>
      </c>
      <c r="E41" s="367">
        <v>59</v>
      </c>
      <c r="F41" s="368">
        <v>0.64</v>
      </c>
      <c r="G41" s="369">
        <v>0.97154114712699091</v>
      </c>
      <c r="H41" s="366">
        <v>0.95021751448193847</v>
      </c>
      <c r="I41" s="370"/>
      <c r="J41" s="368">
        <v>0.64</v>
      </c>
      <c r="K41" s="371">
        <v>0.96822744390797022</v>
      </c>
      <c r="L41" s="372">
        <v>0.94157346581580337</v>
      </c>
      <c r="N41" s="373">
        <f t="shared" ca="1" si="2"/>
        <v>0.95021751448193847</v>
      </c>
      <c r="O41" s="373">
        <f t="shared" ca="1" si="3"/>
        <v>0.94157346581580337</v>
      </c>
    </row>
    <row r="42" spans="1:15" hidden="1">
      <c r="A42" s="355" t="s">
        <v>142</v>
      </c>
      <c r="B42" s="355" t="s">
        <v>114</v>
      </c>
      <c r="C42" s="355" t="s">
        <v>90</v>
      </c>
      <c r="D42" s="367" t="s">
        <v>375</v>
      </c>
      <c r="E42" s="367">
        <v>60</v>
      </c>
      <c r="F42" s="368">
        <v>0.35</v>
      </c>
      <c r="G42" s="369">
        <v>7.1764438941302969E-3</v>
      </c>
      <c r="H42" s="366">
        <v>7.6141752573607186E-3</v>
      </c>
      <c r="I42" s="370"/>
      <c r="J42" s="368">
        <v>0.35</v>
      </c>
      <c r="K42" s="371">
        <v>3.5798531340467468E-3</v>
      </c>
      <c r="L42" s="372">
        <v>6.611767931509983E-3</v>
      </c>
      <c r="N42" s="373">
        <f t="shared" ca="1" si="2"/>
        <v>7.6141752573607186E-3</v>
      </c>
      <c r="O42" s="373">
        <f t="shared" ca="1" si="3"/>
        <v>6.611767931509983E-3</v>
      </c>
    </row>
    <row r="43" spans="1:15" hidden="1">
      <c r="A43" s="355" t="s">
        <v>200</v>
      </c>
      <c r="B43" s="355" t="s">
        <v>114</v>
      </c>
      <c r="C43" s="355" t="s">
        <v>90</v>
      </c>
      <c r="D43" s="367" t="s">
        <v>375</v>
      </c>
      <c r="E43" s="367">
        <v>61</v>
      </c>
      <c r="F43" s="368">
        <v>5.0000000000000001E-3</v>
      </c>
      <c r="G43" s="369">
        <v>0</v>
      </c>
      <c r="H43" s="366">
        <v>0</v>
      </c>
      <c r="I43" s="370"/>
      <c r="J43" s="368">
        <v>5.0000000000000001E-3</v>
      </c>
      <c r="K43" s="371">
        <v>0</v>
      </c>
      <c r="L43" s="372">
        <v>0</v>
      </c>
      <c r="N43" s="373">
        <f t="shared" ca="1" si="2"/>
        <v>0</v>
      </c>
      <c r="O43" s="373">
        <f t="shared" ca="1" si="3"/>
        <v>0</v>
      </c>
    </row>
    <row r="44" spans="1:15" hidden="1">
      <c r="A44" s="355" t="s">
        <v>201</v>
      </c>
      <c r="B44" s="355" t="s">
        <v>114</v>
      </c>
      <c r="C44" s="355" t="s">
        <v>90</v>
      </c>
      <c r="D44" s="367" t="s">
        <v>375</v>
      </c>
      <c r="E44" s="367">
        <v>62</v>
      </c>
      <c r="F44" s="368">
        <v>5.0000000000000001E-3</v>
      </c>
      <c r="G44" s="369">
        <v>2.1282408978878772E-2</v>
      </c>
      <c r="H44" s="366">
        <v>4.2168310260700899E-2</v>
      </c>
      <c r="I44" s="370"/>
      <c r="J44" s="368">
        <v>5.0000000000000001E-3</v>
      </c>
      <c r="K44" s="371">
        <v>2.8192702957982964E-2</v>
      </c>
      <c r="L44" s="372">
        <v>5.1814766252686585E-2</v>
      </c>
      <c r="N44" s="373">
        <f t="shared" ca="1" si="2"/>
        <v>4.2168310260700899E-2</v>
      </c>
      <c r="O44" s="373">
        <f t="shared" ca="1" si="3"/>
        <v>5.1814766252686585E-2</v>
      </c>
    </row>
    <row r="45" spans="1:15" hidden="1">
      <c r="A45" s="355" t="s">
        <v>107</v>
      </c>
      <c r="B45" s="355" t="s">
        <v>114</v>
      </c>
      <c r="C45" s="355" t="s">
        <v>90</v>
      </c>
      <c r="D45" s="367" t="s">
        <v>375</v>
      </c>
      <c r="E45" s="367">
        <v>64</v>
      </c>
      <c r="F45" s="368">
        <v>0.05</v>
      </c>
      <c r="G45" s="369">
        <v>0</v>
      </c>
      <c r="H45" s="366">
        <v>0</v>
      </c>
      <c r="I45" s="370"/>
      <c r="J45" s="368">
        <v>0.05</v>
      </c>
      <c r="K45" s="371">
        <v>0</v>
      </c>
      <c r="L45" s="372">
        <v>0</v>
      </c>
      <c r="N45" s="373">
        <f t="shared" ca="1" si="2"/>
        <v>0</v>
      </c>
      <c r="O45" s="373">
        <f t="shared" ca="1" si="3"/>
        <v>0</v>
      </c>
    </row>
    <row r="46" spans="1:15" hidden="1">
      <c r="A46" s="355" t="s">
        <v>108</v>
      </c>
      <c r="B46" s="355" t="s">
        <v>114</v>
      </c>
      <c r="C46" s="355" t="s">
        <v>90</v>
      </c>
      <c r="D46" s="367" t="s">
        <v>375</v>
      </c>
      <c r="E46" s="367">
        <v>65</v>
      </c>
      <c r="F46" s="368">
        <v>0</v>
      </c>
      <c r="G46" s="369">
        <v>0</v>
      </c>
      <c r="H46" s="366">
        <v>0</v>
      </c>
      <c r="I46" s="370"/>
      <c r="J46" s="368">
        <v>0</v>
      </c>
      <c r="K46" s="371">
        <v>0</v>
      </c>
      <c r="L46" s="372">
        <v>0</v>
      </c>
      <c r="N46" s="373">
        <f t="shared" ca="1" si="2"/>
        <v>0</v>
      </c>
      <c r="O46" s="373">
        <f t="shared" ca="1" si="3"/>
        <v>0</v>
      </c>
    </row>
    <row r="47" spans="1:15" hidden="1">
      <c r="A47" s="355" t="s">
        <v>256</v>
      </c>
      <c r="B47" s="355" t="s">
        <v>114</v>
      </c>
      <c r="C47" s="355" t="s">
        <v>90</v>
      </c>
      <c r="D47" s="367" t="s">
        <v>375</v>
      </c>
      <c r="E47" s="367">
        <v>66</v>
      </c>
      <c r="F47" s="368">
        <v>0</v>
      </c>
      <c r="G47" s="369">
        <v>1</v>
      </c>
      <c r="H47" s="366">
        <v>1</v>
      </c>
      <c r="I47" s="370"/>
      <c r="J47" s="368">
        <v>0</v>
      </c>
      <c r="K47" s="371">
        <v>1</v>
      </c>
      <c r="L47" s="372">
        <v>1</v>
      </c>
      <c r="N47" s="373">
        <f t="shared" ca="1" si="2"/>
        <v>1</v>
      </c>
      <c r="O47" s="373">
        <f t="shared" ca="1" si="3"/>
        <v>1</v>
      </c>
    </row>
    <row r="48" spans="1:15" hidden="1">
      <c r="A48" s="355" t="s">
        <v>116</v>
      </c>
      <c r="B48" s="355" t="s">
        <v>114</v>
      </c>
      <c r="C48" s="355" t="s">
        <v>90</v>
      </c>
      <c r="D48" s="367" t="s">
        <v>375</v>
      </c>
      <c r="E48" s="367">
        <v>67</v>
      </c>
      <c r="F48" s="368">
        <v>0.95</v>
      </c>
      <c r="G48" s="369">
        <v>0</v>
      </c>
      <c r="H48" s="366">
        <v>0</v>
      </c>
      <c r="I48" s="370"/>
      <c r="J48" s="368">
        <v>0.95</v>
      </c>
      <c r="K48" s="371">
        <v>0</v>
      </c>
      <c r="L48" s="372">
        <v>0</v>
      </c>
      <c r="N48" s="373">
        <f t="shared" ca="1" si="2"/>
        <v>0</v>
      </c>
      <c r="O48" s="373">
        <f t="shared" ca="1" si="3"/>
        <v>0</v>
      </c>
    </row>
    <row r="49" spans="1:15" hidden="1">
      <c r="A49" s="355" t="s">
        <v>181</v>
      </c>
      <c r="B49" s="355" t="s">
        <v>57</v>
      </c>
      <c r="C49" s="355" t="s">
        <v>90</v>
      </c>
      <c r="D49" s="367" t="s">
        <v>376</v>
      </c>
      <c r="E49" s="367">
        <v>58</v>
      </c>
      <c r="F49" s="368">
        <v>0.2</v>
      </c>
      <c r="G49" s="369">
        <v>0.41719797002125969</v>
      </c>
      <c r="H49" s="366">
        <v>0.52340288266832813</v>
      </c>
      <c r="I49" s="370"/>
      <c r="J49" s="368">
        <v>0.2</v>
      </c>
      <c r="K49" s="371">
        <v>0.44817560461512107</v>
      </c>
      <c r="L49" s="372">
        <v>0.48437083746683546</v>
      </c>
      <c r="N49" s="373">
        <f t="shared" ca="1" si="2"/>
        <v>0.52340288266832813</v>
      </c>
      <c r="O49" s="373">
        <f t="shared" ca="1" si="3"/>
        <v>0.48437083746683546</v>
      </c>
    </row>
    <row r="50" spans="1:15" hidden="1">
      <c r="A50" s="355" t="s">
        <v>141</v>
      </c>
      <c r="B50" s="355" t="s">
        <v>57</v>
      </c>
      <c r="C50" s="355" t="s">
        <v>90</v>
      </c>
      <c r="D50" s="367" t="s">
        <v>376</v>
      </c>
      <c r="E50" s="367">
        <v>59</v>
      </c>
      <c r="F50" s="368">
        <v>0.8</v>
      </c>
      <c r="G50" s="369">
        <v>0.62268969086656956</v>
      </c>
      <c r="H50" s="366">
        <v>0.6759706506751566</v>
      </c>
      <c r="I50" s="370"/>
      <c r="J50" s="368">
        <v>0.8</v>
      </c>
      <c r="K50" s="371">
        <v>0.71692355696421062</v>
      </c>
      <c r="L50" s="372">
        <v>0.69600428521803503</v>
      </c>
      <c r="N50" s="373">
        <f t="shared" ca="1" si="2"/>
        <v>0.6759706506751566</v>
      </c>
      <c r="O50" s="373">
        <f t="shared" ca="1" si="3"/>
        <v>0.69600428521803503</v>
      </c>
    </row>
    <row r="51" spans="1:15" hidden="1">
      <c r="A51" s="355" t="s">
        <v>142</v>
      </c>
      <c r="B51" s="355" t="s">
        <v>57</v>
      </c>
      <c r="C51" s="355" t="s">
        <v>90</v>
      </c>
      <c r="D51" s="367" t="s">
        <v>376</v>
      </c>
      <c r="E51" s="367">
        <v>60</v>
      </c>
      <c r="F51" s="368">
        <v>0.2</v>
      </c>
      <c r="G51" s="369">
        <v>0.3773103091334305</v>
      </c>
      <c r="H51" s="366">
        <v>0.32402934932484329</v>
      </c>
      <c r="I51" s="370"/>
      <c r="J51" s="368">
        <v>0.2</v>
      </c>
      <c r="K51" s="371">
        <v>0.28307644303578933</v>
      </c>
      <c r="L51" s="372">
        <v>0.30399571478196497</v>
      </c>
      <c r="N51" s="373">
        <f t="shared" ca="1" si="2"/>
        <v>0.32402934932484329</v>
      </c>
      <c r="O51" s="373">
        <f t="shared" ca="1" si="3"/>
        <v>0.30399571478196497</v>
      </c>
    </row>
    <row r="52" spans="1:15" hidden="1">
      <c r="A52" s="355" t="s">
        <v>200</v>
      </c>
      <c r="B52" s="355" t="s">
        <v>57</v>
      </c>
      <c r="C52" s="355" t="s">
        <v>90</v>
      </c>
      <c r="D52" s="367" t="s">
        <v>376</v>
      </c>
      <c r="E52" s="367">
        <v>61</v>
      </c>
      <c r="F52" s="368">
        <v>0</v>
      </c>
      <c r="G52" s="369">
        <v>0</v>
      </c>
      <c r="H52" s="366">
        <v>0</v>
      </c>
      <c r="I52" s="370"/>
      <c r="J52" s="368">
        <v>0</v>
      </c>
      <c r="K52" s="371">
        <v>0</v>
      </c>
      <c r="L52" s="372">
        <v>0</v>
      </c>
      <c r="N52" s="373">
        <f t="shared" ca="1" si="2"/>
        <v>0</v>
      </c>
      <c r="O52" s="373">
        <f t="shared" ca="1" si="3"/>
        <v>0</v>
      </c>
    </row>
    <row r="53" spans="1:15" hidden="1">
      <c r="A53" s="355" t="s">
        <v>201</v>
      </c>
      <c r="B53" s="355" t="s">
        <v>57</v>
      </c>
      <c r="C53" s="355" t="s">
        <v>90</v>
      </c>
      <c r="D53" s="367" t="s">
        <v>376</v>
      </c>
      <c r="E53" s="367">
        <v>62</v>
      </c>
      <c r="F53" s="368">
        <v>0</v>
      </c>
      <c r="G53" s="369">
        <v>0</v>
      </c>
      <c r="H53" s="366">
        <v>0</v>
      </c>
      <c r="I53" s="370"/>
      <c r="J53" s="368">
        <v>0</v>
      </c>
      <c r="K53" s="371">
        <v>0</v>
      </c>
      <c r="L53" s="372">
        <v>0</v>
      </c>
      <c r="N53" s="373">
        <f t="shared" ca="1" si="2"/>
        <v>0</v>
      </c>
      <c r="O53" s="373">
        <f t="shared" ca="1" si="3"/>
        <v>0</v>
      </c>
    </row>
    <row r="54" spans="1:15" hidden="1">
      <c r="A54" s="355" t="s">
        <v>107</v>
      </c>
      <c r="B54" s="355" t="s">
        <v>57</v>
      </c>
      <c r="C54" s="355" t="s">
        <v>90</v>
      </c>
      <c r="D54" s="367" t="s">
        <v>376</v>
      </c>
      <c r="E54" s="367">
        <v>64</v>
      </c>
      <c r="F54" s="368">
        <v>0.05</v>
      </c>
      <c r="G54" s="369">
        <v>0.11118235265783566</v>
      </c>
      <c r="H54" s="366">
        <v>0.28709627800375775</v>
      </c>
      <c r="I54" s="370"/>
      <c r="J54" s="368">
        <v>0.05</v>
      </c>
      <c r="K54" s="371">
        <v>0.12373421365983385</v>
      </c>
      <c r="L54" s="372">
        <v>0.24473033977883984</v>
      </c>
      <c r="N54" s="373">
        <f t="shared" ca="1" si="2"/>
        <v>0.28709627800375775</v>
      </c>
      <c r="O54" s="373">
        <f t="shared" ca="1" si="3"/>
        <v>0.24473033977883984</v>
      </c>
    </row>
    <row r="55" spans="1:15" hidden="1">
      <c r="A55" s="355" t="s">
        <v>108</v>
      </c>
      <c r="B55" s="355" t="s">
        <v>57</v>
      </c>
      <c r="C55" s="355" t="s">
        <v>90</v>
      </c>
      <c r="D55" s="367" t="s">
        <v>376</v>
      </c>
      <c r="E55" s="367">
        <v>65</v>
      </c>
      <c r="F55" s="368">
        <v>0.5</v>
      </c>
      <c r="G55" s="369">
        <v>0.58209965122844032</v>
      </c>
      <c r="H55" s="366">
        <v>0.30938599288779284</v>
      </c>
      <c r="I55" s="370"/>
      <c r="J55" s="368">
        <v>0.5</v>
      </c>
      <c r="K55" s="371">
        <v>0.56767356992329399</v>
      </c>
      <c r="L55" s="372">
        <v>0.31227240380626642</v>
      </c>
      <c r="N55" s="373">
        <f t="shared" ca="1" si="2"/>
        <v>0.30938599288779284</v>
      </c>
      <c r="O55" s="374">
        <f t="shared" ca="1" si="3"/>
        <v>0.31227240380626642</v>
      </c>
    </row>
    <row r="56" spans="1:15" hidden="1">
      <c r="A56" s="355" t="s">
        <v>256</v>
      </c>
      <c r="B56" s="355" t="s">
        <v>57</v>
      </c>
      <c r="C56" s="355" t="s">
        <v>90</v>
      </c>
      <c r="D56" s="367" t="s">
        <v>376</v>
      </c>
      <c r="E56" s="367">
        <v>66</v>
      </c>
      <c r="F56" s="368">
        <v>0.3</v>
      </c>
      <c r="G56" s="369">
        <v>0.30671799611372408</v>
      </c>
      <c r="H56" s="366">
        <v>0.40351772910844941</v>
      </c>
      <c r="I56" s="370"/>
      <c r="J56" s="368">
        <v>0.3</v>
      </c>
      <c r="K56" s="371">
        <v>0.30859221641687218</v>
      </c>
      <c r="L56" s="372">
        <v>0.44299725641489374</v>
      </c>
      <c r="N56" s="373">
        <f t="shared" ca="1" si="2"/>
        <v>0.40351772910844941</v>
      </c>
      <c r="O56" s="374">
        <f t="shared" ca="1" si="3"/>
        <v>0.44299725641489374</v>
      </c>
    </row>
    <row r="57" spans="1:15" hidden="1">
      <c r="A57" s="355" t="s">
        <v>116</v>
      </c>
      <c r="B57" s="355" t="s">
        <v>57</v>
      </c>
      <c r="C57" s="355" t="s">
        <v>90</v>
      </c>
      <c r="D57" s="367" t="s">
        <v>376</v>
      </c>
      <c r="E57" s="367">
        <v>67</v>
      </c>
      <c r="F57" s="368">
        <v>0.15</v>
      </c>
      <c r="G57" s="369">
        <v>0</v>
      </c>
      <c r="H57" s="366">
        <v>0</v>
      </c>
      <c r="I57" s="370"/>
      <c r="J57" s="368">
        <v>0.15</v>
      </c>
      <c r="K57" s="371">
        <v>0</v>
      </c>
      <c r="L57" s="372">
        <v>0</v>
      </c>
      <c r="N57" s="373">
        <f t="shared" ca="1" si="2"/>
        <v>0</v>
      </c>
      <c r="O57" s="374">
        <f t="shared" ca="1" si="3"/>
        <v>0</v>
      </c>
    </row>
    <row r="58" spans="1:15" hidden="1">
      <c r="A58" s="355" t="s">
        <v>181</v>
      </c>
      <c r="B58" s="355" t="s">
        <v>62</v>
      </c>
      <c r="C58" s="355" t="s">
        <v>90</v>
      </c>
      <c r="D58" s="367" t="s">
        <v>377</v>
      </c>
      <c r="E58" s="367">
        <v>58</v>
      </c>
      <c r="F58" s="368">
        <v>1</v>
      </c>
      <c r="G58" s="369">
        <v>1</v>
      </c>
      <c r="H58" s="366">
        <v>1</v>
      </c>
      <c r="I58" s="370"/>
      <c r="J58" s="368">
        <v>1</v>
      </c>
      <c r="K58" s="371">
        <v>0.96084545536687138</v>
      </c>
      <c r="L58" s="372">
        <v>0.92055614393758034</v>
      </c>
      <c r="N58" s="373">
        <f t="shared" ca="1" si="2"/>
        <v>1</v>
      </c>
      <c r="O58" s="374">
        <f t="shared" ca="1" si="3"/>
        <v>0.92055614393758034</v>
      </c>
    </row>
    <row r="59" spans="1:15" hidden="1">
      <c r="A59" s="355" t="s">
        <v>141</v>
      </c>
      <c r="B59" s="355" t="s">
        <v>62</v>
      </c>
      <c r="C59" s="355" t="s">
        <v>90</v>
      </c>
      <c r="D59" s="367" t="s">
        <v>377</v>
      </c>
      <c r="E59" s="367">
        <v>59</v>
      </c>
      <c r="F59" s="368">
        <v>0.66</v>
      </c>
      <c r="G59" s="369">
        <v>0.79</v>
      </c>
      <c r="H59" s="369">
        <v>0.79</v>
      </c>
      <c r="I59" s="370"/>
      <c r="J59" s="368">
        <v>0.66</v>
      </c>
      <c r="K59" s="371">
        <v>0.88844388559260856</v>
      </c>
      <c r="L59" s="371">
        <v>0.83440562555137976</v>
      </c>
      <c r="N59" s="373">
        <f t="shared" ca="1" si="2"/>
        <v>0.79</v>
      </c>
      <c r="O59" s="374">
        <f t="shared" ca="1" si="3"/>
        <v>0.83440562555137976</v>
      </c>
    </row>
    <row r="60" spans="1:15" hidden="1">
      <c r="A60" s="355" t="s">
        <v>142</v>
      </c>
      <c r="B60" s="355" t="s">
        <v>62</v>
      </c>
      <c r="C60" s="355" t="s">
        <v>90</v>
      </c>
      <c r="D60" s="367" t="s">
        <v>377</v>
      </c>
      <c r="E60" s="367">
        <v>60</v>
      </c>
      <c r="F60" s="368">
        <v>0.34</v>
      </c>
      <c r="G60" s="369">
        <v>0.21</v>
      </c>
      <c r="H60" s="369">
        <v>0.21</v>
      </c>
      <c r="I60" s="370"/>
      <c r="J60" s="368">
        <v>0.34</v>
      </c>
      <c r="K60" s="371">
        <v>9.1556114407391434E-2</v>
      </c>
      <c r="L60" s="371">
        <v>0.13059437444862024</v>
      </c>
      <c r="N60" s="373">
        <f t="shared" ca="1" si="2"/>
        <v>0.21</v>
      </c>
      <c r="O60" s="374">
        <f t="shared" ca="1" si="3"/>
        <v>0.13059437444862024</v>
      </c>
    </row>
    <row r="61" spans="1:15" hidden="1">
      <c r="A61" s="355" t="s">
        <v>200</v>
      </c>
      <c r="B61" s="355" t="s">
        <v>62</v>
      </c>
      <c r="C61" s="355" t="s">
        <v>90</v>
      </c>
      <c r="D61" s="367" t="s">
        <v>377</v>
      </c>
      <c r="E61" s="367">
        <v>61</v>
      </c>
      <c r="F61" s="368">
        <v>0</v>
      </c>
      <c r="G61" s="369">
        <v>0</v>
      </c>
      <c r="H61" s="366">
        <v>0</v>
      </c>
      <c r="I61" s="370"/>
      <c r="J61" s="368">
        <v>0</v>
      </c>
      <c r="K61" s="371">
        <v>0</v>
      </c>
      <c r="L61" s="372">
        <v>0</v>
      </c>
      <c r="N61" s="373">
        <f t="shared" ca="1" si="2"/>
        <v>0</v>
      </c>
      <c r="O61" s="374">
        <f t="shared" ca="1" si="3"/>
        <v>0</v>
      </c>
    </row>
    <row r="62" spans="1:15" hidden="1">
      <c r="A62" s="355" t="s">
        <v>201</v>
      </c>
      <c r="B62" s="355" t="s">
        <v>62</v>
      </c>
      <c r="C62" s="355" t="s">
        <v>90</v>
      </c>
      <c r="D62" s="367" t="s">
        <v>377</v>
      </c>
      <c r="E62" s="367">
        <v>62</v>
      </c>
      <c r="F62" s="368">
        <v>0</v>
      </c>
      <c r="G62" s="369">
        <v>0</v>
      </c>
      <c r="H62" s="366">
        <v>0</v>
      </c>
      <c r="I62" s="370"/>
      <c r="J62" s="368">
        <v>0</v>
      </c>
      <c r="K62" s="371">
        <v>0.02</v>
      </c>
      <c r="L62" s="372">
        <v>3.5000000000000003E-2</v>
      </c>
      <c r="N62" s="373">
        <f t="shared" ca="1" si="2"/>
        <v>0</v>
      </c>
      <c r="O62" s="374">
        <f t="shared" ca="1" si="3"/>
        <v>3.5000000000000003E-2</v>
      </c>
    </row>
    <row r="63" spans="1:15" hidden="1">
      <c r="A63" s="355" t="s">
        <v>107</v>
      </c>
      <c r="B63" s="355" t="s">
        <v>62</v>
      </c>
      <c r="C63" s="355" t="s">
        <v>90</v>
      </c>
      <c r="D63" s="367" t="s">
        <v>377</v>
      </c>
      <c r="E63" s="367">
        <v>64</v>
      </c>
      <c r="F63" s="368">
        <v>0</v>
      </c>
      <c r="G63" s="369">
        <v>0</v>
      </c>
      <c r="H63" s="366">
        <v>0</v>
      </c>
      <c r="I63" s="370"/>
      <c r="J63" s="368">
        <v>0</v>
      </c>
      <c r="K63" s="371">
        <v>0.21642705676224011</v>
      </c>
      <c r="L63" s="372">
        <v>0.56432145521791766</v>
      </c>
      <c r="N63" s="373">
        <f t="shared" ca="1" si="2"/>
        <v>0</v>
      </c>
      <c r="O63" s="374">
        <f t="shared" ca="1" si="3"/>
        <v>0.56432145521791766</v>
      </c>
    </row>
    <row r="64" spans="1:15" hidden="1">
      <c r="A64" s="355" t="s">
        <v>108</v>
      </c>
      <c r="B64" s="355" t="s">
        <v>62</v>
      </c>
      <c r="C64" s="355" t="s">
        <v>90</v>
      </c>
      <c r="D64" s="367" t="s">
        <v>377</v>
      </c>
      <c r="E64" s="367">
        <v>65</v>
      </c>
      <c r="F64" s="368">
        <v>0</v>
      </c>
      <c r="G64" s="369">
        <v>0</v>
      </c>
      <c r="H64" s="366">
        <v>0</v>
      </c>
      <c r="I64" s="370"/>
      <c r="J64" s="368">
        <v>0</v>
      </c>
      <c r="K64" s="371">
        <v>0</v>
      </c>
      <c r="L64" s="372">
        <v>0</v>
      </c>
      <c r="N64" s="373">
        <f t="shared" ca="1" si="2"/>
        <v>0</v>
      </c>
      <c r="O64" s="374">
        <f t="shared" ca="1" si="3"/>
        <v>0</v>
      </c>
    </row>
    <row r="65" spans="1:15" hidden="1">
      <c r="A65" s="355" t="s">
        <v>256</v>
      </c>
      <c r="B65" s="355" t="s">
        <v>62</v>
      </c>
      <c r="C65" s="355" t="s">
        <v>90</v>
      </c>
      <c r="D65" s="367" t="s">
        <v>377</v>
      </c>
      <c r="E65" s="367">
        <v>66</v>
      </c>
      <c r="F65" s="368">
        <v>0</v>
      </c>
      <c r="G65" s="369">
        <v>0</v>
      </c>
      <c r="H65" s="366">
        <v>0</v>
      </c>
      <c r="I65" s="370"/>
      <c r="J65" s="368">
        <v>0</v>
      </c>
      <c r="K65" s="371">
        <v>0.78357294323775994</v>
      </c>
      <c r="L65" s="372">
        <v>0.43567854478208229</v>
      </c>
      <c r="N65" s="373">
        <f t="shared" ca="1" si="2"/>
        <v>0</v>
      </c>
      <c r="O65" s="374">
        <f t="shared" ca="1" si="3"/>
        <v>0.43567854478208229</v>
      </c>
    </row>
    <row r="66" spans="1:15" hidden="1">
      <c r="A66" s="355" t="s">
        <v>116</v>
      </c>
      <c r="B66" s="355" t="s">
        <v>62</v>
      </c>
      <c r="C66" s="355" t="s">
        <v>90</v>
      </c>
      <c r="D66" s="367" t="s">
        <v>377</v>
      </c>
      <c r="E66" s="367">
        <v>67</v>
      </c>
      <c r="F66" s="368">
        <v>0</v>
      </c>
      <c r="G66" s="369">
        <v>0</v>
      </c>
      <c r="H66" s="366">
        <v>0</v>
      </c>
      <c r="I66" s="370"/>
      <c r="J66" s="368">
        <v>0</v>
      </c>
      <c r="K66" s="371">
        <v>0</v>
      </c>
      <c r="L66" s="372">
        <v>0</v>
      </c>
      <c r="N66" s="373">
        <f t="shared" ca="1" si="2"/>
        <v>0</v>
      </c>
      <c r="O66" s="374">
        <f t="shared" ca="1" si="3"/>
        <v>0</v>
      </c>
    </row>
    <row r="67" spans="1:15" hidden="1">
      <c r="A67" s="355" t="s">
        <v>109</v>
      </c>
      <c r="B67" s="355" t="s">
        <v>97</v>
      </c>
      <c r="C67" s="355" t="s">
        <v>90</v>
      </c>
      <c r="D67" s="367" t="s">
        <v>378</v>
      </c>
      <c r="E67" s="367">
        <v>69</v>
      </c>
      <c r="F67" s="368">
        <v>0</v>
      </c>
      <c r="G67" s="369">
        <v>0</v>
      </c>
      <c r="H67" s="366">
        <v>0</v>
      </c>
      <c r="I67" s="370"/>
      <c r="J67" s="368">
        <v>0</v>
      </c>
      <c r="K67" s="371">
        <v>0</v>
      </c>
      <c r="L67" s="372">
        <v>0</v>
      </c>
      <c r="N67" s="373">
        <f t="shared" ca="1" si="2"/>
        <v>0</v>
      </c>
      <c r="O67" s="374">
        <f t="shared" ca="1" si="3"/>
        <v>0</v>
      </c>
    </row>
    <row r="68" spans="1:15" hidden="1">
      <c r="A68" s="355" t="s">
        <v>109</v>
      </c>
      <c r="B68" s="355" t="s">
        <v>118</v>
      </c>
      <c r="C68" s="355" t="s">
        <v>90</v>
      </c>
      <c r="D68" s="367" t="s">
        <v>373</v>
      </c>
      <c r="E68" s="367">
        <v>69</v>
      </c>
      <c r="F68" s="368">
        <v>0</v>
      </c>
      <c r="G68" s="369">
        <v>0</v>
      </c>
      <c r="H68" s="366">
        <v>0</v>
      </c>
      <c r="I68" s="370"/>
      <c r="J68" s="368">
        <v>0</v>
      </c>
      <c r="K68" s="371">
        <v>0</v>
      </c>
      <c r="L68" s="372">
        <v>0</v>
      </c>
      <c r="N68" s="373">
        <f t="shared" ref="N68:N106" ca="1" si="4">OFFSET($E68,0,RegIndex)</f>
        <v>0</v>
      </c>
      <c r="O68" s="374">
        <f t="shared" ref="O68:O114" ca="1" si="5">OFFSET($I68,0,RegIndex)</f>
        <v>0</v>
      </c>
    </row>
    <row r="69" spans="1:15" hidden="1">
      <c r="A69" s="355" t="s">
        <v>109</v>
      </c>
      <c r="B69" s="355" t="s">
        <v>85</v>
      </c>
      <c r="C69" s="355" t="s">
        <v>90</v>
      </c>
      <c r="D69" s="367" t="s">
        <v>374</v>
      </c>
      <c r="E69" s="367">
        <v>69</v>
      </c>
      <c r="F69" s="368">
        <v>0</v>
      </c>
      <c r="G69" s="369">
        <v>0</v>
      </c>
      <c r="H69" s="366">
        <v>0</v>
      </c>
      <c r="I69" s="370"/>
      <c r="J69" s="368">
        <v>0</v>
      </c>
      <c r="K69" s="371">
        <v>0</v>
      </c>
      <c r="L69" s="372">
        <v>0</v>
      </c>
      <c r="N69" s="373">
        <f t="shared" ca="1" si="4"/>
        <v>0</v>
      </c>
      <c r="O69" s="374">
        <f t="shared" ca="1" si="5"/>
        <v>0</v>
      </c>
    </row>
    <row r="70" spans="1:15" hidden="1">
      <c r="A70" s="355" t="s">
        <v>109</v>
      </c>
      <c r="B70" s="355" t="s">
        <v>114</v>
      </c>
      <c r="C70" s="355" t="s">
        <v>90</v>
      </c>
      <c r="D70" s="367" t="s">
        <v>375</v>
      </c>
      <c r="E70" s="367">
        <v>69</v>
      </c>
      <c r="F70" s="368">
        <v>0</v>
      </c>
      <c r="G70" s="369">
        <v>0</v>
      </c>
      <c r="H70" s="366">
        <v>0</v>
      </c>
      <c r="I70" s="370"/>
      <c r="J70" s="368">
        <v>0</v>
      </c>
      <c r="K70" s="371">
        <v>0</v>
      </c>
      <c r="L70" s="372">
        <v>0</v>
      </c>
      <c r="N70" s="373">
        <f t="shared" ca="1" si="4"/>
        <v>0</v>
      </c>
      <c r="O70" s="374">
        <f t="shared" ca="1" si="5"/>
        <v>0</v>
      </c>
    </row>
    <row r="71" spans="1:15" hidden="1">
      <c r="A71" s="355" t="s">
        <v>109</v>
      </c>
      <c r="B71" s="355" t="s">
        <v>57</v>
      </c>
      <c r="C71" s="355" t="s">
        <v>90</v>
      </c>
      <c r="D71" s="367" t="s">
        <v>376</v>
      </c>
      <c r="E71" s="367">
        <v>69</v>
      </c>
      <c r="F71" s="368">
        <v>0.9</v>
      </c>
      <c r="G71" s="369">
        <v>0.85</v>
      </c>
      <c r="H71" s="366">
        <v>0.85</v>
      </c>
      <c r="I71" s="370"/>
      <c r="J71" s="368">
        <v>0.9</v>
      </c>
      <c r="K71" s="371">
        <v>0.89</v>
      </c>
      <c r="L71" s="372">
        <v>0.89</v>
      </c>
      <c r="N71" s="373">
        <f t="shared" ca="1" si="4"/>
        <v>0.85</v>
      </c>
      <c r="O71" s="374">
        <f t="shared" ca="1" si="5"/>
        <v>0.89</v>
      </c>
    </row>
    <row r="72" spans="1:15" hidden="1">
      <c r="A72" s="355" t="s">
        <v>109</v>
      </c>
      <c r="B72" s="355" t="s">
        <v>68</v>
      </c>
      <c r="C72" s="355" t="s">
        <v>90</v>
      </c>
      <c r="D72" s="367" t="s">
        <v>379</v>
      </c>
      <c r="E72" s="367">
        <v>69</v>
      </c>
      <c r="F72" s="368">
        <v>0</v>
      </c>
      <c r="G72" s="369">
        <v>0</v>
      </c>
      <c r="H72" s="366">
        <v>0</v>
      </c>
      <c r="I72" s="370"/>
      <c r="J72" s="368">
        <v>0</v>
      </c>
      <c r="K72" s="371">
        <v>0</v>
      </c>
      <c r="L72" s="372">
        <v>0</v>
      </c>
      <c r="N72" s="373">
        <f t="shared" ca="1" si="4"/>
        <v>0</v>
      </c>
      <c r="O72" s="374">
        <f t="shared" ca="1" si="5"/>
        <v>0</v>
      </c>
    </row>
    <row r="73" spans="1:15" hidden="1">
      <c r="A73" s="355" t="s">
        <v>109</v>
      </c>
      <c r="B73" s="355" t="s">
        <v>62</v>
      </c>
      <c r="C73" s="355" t="s">
        <v>90</v>
      </c>
      <c r="D73" s="367" t="s">
        <v>377</v>
      </c>
      <c r="E73" s="367">
        <v>69</v>
      </c>
      <c r="F73" s="368">
        <v>0.2</v>
      </c>
      <c r="G73" s="369">
        <v>0.4</v>
      </c>
      <c r="H73" s="366">
        <v>0.1</v>
      </c>
      <c r="I73" s="370"/>
      <c r="J73" s="368">
        <v>0.2</v>
      </c>
      <c r="K73" s="371">
        <v>0.38</v>
      </c>
      <c r="L73" s="372">
        <v>0.1</v>
      </c>
      <c r="N73" s="373">
        <f t="shared" ca="1" si="4"/>
        <v>0.1</v>
      </c>
      <c r="O73" s="374">
        <f t="shared" ca="1" si="5"/>
        <v>0.1</v>
      </c>
    </row>
    <row r="74" spans="1:15" hidden="1">
      <c r="A74" s="355" t="s">
        <v>380</v>
      </c>
      <c r="B74" s="355" t="s">
        <v>172</v>
      </c>
      <c r="C74" s="355" t="s">
        <v>179</v>
      </c>
      <c r="D74" s="367" t="s">
        <v>374</v>
      </c>
      <c r="E74" s="367">
        <v>6</v>
      </c>
      <c r="F74" s="375">
        <v>0.41670196424331618</v>
      </c>
      <c r="G74" s="375">
        <v>0.45303082453804822</v>
      </c>
      <c r="H74" s="375">
        <v>0.45303082453804822</v>
      </c>
      <c r="I74" s="370"/>
      <c r="J74" s="375">
        <v>0.41670196424331618</v>
      </c>
      <c r="K74" s="376">
        <v>0.44333287248200542</v>
      </c>
      <c r="L74" s="376">
        <v>0.48081611008253872</v>
      </c>
      <c r="N74" s="374">
        <f t="shared" ca="1" si="4"/>
        <v>0.45303082453804822</v>
      </c>
      <c r="O74" s="374">
        <f t="shared" ca="1" si="5"/>
        <v>0.48081611008253872</v>
      </c>
    </row>
    <row r="75" spans="1:15" hidden="1">
      <c r="A75" s="355" t="s">
        <v>380</v>
      </c>
      <c r="B75" s="355" t="s">
        <v>104</v>
      </c>
      <c r="C75" s="355" t="s">
        <v>179</v>
      </c>
      <c r="D75" s="367" t="s">
        <v>374</v>
      </c>
      <c r="E75" s="367">
        <v>7</v>
      </c>
      <c r="F75" s="375">
        <v>0.44894128207549289</v>
      </c>
      <c r="G75" s="375">
        <v>0.43817438218466587</v>
      </c>
      <c r="H75" s="375">
        <v>0.43817438218466587</v>
      </c>
      <c r="I75" s="370"/>
      <c r="J75" s="375">
        <v>0.44894128207549289</v>
      </c>
      <c r="K75" s="376">
        <v>0.47895154569318799</v>
      </c>
      <c r="L75" s="376">
        <v>0.45129371387545469</v>
      </c>
      <c r="N75" s="374">
        <f t="shared" ca="1" si="4"/>
        <v>0.43817438218466587</v>
      </c>
      <c r="O75" s="374">
        <f t="shared" ca="1" si="5"/>
        <v>0.45129371387545469</v>
      </c>
    </row>
    <row r="76" spans="1:15" hidden="1">
      <c r="A76" s="355" t="s">
        <v>380</v>
      </c>
      <c r="B76" s="355" t="s">
        <v>101</v>
      </c>
      <c r="C76" s="355" t="s">
        <v>179</v>
      </c>
      <c r="D76" s="367" t="s">
        <v>374</v>
      </c>
      <c r="E76" s="367">
        <v>8</v>
      </c>
      <c r="F76" s="375">
        <v>0.41670196424331618</v>
      </c>
      <c r="G76" s="375">
        <v>0.45303082453804822</v>
      </c>
      <c r="H76" s="375">
        <v>0.45303082453804822</v>
      </c>
      <c r="I76" s="370"/>
      <c r="J76" s="375">
        <v>0.41670196424331618</v>
      </c>
      <c r="K76" s="376">
        <v>0.44333287248200542</v>
      </c>
      <c r="L76" s="376">
        <v>0.48081611008253872</v>
      </c>
      <c r="N76" s="374">
        <f t="shared" ca="1" si="4"/>
        <v>0.45303082453804822</v>
      </c>
      <c r="O76" s="374">
        <f t="shared" ca="1" si="5"/>
        <v>0.48081611008253872</v>
      </c>
    </row>
    <row r="77" spans="1:15" hidden="1">
      <c r="A77" s="355" t="s">
        <v>380</v>
      </c>
      <c r="B77" s="355" t="s">
        <v>100</v>
      </c>
      <c r="C77" s="355" t="s">
        <v>179</v>
      </c>
      <c r="D77" s="367" t="s">
        <v>374</v>
      </c>
      <c r="E77" s="367">
        <v>9</v>
      </c>
      <c r="F77" s="375">
        <v>0.41670196424331618</v>
      </c>
      <c r="G77" s="375">
        <v>0.45303082453804822</v>
      </c>
      <c r="H77" s="375">
        <v>0.45303082453804822</v>
      </c>
      <c r="I77" s="370"/>
      <c r="J77" s="375">
        <v>0.41670196424331618</v>
      </c>
      <c r="K77" s="376">
        <v>0.44333287248200542</v>
      </c>
      <c r="L77" s="376">
        <v>0.48081611008253872</v>
      </c>
      <c r="N77" s="374">
        <f t="shared" ca="1" si="4"/>
        <v>0.45303082453804822</v>
      </c>
      <c r="O77" s="374">
        <f t="shared" ca="1" si="5"/>
        <v>0.48081611008253872</v>
      </c>
    </row>
    <row r="78" spans="1:15" hidden="1">
      <c r="A78" s="355" t="s">
        <v>380</v>
      </c>
      <c r="B78" s="355" t="s">
        <v>397</v>
      </c>
      <c r="C78" s="355" t="s">
        <v>179</v>
      </c>
      <c r="D78" s="367" t="s">
        <v>374</v>
      </c>
      <c r="E78" s="367">
        <v>10</v>
      </c>
      <c r="F78" s="375">
        <v>1.3888888888888886</v>
      </c>
      <c r="G78" s="375">
        <v>1.3888888888888886</v>
      </c>
      <c r="H78" s="375">
        <v>1.3888888888888886</v>
      </c>
      <c r="I78" s="370"/>
      <c r="J78" s="375">
        <v>1.3888888888888886</v>
      </c>
      <c r="K78" s="376">
        <v>1.2161054729603733</v>
      </c>
      <c r="L78" s="376">
        <v>1.3227135330269097</v>
      </c>
      <c r="N78" s="374">
        <f t="shared" ca="1" si="4"/>
        <v>1.3888888888888886</v>
      </c>
      <c r="O78" s="374">
        <f t="shared" ca="1" si="5"/>
        <v>1.3227135330269097</v>
      </c>
    </row>
    <row r="79" spans="1:15" hidden="1">
      <c r="A79" s="355" t="s">
        <v>380</v>
      </c>
      <c r="B79" s="355" t="s">
        <v>162</v>
      </c>
      <c r="C79" s="355" t="s">
        <v>179</v>
      </c>
      <c r="D79" s="367" t="s">
        <v>374</v>
      </c>
      <c r="E79" s="367">
        <v>11</v>
      </c>
      <c r="F79" s="375">
        <v>0.44894128207549289</v>
      </c>
      <c r="G79" s="375">
        <v>0.45303082453804822</v>
      </c>
      <c r="H79" s="375">
        <v>0.45303082453804822</v>
      </c>
      <c r="I79" s="370"/>
      <c r="J79" s="375">
        <v>0.44894128207549289</v>
      </c>
      <c r="K79" s="376">
        <v>0.44333287248200542</v>
      </c>
      <c r="L79" s="376">
        <v>0.48081611008253872</v>
      </c>
      <c r="N79" s="374">
        <f t="shared" ca="1" si="4"/>
        <v>0.45303082453804822</v>
      </c>
      <c r="O79" s="374">
        <f t="shared" ca="1" si="5"/>
        <v>0.48081611008253872</v>
      </c>
    </row>
    <row r="80" spans="1:15" hidden="1">
      <c r="A80" s="355" t="s">
        <v>380</v>
      </c>
      <c r="B80" s="355" t="s">
        <v>163</v>
      </c>
      <c r="C80" s="355" t="s">
        <v>179</v>
      </c>
      <c r="D80" s="367" t="s">
        <v>374</v>
      </c>
      <c r="E80" s="367">
        <v>12</v>
      </c>
      <c r="F80" s="375">
        <v>0.41670196424331618</v>
      </c>
      <c r="G80" s="375">
        <v>0.45303082453804822</v>
      </c>
      <c r="H80" s="375">
        <v>0.45303082453804822</v>
      </c>
      <c r="I80" s="370"/>
      <c r="J80" s="375">
        <v>0.41670196424331618</v>
      </c>
      <c r="K80" s="376">
        <v>0.44333287248200542</v>
      </c>
      <c r="L80" s="376">
        <v>0.48081611008253872</v>
      </c>
      <c r="N80" s="374">
        <f t="shared" ca="1" si="4"/>
        <v>0.45303082453804822</v>
      </c>
      <c r="O80" s="374">
        <f t="shared" ca="1" si="5"/>
        <v>0.48081611008253872</v>
      </c>
    </row>
    <row r="81" spans="1:15" hidden="1">
      <c r="A81" s="355" t="s">
        <v>107</v>
      </c>
      <c r="B81" s="355" t="s">
        <v>172</v>
      </c>
      <c r="C81" s="355" t="s">
        <v>51</v>
      </c>
      <c r="D81" s="367" t="s">
        <v>374</v>
      </c>
      <c r="E81" s="367">
        <v>6</v>
      </c>
      <c r="F81" s="375">
        <v>8.5834194905819644E-2</v>
      </c>
      <c r="G81" s="375">
        <v>8.6104845926598741E-2</v>
      </c>
      <c r="H81" s="375">
        <v>8.6104845926598741E-2</v>
      </c>
      <c r="I81" s="370"/>
      <c r="J81" s="375">
        <v>8.5834194905819644E-2</v>
      </c>
      <c r="K81" s="376">
        <v>7.9611883401826414E-2</v>
      </c>
      <c r="L81" s="376">
        <v>7.041980234215553E-2</v>
      </c>
      <c r="N81" s="374">
        <f t="shared" ref="N81:N87" ca="1" si="6">OFFSET($E81,0,RegIndex)</f>
        <v>8.6104845926598741E-2</v>
      </c>
      <c r="O81" s="374">
        <f t="shared" ref="O81:O87" ca="1" si="7">OFFSET($I81,0,RegIndex)</f>
        <v>7.041980234215553E-2</v>
      </c>
    </row>
    <row r="82" spans="1:15" hidden="1">
      <c r="A82" s="355" t="s">
        <v>107</v>
      </c>
      <c r="B82" s="355" t="s">
        <v>104</v>
      </c>
      <c r="C82" s="355" t="s">
        <v>51</v>
      </c>
      <c r="D82" s="367" t="s">
        <v>374</v>
      </c>
      <c r="E82" s="367">
        <v>7</v>
      </c>
      <c r="F82" s="375">
        <v>8.5834194905819644E-2</v>
      </c>
      <c r="G82" s="375">
        <v>8.6104845926598741E-2</v>
      </c>
      <c r="H82" s="375">
        <v>8.6104845926598741E-2</v>
      </c>
      <c r="I82" s="370"/>
      <c r="J82" s="375">
        <v>8.5834194905819644E-2</v>
      </c>
      <c r="K82" s="376">
        <v>7.9611883401826414E-2</v>
      </c>
      <c r="L82" s="376">
        <v>7.041980234215553E-2</v>
      </c>
      <c r="N82" s="374">
        <f t="shared" ca="1" si="6"/>
        <v>8.6104845926598741E-2</v>
      </c>
      <c r="O82" s="374">
        <f t="shared" ca="1" si="7"/>
        <v>7.041980234215553E-2</v>
      </c>
    </row>
    <row r="83" spans="1:15" hidden="1">
      <c r="A83" s="355" t="s">
        <v>107</v>
      </c>
      <c r="B83" s="355" t="s">
        <v>101</v>
      </c>
      <c r="C83" s="355" t="s">
        <v>51</v>
      </c>
      <c r="D83" s="367" t="s">
        <v>374</v>
      </c>
      <c r="E83" s="367">
        <v>8</v>
      </c>
      <c r="F83" s="375">
        <v>8.5834194905819644E-2</v>
      </c>
      <c r="G83" s="375">
        <v>8.6104845926598741E-2</v>
      </c>
      <c r="H83" s="375">
        <v>8.6104845926598741E-2</v>
      </c>
      <c r="I83" s="370"/>
      <c r="J83" s="375">
        <v>8.5834194905819644E-2</v>
      </c>
      <c r="K83" s="376">
        <v>7.9611883401826414E-2</v>
      </c>
      <c r="L83" s="376">
        <v>7.041980234215553E-2</v>
      </c>
      <c r="N83" s="374">
        <f t="shared" ca="1" si="6"/>
        <v>8.6104845926598741E-2</v>
      </c>
      <c r="O83" s="374">
        <f t="shared" ca="1" si="7"/>
        <v>7.041980234215553E-2</v>
      </c>
    </row>
    <row r="84" spans="1:15" hidden="1">
      <c r="A84" s="355" t="s">
        <v>107</v>
      </c>
      <c r="B84" s="355" t="s">
        <v>100</v>
      </c>
      <c r="C84" s="355" t="s">
        <v>51</v>
      </c>
      <c r="D84" s="367" t="s">
        <v>374</v>
      </c>
      <c r="E84" s="367">
        <v>9</v>
      </c>
      <c r="F84" s="375">
        <v>8.5834194905819644E-2</v>
      </c>
      <c r="G84" s="375">
        <v>8.6104845926598741E-2</v>
      </c>
      <c r="H84" s="375">
        <v>8.6104845926598741E-2</v>
      </c>
      <c r="I84" s="370"/>
      <c r="J84" s="375">
        <v>8.5834194905819644E-2</v>
      </c>
      <c r="K84" s="376">
        <v>7.9611883401826414E-2</v>
      </c>
      <c r="L84" s="376">
        <v>7.041980234215553E-2</v>
      </c>
      <c r="N84" s="374">
        <f t="shared" ca="1" si="6"/>
        <v>8.6104845926598741E-2</v>
      </c>
      <c r="O84" s="374">
        <f t="shared" ca="1" si="7"/>
        <v>7.041980234215553E-2</v>
      </c>
    </row>
    <row r="85" spans="1:15" hidden="1">
      <c r="A85" s="355" t="s">
        <v>107</v>
      </c>
      <c r="B85" s="355" t="s">
        <v>397</v>
      </c>
      <c r="C85" s="355" t="s">
        <v>51</v>
      </c>
      <c r="D85" s="367" t="s">
        <v>374</v>
      </c>
      <c r="E85" s="367">
        <v>10</v>
      </c>
      <c r="F85" s="375">
        <v>0.30632519518898255</v>
      </c>
      <c r="G85" s="375">
        <v>0.30632519518898255</v>
      </c>
      <c r="H85" s="375">
        <v>0.30632519518898255</v>
      </c>
      <c r="I85" s="370"/>
      <c r="J85" s="375">
        <v>0.30632519518898255</v>
      </c>
      <c r="K85" s="376">
        <v>0.20735701310626153</v>
      </c>
      <c r="L85" s="376">
        <v>0.19018682451601901</v>
      </c>
      <c r="N85" s="374">
        <f t="shared" ca="1" si="6"/>
        <v>0.30632519518898255</v>
      </c>
      <c r="O85" s="374">
        <f t="shared" ca="1" si="7"/>
        <v>0.19018682451601901</v>
      </c>
    </row>
    <row r="86" spans="1:15" hidden="1">
      <c r="A86" s="355" t="s">
        <v>107</v>
      </c>
      <c r="B86" s="355" t="s">
        <v>162</v>
      </c>
      <c r="C86" s="355" t="s">
        <v>51</v>
      </c>
      <c r="D86" s="367" t="s">
        <v>374</v>
      </c>
      <c r="E86" s="367">
        <v>11</v>
      </c>
      <c r="F86" s="375">
        <v>8.5834194905819644E-2</v>
      </c>
      <c r="G86" s="375">
        <v>8.6104845926598741E-2</v>
      </c>
      <c r="H86" s="375">
        <v>8.6104845926598741E-2</v>
      </c>
      <c r="I86" s="370"/>
      <c r="J86" s="375">
        <v>8.5834194905819644E-2</v>
      </c>
      <c r="K86" s="376">
        <v>7.9611883401826414E-2</v>
      </c>
      <c r="L86" s="376">
        <v>7.041980234215553E-2</v>
      </c>
      <c r="N86" s="374">
        <f t="shared" ca="1" si="6"/>
        <v>8.6104845926598741E-2</v>
      </c>
      <c r="O86" s="374">
        <f t="shared" ca="1" si="7"/>
        <v>7.041980234215553E-2</v>
      </c>
    </row>
    <row r="87" spans="1:15" hidden="1">
      <c r="A87" s="355" t="s">
        <v>107</v>
      </c>
      <c r="B87" s="355" t="s">
        <v>163</v>
      </c>
      <c r="C87" s="355" t="s">
        <v>51</v>
      </c>
      <c r="D87" s="367" t="s">
        <v>374</v>
      </c>
      <c r="E87" s="367">
        <v>12</v>
      </c>
      <c r="F87" s="375">
        <v>8.5834194905819644E-2</v>
      </c>
      <c r="G87" s="375">
        <v>8.6104845926598741E-2</v>
      </c>
      <c r="H87" s="375">
        <v>8.6104845926598741E-2</v>
      </c>
      <c r="I87" s="370"/>
      <c r="J87" s="375">
        <v>8.5834194905819644E-2</v>
      </c>
      <c r="K87" s="376">
        <v>7.9611883401826414E-2</v>
      </c>
      <c r="L87" s="376">
        <v>7.041980234215553E-2</v>
      </c>
      <c r="N87" s="374">
        <f t="shared" ca="1" si="6"/>
        <v>8.6104845926598741E-2</v>
      </c>
      <c r="O87" s="374">
        <f t="shared" ca="1" si="7"/>
        <v>7.041980234215553E-2</v>
      </c>
    </row>
    <row r="88" spans="1:15" hidden="1">
      <c r="A88" s="355" t="s">
        <v>381</v>
      </c>
      <c r="B88" s="355" t="s">
        <v>172</v>
      </c>
      <c r="C88" s="355" t="s">
        <v>50</v>
      </c>
      <c r="D88" s="367" t="s">
        <v>374</v>
      </c>
      <c r="E88" s="367">
        <v>6</v>
      </c>
      <c r="F88" s="375">
        <v>0.3206592754703671</v>
      </c>
      <c r="G88" s="375">
        <v>0.36236518444162885</v>
      </c>
      <c r="H88" s="375">
        <v>0.36236518444162885</v>
      </c>
      <c r="I88" s="370"/>
      <c r="J88" s="375">
        <v>0.3206592754703671</v>
      </c>
      <c r="K88" s="376">
        <v>0.34718112011675695</v>
      </c>
      <c r="L88" s="376">
        <v>0.37488786694812859</v>
      </c>
      <c r="N88" s="374">
        <f t="shared" ca="1" si="4"/>
        <v>0.36236518444162885</v>
      </c>
      <c r="O88" s="374">
        <f t="shared" ca="1" si="5"/>
        <v>0.37488786694812859</v>
      </c>
    </row>
    <row r="89" spans="1:15" hidden="1">
      <c r="A89" s="355" t="s">
        <v>381</v>
      </c>
      <c r="B89" s="355" t="s">
        <v>104</v>
      </c>
      <c r="C89" s="355" t="s">
        <v>50</v>
      </c>
      <c r="D89" s="367" t="s">
        <v>374</v>
      </c>
      <c r="E89" s="367">
        <v>7</v>
      </c>
      <c r="F89" s="375">
        <v>0.25945011263355566</v>
      </c>
      <c r="G89" s="375">
        <v>0.30422782301794299</v>
      </c>
      <c r="H89" s="375">
        <v>0.30422782301794299</v>
      </c>
      <c r="I89" s="370"/>
      <c r="J89" s="375">
        <v>0.25945011263355566</v>
      </c>
      <c r="K89" s="376">
        <v>0.39490903632549257</v>
      </c>
      <c r="L89" s="376">
        <v>0.39655784617440437</v>
      </c>
      <c r="N89" s="374">
        <f t="shared" ca="1" si="4"/>
        <v>0.30422782301794299</v>
      </c>
      <c r="O89" s="374">
        <f t="shared" ca="1" si="5"/>
        <v>0.39655784617440437</v>
      </c>
    </row>
    <row r="90" spans="1:15" hidden="1">
      <c r="A90" s="355" t="s">
        <v>381</v>
      </c>
      <c r="B90" s="355" t="s">
        <v>101</v>
      </c>
      <c r="C90" s="355" t="s">
        <v>50</v>
      </c>
      <c r="D90" s="367" t="s">
        <v>374</v>
      </c>
      <c r="E90" s="367">
        <v>8</v>
      </c>
      <c r="F90" s="375">
        <v>0.3206592754703671</v>
      </c>
      <c r="G90" s="375">
        <v>0.36236518444162885</v>
      </c>
      <c r="H90" s="375">
        <v>0.36236518444162885</v>
      </c>
      <c r="I90" s="370"/>
      <c r="J90" s="375">
        <v>0.3206592754703671</v>
      </c>
      <c r="K90" s="376">
        <v>0.34718112011675695</v>
      </c>
      <c r="L90" s="376">
        <v>0.37488786694812859</v>
      </c>
      <c r="N90" s="374">
        <f t="shared" ca="1" si="4"/>
        <v>0.36236518444162885</v>
      </c>
      <c r="O90" s="374">
        <f t="shared" ca="1" si="5"/>
        <v>0.37488786694812859</v>
      </c>
    </row>
    <row r="91" spans="1:15" hidden="1">
      <c r="A91" s="355" t="s">
        <v>381</v>
      </c>
      <c r="B91" s="355" t="s">
        <v>100</v>
      </c>
      <c r="C91" s="355" t="s">
        <v>50</v>
      </c>
      <c r="D91" s="367" t="s">
        <v>374</v>
      </c>
      <c r="E91" s="367">
        <v>9</v>
      </c>
      <c r="F91" s="375">
        <v>0.3206592754703671</v>
      </c>
      <c r="G91" s="375">
        <v>0.36236518444162885</v>
      </c>
      <c r="H91" s="375">
        <v>0.36236518444162885</v>
      </c>
      <c r="I91" s="370"/>
      <c r="J91" s="375">
        <v>0.3206592754703671</v>
      </c>
      <c r="K91" s="376">
        <v>0.34718112011675695</v>
      </c>
      <c r="L91" s="376">
        <v>0.37488786694812859</v>
      </c>
      <c r="N91" s="374">
        <f t="shared" ca="1" si="4"/>
        <v>0.36236518444162885</v>
      </c>
      <c r="O91" s="374">
        <f t="shared" ca="1" si="5"/>
        <v>0.37488786694812859</v>
      </c>
    </row>
    <row r="92" spans="1:15" hidden="1">
      <c r="A92" s="355" t="s">
        <v>381</v>
      </c>
      <c r="B92" s="355" t="s">
        <v>397</v>
      </c>
      <c r="C92" s="355" t="s">
        <v>50</v>
      </c>
      <c r="D92" s="367" t="s">
        <v>374</v>
      </c>
      <c r="E92" s="367">
        <v>10</v>
      </c>
      <c r="F92" s="375">
        <v>0.92592592592592582</v>
      </c>
      <c r="G92" s="375">
        <v>0.92592592592592582</v>
      </c>
      <c r="H92" s="375">
        <v>0.92592592592592582</v>
      </c>
      <c r="I92" s="370"/>
      <c r="J92" s="375">
        <v>0.92592592592592582</v>
      </c>
      <c r="K92" s="376">
        <v>1.043463334787226</v>
      </c>
      <c r="L92" s="376">
        <v>1.0478199649605535</v>
      </c>
      <c r="N92" s="374">
        <f t="shared" ca="1" si="4"/>
        <v>0.92592592592592582</v>
      </c>
      <c r="O92" s="374">
        <f t="shared" ca="1" si="5"/>
        <v>1.0478199649605535</v>
      </c>
    </row>
    <row r="93" spans="1:15" hidden="1">
      <c r="A93" s="355" t="s">
        <v>381</v>
      </c>
      <c r="B93" s="355" t="s">
        <v>162</v>
      </c>
      <c r="C93" s="355" t="s">
        <v>50</v>
      </c>
      <c r="D93" s="367" t="s">
        <v>374</v>
      </c>
      <c r="E93" s="367">
        <v>11</v>
      </c>
      <c r="F93" s="375">
        <v>0.25945011263355566</v>
      </c>
      <c r="G93" s="375">
        <v>0.36236518444162885</v>
      </c>
      <c r="H93" s="375">
        <v>0.36236518444162885</v>
      </c>
      <c r="I93" s="370"/>
      <c r="J93" s="375">
        <v>0.25945011263355566</v>
      </c>
      <c r="K93" s="376">
        <v>0.34718112011675695</v>
      </c>
      <c r="L93" s="376">
        <v>0.37488786694812859</v>
      </c>
      <c r="N93" s="374">
        <f t="shared" ca="1" si="4"/>
        <v>0.36236518444162885</v>
      </c>
      <c r="O93" s="374">
        <f t="shared" ca="1" si="5"/>
        <v>0.37488786694812859</v>
      </c>
    </row>
    <row r="94" spans="1:15" hidden="1">
      <c r="A94" s="355" t="s">
        <v>381</v>
      </c>
      <c r="B94" s="355" t="s">
        <v>163</v>
      </c>
      <c r="C94" s="355" t="s">
        <v>50</v>
      </c>
      <c r="D94" s="367" t="s">
        <v>374</v>
      </c>
      <c r="E94" s="367">
        <v>12</v>
      </c>
      <c r="F94" s="375">
        <v>0.3206592754703671</v>
      </c>
      <c r="G94" s="375">
        <v>0.36236518444162885</v>
      </c>
      <c r="H94" s="375">
        <v>0.36236518444162885</v>
      </c>
      <c r="I94" s="370"/>
      <c r="J94" s="375">
        <v>0.3206592754703671</v>
      </c>
      <c r="K94" s="376">
        <v>0.34718112011675695</v>
      </c>
      <c r="L94" s="376">
        <v>0.37488786694812859</v>
      </c>
      <c r="N94" s="374">
        <f t="shared" ca="1" si="4"/>
        <v>0.36236518444162885</v>
      </c>
      <c r="O94" s="374">
        <f t="shared" ca="1" si="5"/>
        <v>0.37488786694812859</v>
      </c>
    </row>
    <row r="95" spans="1:15" hidden="1">
      <c r="A95" s="355" t="s">
        <v>383</v>
      </c>
      <c r="B95" s="355" t="s">
        <v>172</v>
      </c>
      <c r="C95" s="355" t="s">
        <v>257</v>
      </c>
      <c r="D95" s="367" t="s">
        <v>374</v>
      </c>
      <c r="E95" s="367">
        <v>6</v>
      </c>
      <c r="F95" s="375">
        <v>8.3803083783843449E-2</v>
      </c>
      <c r="G95" s="375">
        <v>8.6858330707681244E-2</v>
      </c>
      <c r="H95" s="375">
        <v>8.6858330707681244E-2</v>
      </c>
      <c r="I95" s="370"/>
      <c r="J95" s="375">
        <v>8.3803083783843449E-2</v>
      </c>
      <c r="K95" s="376">
        <v>8.09023362403236E-2</v>
      </c>
      <c r="L95" s="376">
        <v>6.819604068741246E-2</v>
      </c>
      <c r="N95" s="374">
        <f t="shared" ref="N95:N101" ca="1" si="8">OFFSET($E95,0,RegIndex)</f>
        <v>8.6858330707681244E-2</v>
      </c>
      <c r="O95" s="374">
        <f t="shared" ref="O95:O101" ca="1" si="9">OFFSET($I95,0,RegIndex)</f>
        <v>6.819604068741246E-2</v>
      </c>
    </row>
    <row r="96" spans="1:15" hidden="1">
      <c r="A96" s="355" t="s">
        <v>383</v>
      </c>
      <c r="B96" s="355" t="s">
        <v>104</v>
      </c>
      <c r="C96" s="355" t="s">
        <v>257</v>
      </c>
      <c r="D96" s="367" t="s">
        <v>374</v>
      </c>
      <c r="E96" s="367">
        <v>7</v>
      </c>
      <c r="F96" s="375">
        <v>8.9033512036649221E-2</v>
      </c>
      <c r="G96" s="375">
        <v>8.6858330707681244E-2</v>
      </c>
      <c r="H96" s="375">
        <v>8.6858330707681244E-2</v>
      </c>
      <c r="I96" s="370"/>
      <c r="J96" s="375">
        <v>8.9033512036649221E-2</v>
      </c>
      <c r="K96" s="376">
        <v>8.09023362403236E-2</v>
      </c>
      <c r="L96" s="376">
        <v>6.819604068741246E-2</v>
      </c>
      <c r="N96" s="374">
        <f t="shared" ca="1" si="8"/>
        <v>8.6858330707681244E-2</v>
      </c>
      <c r="O96" s="374">
        <f t="shared" ca="1" si="9"/>
        <v>6.819604068741246E-2</v>
      </c>
    </row>
    <row r="97" spans="1:15" hidden="1">
      <c r="A97" s="355" t="s">
        <v>383</v>
      </c>
      <c r="B97" s="355" t="s">
        <v>101</v>
      </c>
      <c r="C97" s="355" t="s">
        <v>257</v>
      </c>
      <c r="D97" s="367" t="s">
        <v>374</v>
      </c>
      <c r="E97" s="367">
        <v>8</v>
      </c>
      <c r="F97" s="375">
        <v>7.8572655531037677E-2</v>
      </c>
      <c r="G97" s="375">
        <v>8.6858330707681244E-2</v>
      </c>
      <c r="H97" s="375">
        <v>8.6858330707681244E-2</v>
      </c>
      <c r="I97" s="370"/>
      <c r="J97" s="375">
        <v>7.8572655531037677E-2</v>
      </c>
      <c r="K97" s="376">
        <v>8.09023362403236E-2</v>
      </c>
      <c r="L97" s="376">
        <v>6.819604068741246E-2</v>
      </c>
      <c r="N97" s="374">
        <f t="shared" ca="1" si="8"/>
        <v>8.6858330707681244E-2</v>
      </c>
      <c r="O97" s="374">
        <f t="shared" ca="1" si="9"/>
        <v>6.819604068741246E-2</v>
      </c>
    </row>
    <row r="98" spans="1:15" hidden="1">
      <c r="A98" s="355" t="s">
        <v>383</v>
      </c>
      <c r="B98" s="355" t="s">
        <v>100</v>
      </c>
      <c r="C98" s="355" t="s">
        <v>257</v>
      </c>
      <c r="D98" s="367" t="s">
        <v>374</v>
      </c>
      <c r="E98" s="367">
        <v>9</v>
      </c>
      <c r="F98" s="375">
        <v>7.8572655531037677E-2</v>
      </c>
      <c r="G98" s="375">
        <v>8.6858330707681244E-2</v>
      </c>
      <c r="H98" s="375">
        <v>8.6858330707681244E-2</v>
      </c>
      <c r="I98" s="370"/>
      <c r="J98" s="375">
        <v>7.8572655531037677E-2</v>
      </c>
      <c r="K98" s="376">
        <v>6.8141782809551299E-2</v>
      </c>
      <c r="L98" s="376">
        <v>5.7439624230243312E-2</v>
      </c>
      <c r="N98" s="374">
        <f t="shared" ca="1" si="8"/>
        <v>8.6858330707681244E-2</v>
      </c>
      <c r="O98" s="374">
        <f t="shared" ca="1" si="9"/>
        <v>5.7439624230243312E-2</v>
      </c>
    </row>
    <row r="99" spans="1:15" hidden="1">
      <c r="A99" s="355" t="s">
        <v>383</v>
      </c>
      <c r="B99" s="355" t="s">
        <v>397</v>
      </c>
      <c r="C99" s="355" t="s">
        <v>257</v>
      </c>
      <c r="D99" s="367" t="s">
        <v>374</v>
      </c>
      <c r="F99" s="355">
        <v>0.17035445702387825</v>
      </c>
      <c r="G99" s="355">
        <v>0.17035445702387825</v>
      </c>
      <c r="H99" s="355">
        <v>0.17035445702387825</v>
      </c>
      <c r="I99" s="370"/>
      <c r="J99" s="355">
        <v>0.17035445702387825</v>
      </c>
      <c r="K99" s="377">
        <v>0.17035445702387825</v>
      </c>
      <c r="L99" s="377">
        <v>0.14359906057560826</v>
      </c>
      <c r="N99" s="374">
        <f t="shared" ca="1" si="8"/>
        <v>0.17035445702387825</v>
      </c>
      <c r="O99" s="374">
        <f t="shared" ca="1" si="9"/>
        <v>0.14359906057560826</v>
      </c>
    </row>
    <row r="100" spans="1:15" hidden="1">
      <c r="A100" s="355" t="s">
        <v>383</v>
      </c>
      <c r="B100" s="355" t="s">
        <v>162</v>
      </c>
      <c r="C100" s="355" t="s">
        <v>257</v>
      </c>
      <c r="D100" s="367" t="s">
        <v>374</v>
      </c>
      <c r="E100" s="367">
        <v>10</v>
      </c>
      <c r="F100" s="375">
        <v>7.8572655531037677E-2</v>
      </c>
      <c r="G100" s="375">
        <v>8.6858330707681244E-2</v>
      </c>
      <c r="H100" s="375">
        <v>8.6858330707681244E-2</v>
      </c>
      <c r="I100" s="370"/>
      <c r="J100" s="375">
        <v>7.8572655531037677E-2</v>
      </c>
      <c r="K100" s="376">
        <v>8.09023362403236E-2</v>
      </c>
      <c r="L100" s="376">
        <v>6.819604068741246E-2</v>
      </c>
      <c r="N100" s="374">
        <f t="shared" ca="1" si="8"/>
        <v>8.6858330707681244E-2</v>
      </c>
      <c r="O100" s="374">
        <f t="shared" ca="1" si="9"/>
        <v>6.819604068741246E-2</v>
      </c>
    </row>
    <row r="101" spans="1:15" hidden="1">
      <c r="A101" s="355" t="s">
        <v>383</v>
      </c>
      <c r="B101" s="355" t="s">
        <v>163</v>
      </c>
      <c r="C101" s="355" t="s">
        <v>257</v>
      </c>
      <c r="D101" s="367" t="s">
        <v>374</v>
      </c>
      <c r="E101" s="367">
        <v>11</v>
      </c>
      <c r="F101" s="375">
        <v>7.8572655531037677E-2</v>
      </c>
      <c r="G101" s="375">
        <v>8.6858330707681244E-2</v>
      </c>
      <c r="H101" s="375">
        <v>8.6858330707681244E-2</v>
      </c>
      <c r="I101" s="370"/>
      <c r="J101" s="375">
        <v>7.8572655531037677E-2</v>
      </c>
      <c r="K101" s="376">
        <v>8.09023362403236E-2</v>
      </c>
      <c r="L101" s="376">
        <v>6.819604068741246E-2</v>
      </c>
      <c r="N101" s="374">
        <f t="shared" ca="1" si="8"/>
        <v>8.6858330707681244E-2</v>
      </c>
      <c r="O101" s="374">
        <f t="shared" ca="1" si="9"/>
        <v>6.819604068741246E-2</v>
      </c>
    </row>
    <row r="102" spans="1:15" hidden="1">
      <c r="A102" s="355" t="s">
        <v>382</v>
      </c>
      <c r="B102" s="355" t="s">
        <v>104</v>
      </c>
      <c r="C102" s="355" t="s">
        <v>52</v>
      </c>
      <c r="D102" s="367" t="s">
        <v>374</v>
      </c>
      <c r="E102" s="367">
        <v>6</v>
      </c>
      <c r="F102" s="375">
        <v>5.3790338508890874E-2</v>
      </c>
      <c r="G102" s="375">
        <v>7.0908882599273027E-2</v>
      </c>
      <c r="H102" s="375">
        <v>7.0908882599273027E-2</v>
      </c>
      <c r="I102" s="370"/>
      <c r="J102" s="375">
        <v>5.3790338508890874E-2</v>
      </c>
      <c r="K102" s="376">
        <v>5.7605243889022911E-2</v>
      </c>
      <c r="L102" s="376">
        <v>5.780143143107163E-2</v>
      </c>
      <c r="N102" s="374">
        <f t="shared" ca="1" si="4"/>
        <v>7.0908882599273027E-2</v>
      </c>
      <c r="O102" s="374">
        <f t="shared" ca="1" si="5"/>
        <v>5.780143143107163E-2</v>
      </c>
    </row>
    <row r="103" spans="1:15" hidden="1">
      <c r="A103" s="355" t="s">
        <v>382</v>
      </c>
      <c r="B103" s="355" t="s">
        <v>172</v>
      </c>
      <c r="C103" s="355" t="s">
        <v>52</v>
      </c>
      <c r="D103" s="367" t="s">
        <v>374</v>
      </c>
      <c r="E103" s="367">
        <v>7</v>
      </c>
      <c r="F103" s="375">
        <v>5.2135251170155772E-2</v>
      </c>
      <c r="G103" s="375">
        <v>7.0908882599273027E-2</v>
      </c>
      <c r="H103" s="375">
        <v>7.0908882599273027E-2</v>
      </c>
      <c r="I103" s="370"/>
      <c r="J103" s="375">
        <v>5.2135251170155772E-2</v>
      </c>
      <c r="K103" s="376">
        <v>5.7605243889022911E-2</v>
      </c>
      <c r="L103" s="376">
        <v>5.780143143107163E-2</v>
      </c>
      <c r="N103" s="374">
        <f t="shared" ca="1" si="4"/>
        <v>7.0908882599273027E-2</v>
      </c>
      <c r="O103" s="374">
        <f t="shared" ca="1" si="5"/>
        <v>5.780143143107163E-2</v>
      </c>
    </row>
    <row r="104" spans="1:15" hidden="1">
      <c r="A104" s="355" t="s">
        <v>382</v>
      </c>
      <c r="B104" s="355" t="s">
        <v>101</v>
      </c>
      <c r="C104" s="355" t="s">
        <v>52</v>
      </c>
      <c r="D104" s="367" t="s">
        <v>374</v>
      </c>
      <c r="E104" s="367">
        <v>8</v>
      </c>
      <c r="F104" s="375">
        <v>4.7997532823318013E-2</v>
      </c>
      <c r="G104" s="375">
        <v>7.0908882599273027E-2</v>
      </c>
      <c r="H104" s="375">
        <v>7.0908882599273027E-2</v>
      </c>
      <c r="I104" s="370"/>
      <c r="J104" s="375">
        <v>4.7997532823318013E-2</v>
      </c>
      <c r="K104" s="376">
        <v>5.7605243889022911E-2</v>
      </c>
      <c r="L104" s="376">
        <v>5.780143143107163E-2</v>
      </c>
      <c r="N104" s="374">
        <f t="shared" ca="1" si="4"/>
        <v>7.0908882599273027E-2</v>
      </c>
      <c r="O104" s="374">
        <f t="shared" ca="1" si="5"/>
        <v>5.780143143107163E-2</v>
      </c>
    </row>
    <row r="105" spans="1:15" hidden="1">
      <c r="A105" s="355" t="s">
        <v>382</v>
      </c>
      <c r="B105" s="355" t="s">
        <v>100</v>
      </c>
      <c r="C105" s="355" t="s">
        <v>52</v>
      </c>
      <c r="D105" s="367" t="s">
        <v>374</v>
      </c>
      <c r="E105" s="367">
        <v>9</v>
      </c>
      <c r="F105" s="375">
        <v>4.7997532823318013E-2</v>
      </c>
      <c r="G105" s="375">
        <v>7.0908882599273027E-2</v>
      </c>
      <c r="H105" s="375">
        <v>7.0908882599273027E-2</v>
      </c>
      <c r="I105" s="370"/>
      <c r="J105" s="375">
        <v>4.7997532823318013E-2</v>
      </c>
      <c r="K105" s="376">
        <v>5.7605243889022911E-2</v>
      </c>
      <c r="L105" s="376">
        <v>5.780143143107163E-2</v>
      </c>
      <c r="N105" s="374">
        <f t="shared" ca="1" si="4"/>
        <v>7.0908882599273027E-2</v>
      </c>
      <c r="O105" s="374">
        <f t="shared" ca="1" si="5"/>
        <v>5.780143143107163E-2</v>
      </c>
    </row>
    <row r="106" spans="1:15" hidden="1">
      <c r="A106" s="355" t="s">
        <v>382</v>
      </c>
      <c r="B106" s="355" t="s">
        <v>162</v>
      </c>
      <c r="C106" s="355" t="s">
        <v>52</v>
      </c>
      <c r="D106" s="367" t="s">
        <v>374</v>
      </c>
      <c r="E106" s="367">
        <v>10</v>
      </c>
      <c r="F106" s="375">
        <v>4.7997532823318013E-2</v>
      </c>
      <c r="G106" s="375">
        <v>7.0908882599273027E-2</v>
      </c>
      <c r="H106" s="375">
        <v>7.0908882599273027E-2</v>
      </c>
      <c r="I106" s="370"/>
      <c r="J106" s="375">
        <v>4.7997532823318013E-2</v>
      </c>
      <c r="K106" s="376">
        <v>5.7605243889022911E-2</v>
      </c>
      <c r="L106" s="376">
        <v>5.780143143107163E-2</v>
      </c>
      <c r="N106" s="374">
        <f t="shared" ca="1" si="4"/>
        <v>7.0908882599273027E-2</v>
      </c>
      <c r="O106" s="374">
        <f t="shared" ca="1" si="5"/>
        <v>5.780143143107163E-2</v>
      </c>
    </row>
    <row r="107" spans="1:15" hidden="1">
      <c r="A107" s="355" t="s">
        <v>382</v>
      </c>
      <c r="B107" s="355" t="s">
        <v>163</v>
      </c>
      <c r="C107" s="355" t="s">
        <v>52</v>
      </c>
      <c r="D107" s="367" t="s">
        <v>374</v>
      </c>
      <c r="E107" s="367">
        <v>11</v>
      </c>
      <c r="F107" s="375">
        <v>4.7997532823318013E-2</v>
      </c>
      <c r="G107" s="375">
        <v>7.0908882599273027E-2</v>
      </c>
      <c r="H107" s="375">
        <v>7.0908882599273027E-2</v>
      </c>
      <c r="I107" s="370"/>
      <c r="J107" s="375">
        <v>4.7997532823318013E-2</v>
      </c>
      <c r="K107" s="376">
        <v>5.7605243889022911E-2</v>
      </c>
      <c r="L107" s="376">
        <v>5.780143143107163E-2</v>
      </c>
      <c r="N107" s="374">
        <f t="shared" ref="N107:N114" ca="1" si="10">OFFSET($E107,0,RegIndex)</f>
        <v>7.0908882599273027E-2</v>
      </c>
      <c r="O107" s="374">
        <f t="shared" ca="1" si="5"/>
        <v>5.780143143107163E-2</v>
      </c>
    </row>
    <row r="108" spans="1:15" hidden="1">
      <c r="A108" s="355" t="s">
        <v>384</v>
      </c>
      <c r="B108" s="355" t="s">
        <v>172</v>
      </c>
      <c r="C108" s="355" t="s">
        <v>140</v>
      </c>
      <c r="D108" s="367" t="s">
        <v>385</v>
      </c>
      <c r="E108" s="367">
        <v>6</v>
      </c>
      <c r="F108" s="375">
        <v>0.1</v>
      </c>
      <c r="G108" s="375">
        <v>0.82302098709771365</v>
      </c>
      <c r="H108" s="375">
        <v>0.82302098709771365</v>
      </c>
      <c r="I108" s="370"/>
      <c r="J108" s="375">
        <v>0.1</v>
      </c>
      <c r="K108" s="376">
        <v>0.64531583675354298</v>
      </c>
      <c r="L108" s="376">
        <v>0.64961813588500472</v>
      </c>
      <c r="N108" s="374">
        <f t="shared" ca="1" si="10"/>
        <v>0.82302098709771365</v>
      </c>
      <c r="O108" s="374">
        <f t="shared" ca="1" si="5"/>
        <v>0.64961813588500472</v>
      </c>
    </row>
    <row r="109" spans="1:15" hidden="1">
      <c r="A109" s="355" t="s">
        <v>384</v>
      </c>
      <c r="B109" s="355" t="s">
        <v>172</v>
      </c>
      <c r="C109" s="355" t="s">
        <v>140</v>
      </c>
      <c r="D109" s="367" t="s">
        <v>374</v>
      </c>
      <c r="E109" s="367">
        <v>6</v>
      </c>
      <c r="F109" s="375">
        <v>1.4</v>
      </c>
      <c r="G109" s="375">
        <v>1.4382345456768275</v>
      </c>
      <c r="H109" s="375">
        <v>1.4382345456768275</v>
      </c>
      <c r="I109" s="370"/>
      <c r="J109" s="375">
        <v>1.4</v>
      </c>
      <c r="K109" s="376">
        <v>0.97398236096874136</v>
      </c>
      <c r="L109" s="376">
        <v>1.0535061868831577</v>
      </c>
      <c r="N109" s="374">
        <f t="shared" ca="1" si="10"/>
        <v>1.4382345456768275</v>
      </c>
      <c r="O109" s="374">
        <f t="shared" ca="1" si="5"/>
        <v>1.0535061868831577</v>
      </c>
    </row>
    <row r="110" spans="1:15" hidden="1">
      <c r="A110" s="355" t="s">
        <v>384</v>
      </c>
      <c r="B110" s="355" t="s">
        <v>172</v>
      </c>
      <c r="C110" s="355" t="s">
        <v>140</v>
      </c>
      <c r="D110" s="367" t="s">
        <v>374</v>
      </c>
      <c r="E110" s="367">
        <v>7</v>
      </c>
      <c r="F110" s="375">
        <v>1</v>
      </c>
      <c r="G110" s="375">
        <v>0.82302098709771365</v>
      </c>
      <c r="H110" s="375">
        <v>0.82302098709771365</v>
      </c>
      <c r="I110" s="370"/>
      <c r="J110" s="375">
        <v>1</v>
      </c>
      <c r="K110" s="376">
        <v>0.64531583675354298</v>
      </c>
      <c r="L110" s="376">
        <v>0.64961813588500472</v>
      </c>
      <c r="N110" s="374">
        <f t="shared" ca="1" si="10"/>
        <v>0.82302098709771365</v>
      </c>
      <c r="O110" s="374">
        <f t="shared" ca="1" si="5"/>
        <v>0.64961813588500472</v>
      </c>
    </row>
    <row r="111" spans="1:15" hidden="1">
      <c r="A111" s="355" t="s">
        <v>384</v>
      </c>
      <c r="B111" s="355" t="s">
        <v>397</v>
      </c>
      <c r="C111" s="355" t="s">
        <v>140</v>
      </c>
      <c r="D111" s="367" t="s">
        <v>374</v>
      </c>
      <c r="E111" s="367">
        <v>8</v>
      </c>
      <c r="F111" s="375">
        <v>2</v>
      </c>
      <c r="G111" s="375">
        <v>2</v>
      </c>
      <c r="H111" s="375">
        <v>2</v>
      </c>
      <c r="I111" s="370"/>
      <c r="J111" s="375">
        <v>2</v>
      </c>
      <c r="K111" s="376">
        <v>2.0001174362026868</v>
      </c>
      <c r="L111" s="376">
        <v>2.0001174362026868</v>
      </c>
      <c r="N111" s="374">
        <f t="shared" ca="1" si="10"/>
        <v>2</v>
      </c>
      <c r="O111" s="374">
        <f t="shared" ca="1" si="5"/>
        <v>2.0001174362026868</v>
      </c>
    </row>
    <row r="112" spans="1:15" hidden="1">
      <c r="A112" s="355" t="s">
        <v>386</v>
      </c>
      <c r="B112" s="355" t="s">
        <v>172</v>
      </c>
      <c r="C112" s="355" t="s">
        <v>202</v>
      </c>
      <c r="D112" s="367" t="s">
        <v>374</v>
      </c>
      <c r="E112" s="367">
        <v>6</v>
      </c>
      <c r="F112" s="375">
        <v>0.35</v>
      </c>
      <c r="G112" s="375">
        <v>0.82302098709771365</v>
      </c>
      <c r="H112" s="375">
        <v>0.82302098709771365</v>
      </c>
      <c r="I112" s="370"/>
      <c r="J112" s="375">
        <v>0.35</v>
      </c>
      <c r="K112" s="376">
        <v>0.64531583675354298</v>
      </c>
      <c r="L112" s="376">
        <v>0.64961813588500472</v>
      </c>
      <c r="N112" s="374">
        <f t="shared" ca="1" si="10"/>
        <v>0.82302098709771365</v>
      </c>
      <c r="O112" s="374">
        <f t="shared" ca="1" si="5"/>
        <v>0.64961813588500472</v>
      </c>
    </row>
    <row r="113" spans="1:17" hidden="1">
      <c r="A113" s="355" t="s">
        <v>386</v>
      </c>
      <c r="B113" s="355" t="s">
        <v>104</v>
      </c>
      <c r="C113" s="355" t="s">
        <v>202</v>
      </c>
      <c r="D113" s="367" t="s">
        <v>374</v>
      </c>
      <c r="E113" s="367">
        <v>7</v>
      </c>
      <c r="F113" s="375">
        <v>0.28000000000000003</v>
      </c>
      <c r="G113" s="375">
        <v>0.82302098709771365</v>
      </c>
      <c r="H113" s="375">
        <v>0.82302098709771365</v>
      </c>
      <c r="I113" s="370"/>
      <c r="J113" s="375">
        <v>0.28000000000000003</v>
      </c>
      <c r="K113" s="376">
        <v>0.64531583675354298</v>
      </c>
      <c r="L113" s="376">
        <v>0.64961813588500472</v>
      </c>
      <c r="N113" s="374">
        <f t="shared" ca="1" si="10"/>
        <v>0.82302098709771365</v>
      </c>
      <c r="O113" s="374">
        <f t="shared" ca="1" si="5"/>
        <v>0.64961813588500472</v>
      </c>
    </row>
    <row r="114" spans="1:17" hidden="1">
      <c r="A114" s="355" t="s">
        <v>515</v>
      </c>
      <c r="B114" s="355" t="s">
        <v>420</v>
      </c>
      <c r="C114" s="355" t="s">
        <v>155</v>
      </c>
      <c r="F114" s="355">
        <v>0</v>
      </c>
      <c r="G114" s="355">
        <v>0</v>
      </c>
      <c r="H114" s="355">
        <v>0.55000000000000004</v>
      </c>
      <c r="J114" s="355">
        <v>0</v>
      </c>
      <c r="K114" s="355">
        <v>0.01</v>
      </c>
      <c r="L114" s="355">
        <v>0.55000000000000004</v>
      </c>
      <c r="N114" s="374">
        <f t="shared" ca="1" si="10"/>
        <v>0.55000000000000004</v>
      </c>
      <c r="O114" s="374">
        <f t="shared" ca="1" si="5"/>
        <v>0.55000000000000004</v>
      </c>
    </row>
    <row r="115" spans="1:17" hidden="1"/>
    <row r="116" spans="1:17" hidden="1"/>
    <row r="117" spans="1:17" hidden="1">
      <c r="B117" s="378" t="s">
        <v>395</v>
      </c>
      <c r="C117" s="378" t="s">
        <v>484</v>
      </c>
      <c r="D117" s="378" t="s">
        <v>482</v>
      </c>
      <c r="E117" s="378" t="s">
        <v>483</v>
      </c>
      <c r="F117" s="363" t="s">
        <v>364</v>
      </c>
      <c r="G117" s="363" t="s">
        <v>396</v>
      </c>
      <c r="H117" s="364" t="s">
        <v>458</v>
      </c>
      <c r="J117" s="363" t="s">
        <v>364</v>
      </c>
      <c r="K117" s="363" t="s">
        <v>396</v>
      </c>
      <c r="L117" s="364" t="s">
        <v>458</v>
      </c>
    </row>
    <row r="118" spans="1:17" hidden="1">
      <c r="B118" s="355" t="s">
        <v>179</v>
      </c>
      <c r="C118" s="355">
        <v>1.6</v>
      </c>
      <c r="D118" s="355">
        <v>15</v>
      </c>
      <c r="E118" s="355">
        <v>17.5</v>
      </c>
      <c r="F118" s="379">
        <v>0.78</v>
      </c>
      <c r="G118" s="379">
        <v>1</v>
      </c>
      <c r="H118" s="379">
        <v>1</v>
      </c>
      <c r="J118" s="379">
        <v>0.78</v>
      </c>
      <c r="K118" s="379">
        <v>1.0009999999999999</v>
      </c>
      <c r="L118" s="379">
        <v>1.0009999999999999</v>
      </c>
      <c r="M118" s="367" t="s">
        <v>179</v>
      </c>
      <c r="N118" s="374">
        <f t="shared" ref="N118:N125" ca="1" si="11">OFFSET($E118,0,RegIndex)</f>
        <v>1</v>
      </c>
      <c r="O118" s="374">
        <f t="shared" ref="O118:O125" ca="1" si="12">OFFSET($I118,0,RegIndex)</f>
        <v>1.0009999999999999</v>
      </c>
    </row>
    <row r="119" spans="1:17" hidden="1">
      <c r="B119" s="355" t="s">
        <v>50</v>
      </c>
      <c r="C119" s="355">
        <v>0.2</v>
      </c>
      <c r="D119" s="355">
        <v>12</v>
      </c>
      <c r="E119" s="355">
        <v>19</v>
      </c>
      <c r="F119" s="379">
        <v>0.87</v>
      </c>
      <c r="G119" s="379">
        <v>1</v>
      </c>
      <c r="H119" s="379">
        <v>1</v>
      </c>
      <c r="J119" s="379">
        <v>0.87</v>
      </c>
      <c r="K119" s="379">
        <v>1</v>
      </c>
      <c r="L119" s="379">
        <v>1</v>
      </c>
      <c r="M119" s="367" t="s">
        <v>50</v>
      </c>
      <c r="N119" s="374">
        <f t="shared" ca="1" si="11"/>
        <v>1</v>
      </c>
      <c r="O119" s="374">
        <f t="shared" ca="1" si="12"/>
        <v>1</v>
      </c>
      <c r="Q119" s="355">
        <v>0.17522682138546009</v>
      </c>
    </row>
    <row r="120" spans="1:17" hidden="1">
      <c r="B120" s="355" t="s">
        <v>51</v>
      </c>
      <c r="C120" s="355">
        <v>13</v>
      </c>
      <c r="D120" s="355">
        <v>15</v>
      </c>
      <c r="E120" s="355">
        <v>65</v>
      </c>
      <c r="F120" s="379">
        <v>1</v>
      </c>
      <c r="G120" s="379">
        <v>1</v>
      </c>
      <c r="H120" s="379">
        <v>1</v>
      </c>
      <c r="J120" s="379">
        <v>1</v>
      </c>
      <c r="K120" s="379">
        <v>1</v>
      </c>
      <c r="L120" s="379">
        <v>1</v>
      </c>
      <c r="M120" s="367" t="s">
        <v>51</v>
      </c>
      <c r="N120" s="374">
        <f t="shared" ca="1" si="11"/>
        <v>1</v>
      </c>
      <c r="O120" s="374">
        <f t="shared" ca="1" si="12"/>
        <v>1</v>
      </c>
      <c r="Q120" s="355">
        <v>12.994675469954574</v>
      </c>
    </row>
    <row r="121" spans="1:17" hidden="1">
      <c r="B121" s="355" t="s">
        <v>52</v>
      </c>
      <c r="C121" s="355">
        <v>12.2</v>
      </c>
      <c r="D121" s="355">
        <v>15</v>
      </c>
      <c r="E121" s="355">
        <v>60</v>
      </c>
      <c r="F121" s="379">
        <v>1</v>
      </c>
      <c r="G121" s="379">
        <v>1</v>
      </c>
      <c r="H121" s="379">
        <v>1</v>
      </c>
      <c r="J121" s="379">
        <v>1</v>
      </c>
      <c r="K121" s="379">
        <v>1</v>
      </c>
      <c r="L121" s="379">
        <v>1</v>
      </c>
      <c r="M121" s="367" t="s">
        <v>52</v>
      </c>
      <c r="N121" s="374">
        <f t="shared" ca="1" si="11"/>
        <v>1</v>
      </c>
      <c r="O121" s="374">
        <f t="shared" ca="1" si="12"/>
        <v>1</v>
      </c>
      <c r="Q121" s="355">
        <v>1.627359777740879</v>
      </c>
    </row>
    <row r="122" spans="1:17" hidden="1">
      <c r="B122" s="355" t="s">
        <v>257</v>
      </c>
      <c r="C122" s="355">
        <v>2.4</v>
      </c>
      <c r="D122" s="355">
        <v>15</v>
      </c>
      <c r="E122" s="355">
        <v>40</v>
      </c>
      <c r="F122" s="379">
        <v>1</v>
      </c>
      <c r="G122" s="379">
        <v>1</v>
      </c>
      <c r="H122" s="379">
        <v>1</v>
      </c>
      <c r="J122" s="379">
        <v>1</v>
      </c>
      <c r="K122" s="379">
        <v>1</v>
      </c>
      <c r="L122" s="379">
        <v>1</v>
      </c>
      <c r="M122" s="367" t="s">
        <v>257</v>
      </c>
      <c r="N122" s="374">
        <f t="shared" ca="1" si="11"/>
        <v>1</v>
      </c>
      <c r="O122" s="374">
        <f t="shared" ca="1" si="12"/>
        <v>1</v>
      </c>
      <c r="Q122" s="355">
        <v>12.340425531914894</v>
      </c>
    </row>
    <row r="123" spans="1:17" hidden="1">
      <c r="B123" s="355" t="s">
        <v>53</v>
      </c>
      <c r="C123" s="355">
        <v>1</v>
      </c>
      <c r="D123" s="355">
        <v>15</v>
      </c>
      <c r="E123" s="355">
        <v>30</v>
      </c>
      <c r="F123" s="379">
        <v>1</v>
      </c>
      <c r="G123" s="379">
        <v>1</v>
      </c>
      <c r="H123" s="379">
        <v>1</v>
      </c>
      <c r="J123" s="379">
        <v>1</v>
      </c>
      <c r="K123" s="379">
        <v>1</v>
      </c>
      <c r="L123" s="379">
        <v>1</v>
      </c>
      <c r="M123" s="367" t="s">
        <v>53</v>
      </c>
      <c r="N123" s="374">
        <f t="shared" ca="1" si="11"/>
        <v>1</v>
      </c>
      <c r="O123" s="374">
        <f t="shared" ca="1" si="12"/>
        <v>1</v>
      </c>
    </row>
    <row r="124" spans="1:17" hidden="1">
      <c r="B124" s="355" t="s">
        <v>140</v>
      </c>
      <c r="C124" s="355">
        <v>1</v>
      </c>
      <c r="D124" s="355">
        <v>10</v>
      </c>
      <c r="E124" s="355">
        <v>1</v>
      </c>
      <c r="F124" s="379">
        <v>1</v>
      </c>
      <c r="G124" s="379">
        <v>1</v>
      </c>
      <c r="H124" s="379">
        <v>1</v>
      </c>
      <c r="J124" s="379">
        <v>1</v>
      </c>
      <c r="K124" s="379">
        <v>1</v>
      </c>
      <c r="L124" s="379">
        <v>1</v>
      </c>
      <c r="M124" s="367" t="s">
        <v>140</v>
      </c>
      <c r="N124" s="374">
        <f t="shared" ca="1" si="11"/>
        <v>1</v>
      </c>
      <c r="O124" s="374">
        <f t="shared" ca="1" si="12"/>
        <v>1</v>
      </c>
    </row>
    <row r="125" spans="1:17" hidden="1">
      <c r="B125" s="355" t="s">
        <v>202</v>
      </c>
      <c r="C125" s="355">
        <v>1</v>
      </c>
      <c r="D125" s="355">
        <v>10</v>
      </c>
      <c r="E125" s="355">
        <v>1</v>
      </c>
      <c r="F125" s="379">
        <v>1</v>
      </c>
      <c r="G125" s="379">
        <v>1</v>
      </c>
      <c r="H125" s="379">
        <v>1</v>
      </c>
      <c r="J125" s="379">
        <v>1</v>
      </c>
      <c r="K125" s="379">
        <v>1</v>
      </c>
      <c r="L125" s="379">
        <v>1</v>
      </c>
      <c r="M125" s="367" t="s">
        <v>202</v>
      </c>
      <c r="N125" s="374">
        <f t="shared" ca="1" si="11"/>
        <v>1</v>
      </c>
      <c r="O125" s="374">
        <f t="shared" ca="1" si="12"/>
        <v>1</v>
      </c>
    </row>
    <row r="126" spans="1:17" hidden="1">
      <c r="B126" s="355" t="s">
        <v>523</v>
      </c>
      <c r="G126" s="380">
        <v>0.18649229879050955</v>
      </c>
      <c r="H126" s="380">
        <v>0.18649229879050955</v>
      </c>
      <c r="K126" s="380">
        <v>0.25617937432618071</v>
      </c>
      <c r="L126" s="380">
        <v>0.25617937432618071</v>
      </c>
      <c r="M126" s="367" t="s">
        <v>523</v>
      </c>
    </row>
    <row r="127" spans="1:17" hidden="1">
      <c r="B127" s="355" t="s">
        <v>521</v>
      </c>
      <c r="G127" s="380">
        <v>0.51136589289973822</v>
      </c>
      <c r="H127" s="380">
        <v>0.51136589289973822</v>
      </c>
      <c r="K127" s="380">
        <v>0.51728470220144429</v>
      </c>
      <c r="L127" s="380">
        <v>0.51728470220144429</v>
      </c>
      <c r="M127" s="367" t="s">
        <v>521</v>
      </c>
    </row>
  </sheetData>
  <sheetProtection password="DBAA" sheet="1" objects="1" selectLockedCells="1" selectUnlockedCells="1"/>
  <phoneticPr fontId="35" type="noConversion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4"/>
  <dimension ref="B2:I59"/>
  <sheetViews>
    <sheetView topLeftCell="A6" zoomScale="90" workbookViewId="0">
      <selection activeCell="A17" sqref="A17"/>
    </sheetView>
  </sheetViews>
  <sheetFormatPr defaultRowHeight="12.75"/>
  <cols>
    <col min="3" max="3" width="10" customWidth="1"/>
    <col min="4" max="4" width="28.140625" customWidth="1"/>
  </cols>
  <sheetData>
    <row r="2" spans="2:9">
      <c r="B2" s="188" t="s">
        <v>290</v>
      </c>
    </row>
    <row r="3" spans="2:9">
      <c r="B3" s="300" t="s">
        <v>291</v>
      </c>
      <c r="C3" s="300" t="s">
        <v>292</v>
      </c>
      <c r="D3" s="300" t="s">
        <v>293</v>
      </c>
      <c r="E3" s="300" t="s">
        <v>294</v>
      </c>
      <c r="F3" s="301" t="s">
        <v>251</v>
      </c>
      <c r="G3" s="301" t="s">
        <v>309</v>
      </c>
      <c r="H3" s="301" t="s">
        <v>310</v>
      </c>
      <c r="I3" s="301" t="s">
        <v>311</v>
      </c>
    </row>
    <row r="4" spans="2:9">
      <c r="B4" s="296" t="s">
        <v>466</v>
      </c>
      <c r="C4" s="17" t="s">
        <v>48</v>
      </c>
      <c r="D4" s="17" t="s">
        <v>46</v>
      </c>
      <c r="E4" s="17" t="s">
        <v>64</v>
      </c>
      <c r="F4" s="17"/>
      <c r="G4" s="17"/>
      <c r="H4" s="17"/>
      <c r="I4" s="17"/>
    </row>
    <row r="5" spans="2:9">
      <c r="B5" s="296" t="s">
        <v>466</v>
      </c>
      <c r="C5" s="17" t="s">
        <v>523</v>
      </c>
      <c r="D5" s="17" t="s">
        <v>147</v>
      </c>
      <c r="E5" s="17" t="s">
        <v>64</v>
      </c>
      <c r="F5" s="17"/>
      <c r="G5" s="17"/>
      <c r="H5" s="17"/>
      <c r="I5" s="17"/>
    </row>
    <row r="6" spans="2:9">
      <c r="B6" s="296" t="s">
        <v>466</v>
      </c>
      <c r="C6" s="17" t="s">
        <v>524</v>
      </c>
      <c r="D6" s="17" t="s">
        <v>128</v>
      </c>
      <c r="E6" s="17" t="s">
        <v>64</v>
      </c>
      <c r="F6" s="17"/>
      <c r="G6" s="17"/>
      <c r="H6" s="17"/>
      <c r="I6" s="17"/>
    </row>
    <row r="7" spans="2:9">
      <c r="B7" s="296" t="s">
        <v>466</v>
      </c>
      <c r="C7" s="17" t="s">
        <v>51</v>
      </c>
      <c r="D7" s="17" t="s">
        <v>127</v>
      </c>
      <c r="E7" s="17" t="s">
        <v>518</v>
      </c>
      <c r="F7" s="17"/>
      <c r="G7" s="17"/>
      <c r="H7" s="17"/>
      <c r="I7" s="17"/>
    </row>
    <row r="8" spans="2:9">
      <c r="B8" s="296" t="s">
        <v>466</v>
      </c>
      <c r="C8" s="17" t="s">
        <v>202</v>
      </c>
      <c r="D8" s="17" t="s">
        <v>210</v>
      </c>
      <c r="E8" s="17" t="s">
        <v>518</v>
      </c>
      <c r="F8" s="17"/>
      <c r="G8" s="17"/>
      <c r="H8" s="17"/>
      <c r="I8" s="17"/>
    </row>
    <row r="9" spans="2:9">
      <c r="B9" s="296" t="s">
        <v>466</v>
      </c>
      <c r="C9" s="17" t="s">
        <v>52</v>
      </c>
      <c r="D9" s="17" t="s">
        <v>139</v>
      </c>
      <c r="E9" s="17" t="s">
        <v>518</v>
      </c>
      <c r="F9" s="17"/>
      <c r="G9" s="17"/>
      <c r="H9" s="17"/>
      <c r="I9" s="17"/>
    </row>
    <row r="10" spans="2:9">
      <c r="B10" s="296" t="s">
        <v>466</v>
      </c>
      <c r="C10" s="17" t="s">
        <v>50</v>
      </c>
      <c r="D10" s="17" t="s">
        <v>137</v>
      </c>
      <c r="E10" s="17" t="s">
        <v>518</v>
      </c>
      <c r="F10" s="17"/>
      <c r="G10" s="17"/>
      <c r="H10" s="17"/>
      <c r="I10" s="17"/>
    </row>
    <row r="11" spans="2:9">
      <c r="B11" s="296" t="s">
        <v>466</v>
      </c>
      <c r="C11" s="17" t="s">
        <v>257</v>
      </c>
      <c r="D11" s="17" t="s">
        <v>266</v>
      </c>
      <c r="E11" s="17" t="s">
        <v>518</v>
      </c>
      <c r="F11" s="17"/>
      <c r="G11" s="17"/>
      <c r="H11" s="17"/>
      <c r="I11" s="17"/>
    </row>
    <row r="12" spans="2:9">
      <c r="B12" s="296" t="s">
        <v>466</v>
      </c>
      <c r="C12" s="17" t="s">
        <v>179</v>
      </c>
      <c r="D12" s="17" t="s">
        <v>143</v>
      </c>
      <c r="E12" s="17" t="s">
        <v>518</v>
      </c>
      <c r="F12" s="17"/>
      <c r="G12" s="17"/>
      <c r="H12" s="17"/>
      <c r="I12" s="17"/>
    </row>
    <row r="13" spans="2:9">
      <c r="B13" s="296" t="s">
        <v>466</v>
      </c>
      <c r="C13" s="17" t="s">
        <v>140</v>
      </c>
      <c r="D13" s="17" t="s">
        <v>205</v>
      </c>
      <c r="E13" s="17" t="s">
        <v>518</v>
      </c>
      <c r="F13" s="17"/>
      <c r="G13" s="17"/>
      <c r="H13" s="17"/>
      <c r="I13" s="17"/>
    </row>
    <row r="14" spans="2:9">
      <c r="B14" s="296" t="s">
        <v>466</v>
      </c>
      <c r="C14" s="17" t="s">
        <v>151</v>
      </c>
      <c r="D14" s="17" t="s">
        <v>156</v>
      </c>
      <c r="E14" s="17" t="s">
        <v>64</v>
      </c>
      <c r="F14" s="17"/>
      <c r="G14" s="17"/>
      <c r="H14" s="17"/>
      <c r="I14" s="17"/>
    </row>
    <row r="15" spans="2:9">
      <c r="B15" s="296" t="s">
        <v>466</v>
      </c>
      <c r="C15" s="17" t="s">
        <v>155</v>
      </c>
      <c r="D15" s="17" t="s">
        <v>157</v>
      </c>
      <c r="E15" s="17" t="s">
        <v>64</v>
      </c>
      <c r="F15" s="17"/>
      <c r="G15" s="17"/>
      <c r="H15" s="17"/>
      <c r="I15" s="17"/>
    </row>
    <row r="16" spans="2:9">
      <c r="B16" s="296" t="s">
        <v>466</v>
      </c>
      <c r="C16" s="17" t="s">
        <v>513</v>
      </c>
      <c r="D16" s="17" t="s">
        <v>157</v>
      </c>
      <c r="E16" s="17" t="s">
        <v>64</v>
      </c>
      <c r="F16" s="17"/>
      <c r="G16" s="17"/>
      <c r="H16" s="17"/>
      <c r="I16" s="17"/>
    </row>
    <row r="17" spans="2:9">
      <c r="B17" s="296" t="s">
        <v>466</v>
      </c>
      <c r="C17" s="17" t="s">
        <v>521</v>
      </c>
      <c r="D17" s="17" t="s">
        <v>230</v>
      </c>
      <c r="E17" s="17" t="s">
        <v>64</v>
      </c>
      <c r="F17" s="17"/>
      <c r="G17" s="17"/>
      <c r="H17" s="17"/>
      <c r="I17" s="17"/>
    </row>
    <row r="18" spans="2:9">
      <c r="B18" s="296" t="s">
        <v>466</v>
      </c>
      <c r="C18" s="17" t="s">
        <v>522</v>
      </c>
      <c r="D18" s="17" t="s">
        <v>158</v>
      </c>
      <c r="E18" s="17" t="s">
        <v>64</v>
      </c>
      <c r="F18" s="17"/>
      <c r="G18" s="17"/>
      <c r="H18" s="17"/>
      <c r="I18" s="17"/>
    </row>
    <row r="19" spans="2:9">
      <c r="B19" s="296" t="s">
        <v>466</v>
      </c>
      <c r="C19" s="17" t="s">
        <v>533</v>
      </c>
      <c r="D19" s="17" t="s">
        <v>535</v>
      </c>
      <c r="E19" s="17" t="s">
        <v>519</v>
      </c>
      <c r="F19" s="17"/>
      <c r="G19" s="17"/>
      <c r="H19" s="17"/>
      <c r="I19" s="17"/>
    </row>
    <row r="20" spans="2:9">
      <c r="B20" s="296" t="s">
        <v>466</v>
      </c>
      <c r="C20" s="17" t="s">
        <v>502</v>
      </c>
      <c r="D20" s="17" t="s">
        <v>127</v>
      </c>
      <c r="E20" s="17" t="s">
        <v>519</v>
      </c>
      <c r="F20" s="17"/>
      <c r="G20" s="17"/>
      <c r="H20" s="17"/>
      <c r="I20" s="17"/>
    </row>
    <row r="21" spans="2:9">
      <c r="B21" s="296" t="s">
        <v>466</v>
      </c>
      <c r="C21" s="17" t="s">
        <v>536</v>
      </c>
      <c r="D21" s="17" t="s">
        <v>137</v>
      </c>
      <c r="E21" s="17" t="s">
        <v>520</v>
      </c>
      <c r="F21" s="17"/>
      <c r="G21" s="17"/>
      <c r="H21" s="17"/>
      <c r="I21" s="17"/>
    </row>
    <row r="22" spans="2:9">
      <c r="B22" s="296" t="s">
        <v>466</v>
      </c>
      <c r="C22" s="17" t="s">
        <v>505</v>
      </c>
      <c r="D22" s="17" t="s">
        <v>266</v>
      </c>
      <c r="E22" s="17" t="s">
        <v>520</v>
      </c>
      <c r="F22" s="17"/>
      <c r="G22" s="17"/>
      <c r="H22" s="17"/>
      <c r="I22" s="17"/>
    </row>
    <row r="23" spans="2:9">
      <c r="B23" s="296" t="s">
        <v>466</v>
      </c>
      <c r="C23" s="17" t="s">
        <v>506</v>
      </c>
      <c r="D23" s="17" t="s">
        <v>139</v>
      </c>
      <c r="E23" s="17" t="s">
        <v>520</v>
      </c>
      <c r="F23" s="17"/>
      <c r="G23" s="17"/>
      <c r="H23" s="17"/>
      <c r="I23" s="17"/>
    </row>
    <row r="24" spans="2:9">
      <c r="B24" s="296" t="s">
        <v>466</v>
      </c>
      <c r="C24" s="17" t="s">
        <v>503</v>
      </c>
      <c r="D24" s="17" t="s">
        <v>205</v>
      </c>
      <c r="E24" s="17" t="s">
        <v>519</v>
      </c>
      <c r="F24" s="17"/>
      <c r="G24" s="17"/>
      <c r="H24" s="17"/>
      <c r="I24" s="17"/>
    </row>
    <row r="25" spans="2:9">
      <c r="B25" s="296" t="s">
        <v>466</v>
      </c>
      <c r="C25" s="17" t="s">
        <v>530</v>
      </c>
      <c r="D25" s="17" t="s">
        <v>157</v>
      </c>
      <c r="E25" s="17" t="s">
        <v>519</v>
      </c>
      <c r="F25" s="17"/>
      <c r="G25" s="17"/>
      <c r="H25" s="17"/>
      <c r="I25" s="17"/>
    </row>
    <row r="26" spans="2:9">
      <c r="B26" s="296" t="s">
        <v>466</v>
      </c>
      <c r="C26" s="17" t="s">
        <v>531</v>
      </c>
      <c r="D26" s="17" t="s">
        <v>514</v>
      </c>
      <c r="E26" s="17" t="s">
        <v>519</v>
      </c>
      <c r="F26" s="17"/>
      <c r="G26" s="17"/>
      <c r="H26" s="17"/>
      <c r="I26" s="17"/>
    </row>
    <row r="27" spans="2:9">
      <c r="B27" s="296" t="s">
        <v>466</v>
      </c>
      <c r="C27" s="17" t="s">
        <v>532</v>
      </c>
      <c r="D27" s="17" t="s">
        <v>156</v>
      </c>
      <c r="E27" s="17" t="s">
        <v>520</v>
      </c>
      <c r="F27" s="17"/>
      <c r="G27" s="17"/>
      <c r="H27" s="17"/>
      <c r="I27" s="17"/>
    </row>
    <row r="28" spans="2:9">
      <c r="B28" s="297" t="s">
        <v>467</v>
      </c>
      <c r="C28" s="17" t="s">
        <v>272</v>
      </c>
      <c r="D28" s="17" t="s">
        <v>425</v>
      </c>
      <c r="E28" s="234" t="s">
        <v>64</v>
      </c>
      <c r="F28" s="17"/>
      <c r="G28" s="273" t="s">
        <v>423</v>
      </c>
      <c r="H28" s="273"/>
      <c r="I28" s="273" t="s">
        <v>60</v>
      </c>
    </row>
    <row r="29" spans="2:9">
      <c r="B29" s="296" t="s">
        <v>467</v>
      </c>
      <c r="C29" s="17" t="s">
        <v>99</v>
      </c>
      <c r="D29" s="17" t="s">
        <v>45</v>
      </c>
      <c r="E29" s="17" t="s">
        <v>64</v>
      </c>
      <c r="F29" s="17"/>
      <c r="G29" s="273" t="s">
        <v>423</v>
      </c>
      <c r="H29" s="273"/>
      <c r="I29" s="273" t="s">
        <v>60</v>
      </c>
    </row>
    <row r="30" spans="2:9">
      <c r="B30" s="296" t="s">
        <v>467</v>
      </c>
      <c r="C30" s="17" t="s">
        <v>397</v>
      </c>
      <c r="D30" s="17" t="s">
        <v>398</v>
      </c>
      <c r="E30" s="17" t="s">
        <v>64</v>
      </c>
      <c r="F30" s="17"/>
      <c r="G30" s="273" t="s">
        <v>399</v>
      </c>
      <c r="H30" s="273"/>
      <c r="I30" s="273" t="s">
        <v>60</v>
      </c>
    </row>
    <row r="31" spans="2:9">
      <c r="B31" s="296" t="s">
        <v>467</v>
      </c>
      <c r="C31" s="17" t="s">
        <v>420</v>
      </c>
      <c r="D31" s="17" t="s">
        <v>421</v>
      </c>
      <c r="E31" s="17" t="s">
        <v>64</v>
      </c>
      <c r="F31" s="17"/>
      <c r="G31" s="273" t="s">
        <v>399</v>
      </c>
      <c r="H31" s="273"/>
      <c r="I31" s="273" t="s">
        <v>60</v>
      </c>
    </row>
    <row r="32" spans="2:9">
      <c r="B32" s="296" t="s">
        <v>467</v>
      </c>
      <c r="C32" s="17" t="s">
        <v>100</v>
      </c>
      <c r="D32" s="17" t="s">
        <v>36</v>
      </c>
      <c r="E32" s="17" t="s">
        <v>64</v>
      </c>
      <c r="F32" s="17"/>
      <c r="G32" s="17"/>
      <c r="H32" s="17"/>
      <c r="I32" s="17"/>
    </row>
    <row r="33" spans="2:9">
      <c r="B33" s="296" t="s">
        <v>467</v>
      </c>
      <c r="C33" s="17" t="s">
        <v>130</v>
      </c>
      <c r="D33" s="17" t="s">
        <v>39</v>
      </c>
      <c r="E33" s="17" t="s">
        <v>64</v>
      </c>
      <c r="F33" s="17"/>
      <c r="G33" s="17"/>
      <c r="H33" s="17"/>
      <c r="I33" s="17"/>
    </row>
    <row r="34" spans="2:9">
      <c r="B34" s="296" t="s">
        <v>467</v>
      </c>
      <c r="C34" s="17" t="s">
        <v>104</v>
      </c>
      <c r="D34" s="17" t="s">
        <v>41</v>
      </c>
      <c r="E34" s="17" t="s">
        <v>64</v>
      </c>
      <c r="F34" s="17"/>
      <c r="G34" s="17"/>
      <c r="H34" s="17"/>
      <c r="I34" s="17"/>
    </row>
    <row r="35" spans="2:9">
      <c r="B35" s="296" t="s">
        <v>467</v>
      </c>
      <c r="C35" s="17" t="s">
        <v>426</v>
      </c>
      <c r="D35" s="17" t="s">
        <v>428</v>
      </c>
      <c r="E35" s="17" t="s">
        <v>64</v>
      </c>
      <c r="F35" s="17"/>
      <c r="G35" s="17"/>
      <c r="H35" s="17"/>
      <c r="I35" s="17"/>
    </row>
    <row r="36" spans="2:9">
      <c r="B36" s="296" t="s">
        <v>467</v>
      </c>
      <c r="C36" s="17" t="s">
        <v>172</v>
      </c>
      <c r="D36" s="17" t="s">
        <v>38</v>
      </c>
      <c r="E36" s="17" t="s">
        <v>64</v>
      </c>
      <c r="F36" s="17"/>
      <c r="G36" s="17"/>
      <c r="H36" s="17"/>
      <c r="I36" s="17"/>
    </row>
    <row r="37" spans="2:9">
      <c r="B37" s="296" t="s">
        <v>467</v>
      </c>
      <c r="C37" s="17" t="s">
        <v>103</v>
      </c>
      <c r="D37" s="17" t="s">
        <v>42</v>
      </c>
      <c r="E37" s="17" t="s">
        <v>64</v>
      </c>
      <c r="F37" s="17"/>
      <c r="G37" s="17"/>
      <c r="H37" s="17"/>
      <c r="I37" s="17"/>
    </row>
    <row r="38" spans="2:9">
      <c r="B38" s="296" t="s">
        <v>467</v>
      </c>
      <c r="C38" s="17" t="s">
        <v>440</v>
      </c>
      <c r="D38" s="17" t="s">
        <v>40</v>
      </c>
      <c r="E38" s="17" t="s">
        <v>64</v>
      </c>
      <c r="F38" s="17"/>
      <c r="G38" s="17"/>
      <c r="H38" s="17"/>
      <c r="I38" s="17"/>
    </row>
    <row r="39" spans="2:9">
      <c r="B39" s="296" t="s">
        <v>467</v>
      </c>
      <c r="C39" s="17" t="s">
        <v>135</v>
      </c>
      <c r="D39" s="17" t="s">
        <v>40</v>
      </c>
      <c r="E39" s="17" t="s">
        <v>64</v>
      </c>
      <c r="F39" s="17"/>
      <c r="G39" s="17"/>
      <c r="H39" s="17"/>
      <c r="I39" s="17"/>
    </row>
    <row r="40" spans="2:9">
      <c r="B40" s="296" t="s">
        <v>467</v>
      </c>
      <c r="C40" s="17" t="s">
        <v>573</v>
      </c>
      <c r="D40" s="17" t="s">
        <v>582</v>
      </c>
      <c r="E40" s="17" t="s">
        <v>64</v>
      </c>
      <c r="F40" s="17"/>
      <c r="G40" s="17"/>
      <c r="H40" s="17"/>
      <c r="I40" s="17"/>
    </row>
    <row r="41" spans="2:9">
      <c r="B41" s="296" t="s">
        <v>467</v>
      </c>
      <c r="C41" s="17" t="s">
        <v>101</v>
      </c>
      <c r="D41" s="17" t="s">
        <v>37</v>
      </c>
      <c r="E41" s="17" t="s">
        <v>64</v>
      </c>
      <c r="F41" s="17"/>
      <c r="G41" s="17"/>
      <c r="H41" s="17"/>
      <c r="I41" s="17"/>
    </row>
    <row r="42" spans="2:9">
      <c r="B42" s="296" t="s">
        <v>467</v>
      </c>
      <c r="C42" s="17" t="s">
        <v>102</v>
      </c>
      <c r="D42" s="17" t="s">
        <v>35</v>
      </c>
      <c r="E42" s="17" t="s">
        <v>64</v>
      </c>
      <c r="F42" s="17"/>
      <c r="G42" s="17"/>
      <c r="H42" s="17"/>
      <c r="I42" s="17"/>
    </row>
    <row r="43" spans="2:9">
      <c r="B43" s="296" t="s">
        <v>467</v>
      </c>
      <c r="C43" s="17" t="s">
        <v>163</v>
      </c>
      <c r="D43" s="17" t="s">
        <v>44</v>
      </c>
      <c r="E43" s="17" t="s">
        <v>64</v>
      </c>
      <c r="F43" s="17"/>
      <c r="G43" s="17"/>
      <c r="H43" s="17"/>
      <c r="I43" s="17"/>
    </row>
    <row r="44" spans="2:9">
      <c r="B44" s="296" t="s">
        <v>467</v>
      </c>
      <c r="C44" s="17" t="s">
        <v>162</v>
      </c>
      <c r="D44" s="17" t="s">
        <v>43</v>
      </c>
      <c r="E44" s="17" t="s">
        <v>64</v>
      </c>
      <c r="F44" s="17"/>
      <c r="G44" s="17"/>
      <c r="H44" s="17"/>
      <c r="I44" s="17"/>
    </row>
    <row r="45" spans="2:9">
      <c r="B45" s="296" t="s">
        <v>467</v>
      </c>
      <c r="C45" s="17" t="s">
        <v>442</v>
      </c>
      <c r="D45" s="17" t="s">
        <v>447</v>
      </c>
      <c r="E45" s="17" t="s">
        <v>64</v>
      </c>
      <c r="F45" s="17"/>
      <c r="G45" s="17"/>
      <c r="H45" s="17"/>
      <c r="I45" s="17"/>
    </row>
    <row r="46" spans="2:9">
      <c r="B46" s="296" t="s">
        <v>467</v>
      </c>
      <c r="C46" s="338" t="s">
        <v>542</v>
      </c>
      <c r="D46" s="338" t="s">
        <v>543</v>
      </c>
      <c r="E46" s="338" t="s">
        <v>64</v>
      </c>
      <c r="F46" s="17"/>
      <c r="G46" s="17"/>
      <c r="H46" s="17"/>
      <c r="I46" s="17"/>
    </row>
    <row r="47" spans="2:9">
      <c r="B47" s="296" t="s">
        <v>467</v>
      </c>
      <c r="C47" s="17" t="s">
        <v>387</v>
      </c>
      <c r="D47" s="17" t="s">
        <v>160</v>
      </c>
      <c r="E47" s="17" t="s">
        <v>64</v>
      </c>
      <c r="F47" s="17"/>
      <c r="G47" s="17"/>
      <c r="H47" s="17"/>
      <c r="I47" s="17"/>
    </row>
    <row r="48" spans="2:9">
      <c r="B48" s="296" t="s">
        <v>467</v>
      </c>
      <c r="C48" s="17" t="s">
        <v>388</v>
      </c>
      <c r="D48" s="17" t="s">
        <v>44</v>
      </c>
      <c r="E48" s="17" t="s">
        <v>64</v>
      </c>
      <c r="F48" s="17"/>
      <c r="G48" s="17"/>
      <c r="H48" s="17"/>
      <c r="I48" s="17"/>
    </row>
    <row r="49" spans="2:9">
      <c r="B49" s="296" t="s">
        <v>467</v>
      </c>
      <c r="C49" s="17" t="s">
        <v>451</v>
      </c>
      <c r="D49" s="17" t="s">
        <v>452</v>
      </c>
      <c r="E49" s="17" t="s">
        <v>64</v>
      </c>
      <c r="F49" s="17"/>
      <c r="G49" s="17"/>
      <c r="H49" s="17"/>
      <c r="I49" s="17"/>
    </row>
    <row r="50" spans="2:9">
      <c r="B50" s="296" t="s">
        <v>467</v>
      </c>
      <c r="C50" s="17" t="s">
        <v>541</v>
      </c>
      <c r="D50" s="17" t="s">
        <v>544</v>
      </c>
      <c r="E50" s="17" t="s">
        <v>64</v>
      </c>
      <c r="F50" s="17"/>
      <c r="G50" s="273" t="s">
        <v>572</v>
      </c>
      <c r="H50" s="17"/>
      <c r="I50" s="17"/>
    </row>
    <row r="51" spans="2:9">
      <c r="B51" s="296" t="s">
        <v>467</v>
      </c>
      <c r="C51" s="17" t="s">
        <v>540</v>
      </c>
      <c r="D51" s="17" t="s">
        <v>571</v>
      </c>
      <c r="E51" s="17" t="s">
        <v>64</v>
      </c>
      <c r="F51" s="17"/>
      <c r="G51" s="17"/>
      <c r="H51" s="17"/>
      <c r="I51" s="17"/>
    </row>
    <row r="52" spans="2:9">
      <c r="B52" s="296" t="s">
        <v>467</v>
      </c>
      <c r="C52" s="17" t="s">
        <v>569</v>
      </c>
      <c r="D52" s="17" t="s">
        <v>570</v>
      </c>
      <c r="E52" s="17" t="s">
        <v>64</v>
      </c>
      <c r="F52" s="17"/>
      <c r="G52" s="273" t="s">
        <v>572</v>
      </c>
      <c r="H52" s="17"/>
      <c r="I52" s="17"/>
    </row>
    <row r="53" spans="2:9">
      <c r="B53" s="296" t="s">
        <v>467</v>
      </c>
      <c r="C53" s="17" t="s">
        <v>360</v>
      </c>
      <c r="D53" s="17" t="s">
        <v>361</v>
      </c>
      <c r="E53" s="17" t="s">
        <v>64</v>
      </c>
      <c r="F53" s="17"/>
      <c r="G53" s="17"/>
      <c r="H53" s="17"/>
      <c r="I53" s="17"/>
    </row>
    <row r="54" spans="2:9">
      <c r="B54" s="296" t="s">
        <v>467</v>
      </c>
      <c r="C54" s="17" t="s">
        <v>433</v>
      </c>
      <c r="D54" s="17" t="s">
        <v>434</v>
      </c>
      <c r="E54" s="17" t="s">
        <v>64</v>
      </c>
      <c r="F54" s="17"/>
      <c r="G54" s="17"/>
      <c r="H54" s="17"/>
      <c r="I54" s="17"/>
    </row>
    <row r="55" spans="2:9">
      <c r="B55" s="296" t="s">
        <v>467</v>
      </c>
      <c r="C55" s="17" t="s">
        <v>454</v>
      </c>
      <c r="D55" s="17" t="s">
        <v>457</v>
      </c>
      <c r="E55" s="17" t="s">
        <v>64</v>
      </c>
      <c r="F55" s="17"/>
      <c r="G55" s="17"/>
      <c r="H55" s="17"/>
      <c r="I55" s="17"/>
    </row>
    <row r="56" spans="2:9">
      <c r="B56" s="298" t="s">
        <v>295</v>
      </c>
      <c r="C56" s="299" t="s">
        <v>228</v>
      </c>
      <c r="D56" s="299" t="s">
        <v>233</v>
      </c>
      <c r="E56" s="299" t="s">
        <v>235</v>
      </c>
      <c r="F56" s="299"/>
      <c r="G56" s="299"/>
      <c r="H56" s="299"/>
      <c r="I56" s="299"/>
    </row>
    <row r="57" spans="2:9">
      <c r="B57" s="298" t="s">
        <v>295</v>
      </c>
      <c r="C57" s="299" t="s">
        <v>227</v>
      </c>
      <c r="D57" s="299" t="s">
        <v>232</v>
      </c>
      <c r="E57" s="299" t="s">
        <v>495</v>
      </c>
      <c r="F57" s="299"/>
      <c r="G57" s="299"/>
      <c r="H57" s="299"/>
      <c r="I57" s="299"/>
    </row>
    <row r="58" spans="2:9">
      <c r="B58" s="298" t="s">
        <v>295</v>
      </c>
      <c r="C58" s="299" t="s">
        <v>229</v>
      </c>
      <c r="D58" s="299" t="s">
        <v>234</v>
      </c>
      <c r="E58" s="299" t="s">
        <v>235</v>
      </c>
      <c r="F58" s="299"/>
      <c r="G58" s="299"/>
      <c r="H58" s="299"/>
      <c r="I58" s="299"/>
    </row>
    <row r="59" spans="2:9">
      <c r="B59" s="298" t="s">
        <v>295</v>
      </c>
      <c r="C59" s="299" t="s">
        <v>575</v>
      </c>
      <c r="D59" s="299" t="s">
        <v>579</v>
      </c>
      <c r="E59" s="299" t="s">
        <v>495</v>
      </c>
      <c r="F59" s="299"/>
      <c r="G59" s="299"/>
      <c r="H59" s="299"/>
      <c r="I59" s="299"/>
    </row>
  </sheetData>
  <phoneticPr fontId="0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6"/>
  <dimension ref="A1:V91"/>
  <sheetViews>
    <sheetView topLeftCell="A34" zoomScale="75" workbookViewId="0">
      <selection activeCell="F40" sqref="F40"/>
    </sheetView>
  </sheetViews>
  <sheetFormatPr defaultRowHeight="12.75"/>
  <cols>
    <col min="1" max="1" width="16.140625" customWidth="1"/>
    <col min="2" max="2" width="14.5703125" customWidth="1"/>
    <col min="3" max="3" width="38.5703125" customWidth="1"/>
    <col min="4" max="4" width="12.28515625" customWidth="1"/>
    <col min="5" max="5" width="13.28515625" customWidth="1"/>
    <col min="6" max="6" width="19.28515625" customWidth="1"/>
    <col min="8" max="8" width="9.85546875" customWidth="1"/>
    <col min="14" max="14" width="10.28515625" customWidth="1"/>
    <col min="19" max="19" width="10.85546875" customWidth="1"/>
  </cols>
  <sheetData>
    <row r="1" spans="1:22" ht="18">
      <c r="A1" s="69" t="s">
        <v>159</v>
      </c>
      <c r="J1" s="188"/>
      <c r="L1" s="189"/>
    </row>
    <row r="2" spans="1:22">
      <c r="A2" s="16"/>
      <c r="F2" s="188"/>
    </row>
    <row r="3" spans="1:22" ht="14.25">
      <c r="A3" s="112"/>
      <c r="F3" s="188"/>
    </row>
    <row r="4" spans="1:22">
      <c r="F4" s="188"/>
      <c r="G4" s="114"/>
      <c r="H4" s="115"/>
      <c r="L4" s="20">
        <v>1.2</v>
      </c>
    </row>
    <row r="5" spans="1:22" ht="18">
      <c r="A5" s="112"/>
      <c r="B5" s="208" t="s">
        <v>317</v>
      </c>
      <c r="C5" s="100"/>
      <c r="D5" s="100"/>
      <c r="E5" s="100"/>
      <c r="F5" s="302" t="str">
        <f>"~FI_T: "&amp;Region&amp;"~EUR10"</f>
        <v>~FI_T: FIM~EUR10</v>
      </c>
    </row>
    <row r="6" spans="1:22" ht="39" thickBot="1">
      <c r="B6" s="48" t="s">
        <v>297</v>
      </c>
      <c r="C6" s="48" t="s">
        <v>298</v>
      </c>
      <c r="D6" s="48" t="s">
        <v>296</v>
      </c>
      <c r="E6" s="48" t="s">
        <v>299</v>
      </c>
      <c r="F6" s="48" t="s">
        <v>293</v>
      </c>
      <c r="G6" s="48" t="s">
        <v>308</v>
      </c>
      <c r="H6" s="48" t="s">
        <v>305</v>
      </c>
      <c r="I6" s="48" t="s">
        <v>306</v>
      </c>
      <c r="J6" s="48" t="str">
        <f ca="1">"Share~UP~"&amp;AuxYear</f>
        <v>Share~UP~2017</v>
      </c>
      <c r="K6" s="48" t="str">
        <f ca="1">"Share~UP~"&amp;CEILING(AuxYear+2,5)</f>
        <v>Share~UP~2020</v>
      </c>
      <c r="L6" s="253" t="str">
        <f ca="1">"ACT_BND~UP~"&amp;AuxYear</f>
        <v>ACT_BND~UP~2017</v>
      </c>
      <c r="M6" s="48" t="s">
        <v>393</v>
      </c>
      <c r="N6" s="48" t="s">
        <v>394</v>
      </c>
      <c r="O6" s="48" t="str">
        <f ca="1">"FLO_MARK~UP~"&amp;AuxYear</f>
        <v>FLO_MARK~UP~2017</v>
      </c>
      <c r="P6" s="48" t="s">
        <v>59</v>
      </c>
      <c r="Q6" s="48" t="s">
        <v>316</v>
      </c>
      <c r="R6" s="253" t="s">
        <v>343</v>
      </c>
      <c r="S6" s="48" t="str">
        <f ca="1">"RESID~"&amp;AuxYear</f>
        <v>RESID~2017</v>
      </c>
      <c r="T6" s="48" t="s">
        <v>455</v>
      </c>
      <c r="U6" s="48" t="s">
        <v>456</v>
      </c>
      <c r="V6" s="48" t="s">
        <v>459</v>
      </c>
    </row>
    <row r="7" spans="1:22">
      <c r="B7" s="17" t="str">
        <f>CONCATENATE("FT-",E8,"0")</f>
        <v>FT-TRACOA0</v>
      </c>
      <c r="C7" s="351" t="s">
        <v>318</v>
      </c>
      <c r="D7" s="116" t="str">
        <f ca="1">IEAData2!B18</f>
        <v>COAHCO</v>
      </c>
      <c r="E7" s="17"/>
      <c r="F7" s="17"/>
      <c r="G7" s="117">
        <v>1</v>
      </c>
      <c r="H7" s="117">
        <v>1</v>
      </c>
      <c r="I7" s="20"/>
      <c r="J7" s="61"/>
      <c r="K7" s="61"/>
      <c r="L7" s="267">
        <f ca="1">AuxData2!C50*$L$4</f>
        <v>0</v>
      </c>
      <c r="M7" s="116">
        <f>L7*$L$4</f>
        <v>0</v>
      </c>
      <c r="N7" s="116">
        <f>M7*$L$4</f>
        <v>0</v>
      </c>
      <c r="O7" s="116"/>
      <c r="P7" s="116"/>
      <c r="Q7" s="116"/>
      <c r="R7" s="267"/>
      <c r="S7" s="116"/>
      <c r="T7" s="116"/>
      <c r="U7" s="116"/>
      <c r="V7" s="116"/>
    </row>
    <row r="8" spans="1:22" ht="14.25">
      <c r="B8" s="190"/>
      <c r="C8" s="347"/>
      <c r="D8" s="5"/>
      <c r="E8" s="5" t="str">
        <f ca="1">IEAData2!C51</f>
        <v>TRACOA</v>
      </c>
      <c r="F8" s="119" t="s">
        <v>35</v>
      </c>
      <c r="G8" s="122"/>
      <c r="H8" s="122"/>
      <c r="I8" s="1"/>
      <c r="J8" s="206"/>
      <c r="K8" s="206"/>
      <c r="L8" s="268"/>
      <c r="M8" s="209"/>
      <c r="N8" s="209"/>
      <c r="O8" s="209"/>
      <c r="P8" s="209"/>
      <c r="Q8" s="209"/>
      <c r="R8" s="268"/>
      <c r="S8" s="209"/>
      <c r="T8" s="209"/>
      <c r="U8" s="209"/>
      <c r="V8" s="209"/>
    </row>
    <row r="9" spans="1:22">
      <c r="B9" s="17" t="str">
        <f>CONCATENATE("FT-",E12,"0")</f>
        <v>FT-TRANGA0</v>
      </c>
      <c r="C9" s="234" t="s">
        <v>319</v>
      </c>
      <c r="D9" s="116" t="str">
        <f ca="1">IEAData2!I18</f>
        <v>GASNGA</v>
      </c>
      <c r="E9" s="17"/>
      <c r="F9" s="17"/>
      <c r="G9" s="117">
        <v>1</v>
      </c>
      <c r="H9" s="117">
        <v>1</v>
      </c>
      <c r="I9" s="20"/>
      <c r="J9" s="61"/>
      <c r="K9" s="61"/>
      <c r="L9" s="339">
        <f ca="1">AuxData2!F50*$L$4</f>
        <v>4.6865978791546366E-2</v>
      </c>
      <c r="M9" s="320">
        <f ca="1">MAX(IEAData2!$K$95*0.06,L9*$L$4^2+1)</f>
        <v>1.0674870094598268</v>
      </c>
      <c r="N9" s="116"/>
      <c r="O9" s="116"/>
      <c r="P9" s="116">
        <v>50</v>
      </c>
      <c r="Q9" s="116">
        <v>50</v>
      </c>
      <c r="R9" s="294">
        <f ca="1">IEAData2!$F50*TRA_Fuels2!$L$4</f>
        <v>2.892649349681466E-2</v>
      </c>
      <c r="S9" s="295">
        <f ca="1">AuxData2!$F50*TRA_Fuels2!$L$4</f>
        <v>4.6865978791546366E-2</v>
      </c>
      <c r="T9" s="116">
        <f>R9*$L$4+0.4</f>
        <v>0.43471179219617762</v>
      </c>
      <c r="U9" s="116">
        <f>T9</f>
        <v>0.43471179219617762</v>
      </c>
      <c r="V9" s="264">
        <v>1</v>
      </c>
    </row>
    <row r="10" spans="1:22">
      <c r="B10" s="17"/>
      <c r="C10" s="234"/>
      <c r="D10" s="116" t="s">
        <v>451</v>
      </c>
      <c r="E10" s="17"/>
      <c r="F10" s="17"/>
      <c r="G10" s="117"/>
      <c r="H10" s="117"/>
      <c r="I10" s="20"/>
      <c r="J10" s="61"/>
      <c r="K10" s="61"/>
      <c r="L10" s="267"/>
      <c r="M10" s="116"/>
      <c r="N10" s="116"/>
      <c r="O10" s="116"/>
      <c r="P10" s="116"/>
      <c r="Q10" s="116"/>
      <c r="R10" s="267"/>
      <c r="S10" s="116"/>
      <c r="T10" s="116"/>
      <c r="U10" s="116"/>
      <c r="V10" s="264"/>
    </row>
    <row r="11" spans="1:22">
      <c r="B11" s="17"/>
      <c r="C11" s="234"/>
      <c r="D11" s="116" t="s">
        <v>540</v>
      </c>
      <c r="E11" s="17"/>
      <c r="F11" s="17"/>
      <c r="G11" s="117"/>
      <c r="H11" s="117"/>
      <c r="I11" s="20"/>
      <c r="J11" s="61">
        <v>0</v>
      </c>
      <c r="K11" s="61">
        <v>0.1</v>
      </c>
      <c r="L11" s="267"/>
      <c r="M11" s="116"/>
      <c r="N11" s="116"/>
      <c r="O11" s="116"/>
      <c r="P11" s="116"/>
      <c r="Q11" s="116"/>
      <c r="R11" s="267"/>
      <c r="S11" s="116"/>
      <c r="T11" s="116"/>
      <c r="U11" s="116"/>
      <c r="V11" s="264"/>
    </row>
    <row r="12" spans="1:22">
      <c r="B12" s="190"/>
      <c r="C12" s="347"/>
      <c r="D12" s="5"/>
      <c r="E12" s="5" t="str">
        <f ca="1">IEAData2!F51</f>
        <v>TRANGA</v>
      </c>
      <c r="F12" s="5" t="s">
        <v>36</v>
      </c>
      <c r="G12" s="122"/>
      <c r="H12" s="122"/>
      <c r="I12" s="1"/>
      <c r="J12" s="206"/>
      <c r="K12" s="206"/>
      <c r="L12" s="268"/>
      <c r="M12" s="209"/>
      <c r="N12" s="209"/>
      <c r="O12" s="209"/>
      <c r="P12" s="209"/>
      <c r="Q12" s="209"/>
      <c r="R12" s="268"/>
      <c r="S12" s="209"/>
      <c r="T12" s="209"/>
      <c r="U12" s="209"/>
      <c r="V12" s="209"/>
    </row>
    <row r="13" spans="1:22">
      <c r="B13" s="17" t="str">
        <f>CONCATENATE("FT-",E14,"0")</f>
        <v>FT-TRALPG0</v>
      </c>
      <c r="C13" s="234" t="s">
        <v>320</v>
      </c>
      <c r="D13" s="116" t="str">
        <f ca="1">IEAData2!J18</f>
        <v>OILLPG</v>
      </c>
      <c r="E13" s="17"/>
      <c r="F13" s="17"/>
      <c r="G13" s="117">
        <v>1</v>
      </c>
      <c r="H13" s="117">
        <v>1</v>
      </c>
      <c r="I13" s="20"/>
      <c r="J13" s="61"/>
      <c r="K13" s="61"/>
      <c r="L13" s="267">
        <f ca="1">AuxData2!G50*$L$4^0.5</f>
        <v>0</v>
      </c>
      <c r="M13" s="116">
        <f>L13*$L$4+0.5</f>
        <v>0.5</v>
      </c>
      <c r="N13" s="116">
        <f>M13*$L$4</f>
        <v>0.6</v>
      </c>
      <c r="O13" s="116"/>
      <c r="P13" s="116"/>
      <c r="Q13" s="116"/>
      <c r="R13" s="267"/>
      <c r="S13" s="116"/>
      <c r="T13" s="116"/>
      <c r="U13" s="116"/>
      <c r="V13" s="116"/>
    </row>
    <row r="14" spans="1:22">
      <c r="B14" s="190"/>
      <c r="C14" s="347"/>
      <c r="D14" s="5"/>
      <c r="E14" s="5" t="str">
        <f ca="1">IEAData2!G51</f>
        <v>TRALPG</v>
      </c>
      <c r="F14" s="5" t="s">
        <v>37</v>
      </c>
      <c r="G14" s="122"/>
      <c r="H14" s="122"/>
      <c r="I14" s="1"/>
      <c r="J14" s="206"/>
      <c r="K14" s="206"/>
      <c r="L14" s="268"/>
      <c r="M14" s="209"/>
      <c r="N14" s="209"/>
      <c r="O14" s="209"/>
      <c r="P14" s="209"/>
      <c r="Q14" s="209"/>
      <c r="R14" s="268"/>
      <c r="S14" s="209"/>
      <c r="T14" s="209"/>
      <c r="U14" s="209"/>
      <c r="V14" s="209"/>
    </row>
    <row r="15" spans="1:22">
      <c r="B15" s="17" t="str">
        <f>CONCATENATE("FT-",E16,"0")</f>
        <v>FT-TRAGSL0</v>
      </c>
      <c r="C15" s="234" t="s">
        <v>321</v>
      </c>
      <c r="D15" s="116" t="str">
        <f ca="1">IEAData2!K18</f>
        <v>OILGSL</v>
      </c>
      <c r="E15" s="17"/>
      <c r="F15" s="17"/>
      <c r="G15" s="117">
        <v>1</v>
      </c>
      <c r="H15" s="117">
        <v>1</v>
      </c>
      <c r="I15" s="20"/>
      <c r="J15" s="61"/>
      <c r="K15" s="61"/>
      <c r="L15" s="267"/>
      <c r="M15" s="116"/>
      <c r="N15" s="116"/>
      <c r="O15" s="116"/>
      <c r="P15" s="116"/>
      <c r="Q15" s="116"/>
      <c r="R15" s="267"/>
      <c r="S15" s="116"/>
      <c r="T15" s="116"/>
      <c r="U15" s="116"/>
      <c r="V15" s="116"/>
    </row>
    <row r="16" spans="1:22">
      <c r="B16" s="5"/>
      <c r="C16" s="347"/>
      <c r="D16" s="5"/>
      <c r="E16" s="5" t="str">
        <f ca="1">IEAData2!H51</f>
        <v>TRAGSL</v>
      </c>
      <c r="F16" s="5" t="s">
        <v>38</v>
      </c>
      <c r="G16" s="122"/>
      <c r="H16" s="122"/>
      <c r="I16" s="1"/>
      <c r="J16" s="206"/>
      <c r="K16" s="206"/>
      <c r="L16" s="268"/>
      <c r="M16" s="209"/>
      <c r="N16" s="209"/>
      <c r="O16" s="209"/>
      <c r="P16" s="209"/>
      <c r="Q16" s="209"/>
      <c r="R16" s="268"/>
      <c r="S16" s="209"/>
      <c r="T16" s="209"/>
      <c r="U16" s="209"/>
      <c r="V16" s="209"/>
    </row>
    <row r="17" spans="1:22">
      <c r="B17" s="17" t="str">
        <f>CONCATENATE("FT-",E19,"0")</f>
        <v>FT-TRAAVG0</v>
      </c>
      <c r="C17" s="234" t="s">
        <v>439</v>
      </c>
      <c r="D17" s="116" t="str">
        <f ca="1">IEAData2!L18</f>
        <v>OILAVG</v>
      </c>
      <c r="E17" s="17"/>
      <c r="F17" s="17"/>
      <c r="G17" s="117">
        <v>1</v>
      </c>
      <c r="H17" s="117">
        <v>1</v>
      </c>
      <c r="I17" s="20"/>
      <c r="J17" s="61">
        <v>1</v>
      </c>
      <c r="K17" s="61">
        <v>1</v>
      </c>
      <c r="L17" s="267"/>
      <c r="M17" s="116"/>
      <c r="N17" s="116"/>
      <c r="O17" s="116"/>
      <c r="P17" s="116"/>
      <c r="Q17" s="116"/>
      <c r="R17" s="267"/>
      <c r="S17" s="116"/>
      <c r="T17" s="116"/>
      <c r="U17" s="116"/>
      <c r="V17" s="116"/>
    </row>
    <row r="18" spans="1:22">
      <c r="B18" s="17"/>
      <c r="C18" s="234"/>
      <c r="D18" s="116" t="str">
        <f ca="1">IEAData2!M18</f>
        <v>OILJTG</v>
      </c>
      <c r="E18" s="17"/>
      <c r="F18" s="17"/>
      <c r="G18" s="117"/>
      <c r="H18" s="117"/>
      <c r="I18" s="20"/>
      <c r="J18" s="61">
        <v>0</v>
      </c>
      <c r="K18" s="61">
        <f>G18</f>
        <v>0</v>
      </c>
      <c r="L18" s="267"/>
      <c r="M18" s="116"/>
      <c r="N18" s="116"/>
      <c r="O18" s="116"/>
      <c r="P18" s="116"/>
      <c r="Q18" s="116"/>
      <c r="R18" s="267"/>
      <c r="S18" s="116"/>
      <c r="T18" s="116"/>
      <c r="U18" s="116"/>
      <c r="V18" s="116"/>
    </row>
    <row r="19" spans="1:22">
      <c r="B19" s="5"/>
      <c r="C19" s="347"/>
      <c r="D19" s="5"/>
      <c r="E19" s="5" t="str">
        <f ca="1">IEAData2!I51</f>
        <v>TRAAVG</v>
      </c>
      <c r="F19" s="5" t="s">
        <v>39</v>
      </c>
      <c r="G19" s="122"/>
      <c r="H19" s="122"/>
      <c r="I19" s="1"/>
      <c r="J19" s="206"/>
      <c r="K19" s="206"/>
      <c r="L19" s="268"/>
      <c r="M19" s="209"/>
      <c r="N19" s="209"/>
      <c r="O19" s="209"/>
      <c r="P19" s="209"/>
      <c r="Q19" s="209"/>
      <c r="R19" s="268"/>
      <c r="S19" s="209"/>
      <c r="T19" s="209"/>
      <c r="U19" s="209"/>
      <c r="V19" s="209"/>
    </row>
    <row r="20" spans="1:22">
      <c r="B20" s="17" t="str">
        <f>CONCATENATE("FT-",E22,"0")</f>
        <v>FT-TRAJTK0</v>
      </c>
      <c r="C20" s="234" t="s">
        <v>438</v>
      </c>
      <c r="D20" s="116" t="str">
        <f ca="1">IEAData2!N18</f>
        <v>OILJTK</v>
      </c>
      <c r="E20" s="17"/>
      <c r="F20" s="17"/>
      <c r="G20" s="117">
        <v>1</v>
      </c>
      <c r="H20" s="117">
        <v>1</v>
      </c>
      <c r="I20" s="20"/>
      <c r="J20" s="61">
        <v>1</v>
      </c>
      <c r="K20" s="61">
        <v>1</v>
      </c>
      <c r="L20" s="267"/>
      <c r="M20" s="116"/>
      <c r="N20" s="116"/>
      <c r="O20" s="116"/>
      <c r="P20" s="116"/>
      <c r="Q20" s="116"/>
      <c r="R20" s="267"/>
      <c r="S20" s="116"/>
      <c r="T20" s="116"/>
      <c r="U20" s="116"/>
      <c r="V20" s="116"/>
    </row>
    <row r="21" spans="1:22">
      <c r="B21" s="17"/>
      <c r="C21" s="234"/>
      <c r="D21" s="116" t="str">
        <f ca="1">IEAData2!O18</f>
        <v>OILKER</v>
      </c>
      <c r="E21" s="17"/>
      <c r="F21" s="17"/>
      <c r="G21" s="117"/>
      <c r="H21" s="117"/>
      <c r="I21" s="20"/>
      <c r="J21" s="61">
        <f ca="1">1-IF(AuxData2!$J$29&lt;0.01,1,MIN(1,SUM(AuxData2!N10,AuxData2!N17)/AuxData2!$J$29))</f>
        <v>0</v>
      </c>
      <c r="K21" s="61">
        <f>G21</f>
        <v>0</v>
      </c>
      <c r="L21" s="267"/>
      <c r="M21" s="116"/>
      <c r="N21" s="116"/>
      <c r="O21" s="116"/>
      <c r="P21" s="116"/>
      <c r="Q21" s="116"/>
      <c r="R21" s="267"/>
      <c r="S21" s="116"/>
      <c r="T21" s="116"/>
      <c r="U21" s="116"/>
      <c r="V21" s="116"/>
    </row>
    <row r="22" spans="1:22">
      <c r="B22" s="5"/>
      <c r="C22" s="347"/>
      <c r="D22" s="5"/>
      <c r="E22" s="5" t="str">
        <f ca="1">IEAData2!J51</f>
        <v>TRAJTK</v>
      </c>
      <c r="F22" s="5" t="s">
        <v>40</v>
      </c>
      <c r="G22" s="122"/>
      <c r="H22" s="122"/>
      <c r="I22" s="1"/>
      <c r="J22" s="206"/>
      <c r="K22" s="206"/>
      <c r="L22" s="268"/>
      <c r="M22" s="209"/>
      <c r="N22" s="209"/>
      <c r="O22" s="209"/>
      <c r="P22" s="209"/>
      <c r="Q22" s="209"/>
      <c r="R22" s="268"/>
      <c r="S22" s="209"/>
      <c r="T22" s="209"/>
      <c r="U22" s="209"/>
      <c r="V22" s="209"/>
    </row>
    <row r="23" spans="1:22">
      <c r="B23" s="17" t="str">
        <f>CONCATENATE("FT-",E24,"0")</f>
        <v>FT-TRADSO0</v>
      </c>
      <c r="C23" s="234" t="s">
        <v>431</v>
      </c>
      <c r="D23" s="116" t="str">
        <f ca="1">IEAData2!P18</f>
        <v>OILDST</v>
      </c>
      <c r="E23" s="17"/>
      <c r="F23" s="17"/>
      <c r="G23" s="117">
        <v>1</v>
      </c>
      <c r="H23" s="117">
        <v>1</v>
      </c>
      <c r="I23" s="20"/>
      <c r="J23" s="61"/>
      <c r="K23" s="61"/>
      <c r="L23" s="267"/>
      <c r="M23" s="116"/>
      <c r="N23" s="116"/>
      <c r="O23" s="116"/>
      <c r="P23" s="116"/>
      <c r="Q23" s="116"/>
      <c r="R23" s="267"/>
      <c r="S23" s="116"/>
      <c r="T23" s="116"/>
      <c r="U23" s="116"/>
      <c r="V23" s="116"/>
    </row>
    <row r="24" spans="1:22">
      <c r="B24" s="5"/>
      <c r="C24" s="347"/>
      <c r="D24" s="5"/>
      <c r="E24" s="5" t="str">
        <f ca="1">COMM2!$C$35</f>
        <v>TRADSO</v>
      </c>
      <c r="F24" s="5" t="s">
        <v>427</v>
      </c>
      <c r="G24" s="122"/>
      <c r="H24" s="122"/>
      <c r="I24" s="1"/>
      <c r="J24" s="206"/>
      <c r="K24" s="206"/>
      <c r="L24" s="268"/>
      <c r="M24" s="209"/>
      <c r="N24" s="209"/>
      <c r="O24" s="209"/>
      <c r="P24" s="209"/>
      <c r="Q24" s="209"/>
      <c r="R24" s="268"/>
      <c r="S24" s="209"/>
      <c r="T24" s="209"/>
      <c r="U24" s="209"/>
      <c r="V24" s="209"/>
    </row>
    <row r="25" spans="1:22">
      <c r="B25" s="17" t="str">
        <f>CONCATENATE("FT-",E26,"0")</f>
        <v>FT-TRAHFO0</v>
      </c>
      <c r="C25" s="234" t="s">
        <v>325</v>
      </c>
      <c r="D25" s="116" t="str">
        <f ca="1">IEAData2!Q18</f>
        <v>OILHFO</v>
      </c>
      <c r="E25" s="17"/>
      <c r="F25" s="17"/>
      <c r="G25" s="117">
        <v>1</v>
      </c>
      <c r="H25" s="117">
        <v>1</v>
      </c>
      <c r="I25" s="20"/>
      <c r="J25" s="61"/>
      <c r="K25" s="61"/>
      <c r="L25" s="267">
        <f ca="1">AuxData2!L50*TRA_Fuels2!$L$4^0.5</f>
        <v>0.98406117843142349</v>
      </c>
      <c r="M25" s="116">
        <f>L25*$L$4</f>
        <v>1.1808734141177082</v>
      </c>
      <c r="N25" s="116">
        <f>M25*$L$4</f>
        <v>1.4170480969412498</v>
      </c>
      <c r="O25" s="116"/>
      <c r="P25" s="116"/>
      <c r="Q25" s="116"/>
      <c r="R25" s="267"/>
      <c r="S25" s="116"/>
      <c r="T25" s="116"/>
      <c r="U25" s="116"/>
      <c r="V25" s="116"/>
    </row>
    <row r="26" spans="1:22">
      <c r="B26" s="5"/>
      <c r="C26" s="347"/>
      <c r="D26" s="5"/>
      <c r="E26" s="5" t="str">
        <f ca="1">IEAData2!L51</f>
        <v>TRAHFO</v>
      </c>
      <c r="F26" s="5" t="s">
        <v>42</v>
      </c>
      <c r="G26" s="122"/>
      <c r="H26" s="122"/>
      <c r="I26" s="1"/>
      <c r="J26" s="206"/>
      <c r="K26" s="206"/>
      <c r="L26" s="268"/>
      <c r="M26" s="209"/>
      <c r="N26" s="209"/>
      <c r="O26" s="209"/>
      <c r="P26" s="209"/>
      <c r="Q26" s="209"/>
      <c r="R26" s="268"/>
      <c r="S26" s="209"/>
      <c r="T26" s="209"/>
      <c r="U26" s="209"/>
      <c r="V26" s="209"/>
    </row>
    <row r="27" spans="1:22">
      <c r="B27" s="17" t="str">
        <f>CONCATENATE("FT-",E28,"0")</f>
        <v>FT-TRAOIL0</v>
      </c>
      <c r="C27" s="234" t="s">
        <v>325</v>
      </c>
      <c r="D27" s="116" t="str">
        <f ca="1">IEAData2!Q18</f>
        <v>OILHFO</v>
      </c>
      <c r="E27" s="35"/>
      <c r="F27" s="35"/>
      <c r="G27" s="251">
        <v>1</v>
      </c>
      <c r="H27" s="251"/>
      <c r="I27" s="96"/>
      <c r="J27" s="92"/>
      <c r="K27" s="92"/>
      <c r="L27" s="267"/>
      <c r="M27" s="252"/>
      <c r="N27" s="252"/>
      <c r="O27" s="141"/>
      <c r="P27" s="141"/>
      <c r="Q27" s="141"/>
      <c r="R27" s="269"/>
      <c r="S27" s="141"/>
      <c r="T27" s="141"/>
      <c r="U27" s="141"/>
      <c r="V27" s="141"/>
    </row>
    <row r="28" spans="1:22">
      <c r="B28" s="5"/>
      <c r="C28" s="347"/>
      <c r="D28" s="5"/>
      <c r="E28" s="5" t="s">
        <v>442</v>
      </c>
      <c r="F28" s="5" t="s">
        <v>443</v>
      </c>
      <c r="G28" s="122"/>
      <c r="H28" s="122"/>
      <c r="I28" s="1"/>
      <c r="J28" s="206"/>
      <c r="K28" s="206"/>
      <c r="L28" s="268"/>
      <c r="M28" s="209"/>
      <c r="N28" s="209"/>
      <c r="O28" s="121">
        <f ca="1">IF(AuxData2!$N$94&lt;=0,1,MAX(AuxData2!$L$94/AuxData2!$N$94,IEAData2!$L$94/IEAData2!$N$94))</f>
        <v>0.78391349107163788</v>
      </c>
      <c r="P28" s="121"/>
      <c r="Q28" s="121"/>
      <c r="R28" s="270"/>
      <c r="S28" s="121"/>
      <c r="T28" s="121"/>
      <c r="U28" s="121"/>
      <c r="V28" s="121"/>
    </row>
    <row r="29" spans="1:22">
      <c r="C29" s="140"/>
      <c r="J29" s="22"/>
      <c r="L29" s="22"/>
      <c r="M29" s="22"/>
    </row>
    <row r="30" spans="1:22">
      <c r="C30" s="140"/>
    </row>
    <row r="31" spans="1:22">
      <c r="C31" s="140"/>
      <c r="E31" s="22"/>
      <c r="F31" s="188"/>
    </row>
    <row r="32" spans="1:22" ht="18">
      <c r="A32" s="112"/>
      <c r="B32" s="100" t="s">
        <v>285</v>
      </c>
      <c r="C32" s="352"/>
      <c r="D32" s="111"/>
      <c r="F32" s="188"/>
      <c r="G32" s="302" t="str">
        <f>"~FI_T: "&amp;Region&amp;"~EUR10"</f>
        <v>~FI_T: FIM~EUR10</v>
      </c>
    </row>
    <row r="33" spans="1:22" ht="39" thickBot="1">
      <c r="A33" s="112"/>
      <c r="B33" s="48" t="s">
        <v>297</v>
      </c>
      <c r="C33" s="353" t="s">
        <v>298</v>
      </c>
      <c r="D33" s="48" t="s">
        <v>296</v>
      </c>
      <c r="E33" s="48" t="s">
        <v>299</v>
      </c>
      <c r="F33" s="48" t="s">
        <v>293</v>
      </c>
      <c r="G33" s="48" t="s">
        <v>389</v>
      </c>
      <c r="H33" s="48" t="s">
        <v>55</v>
      </c>
      <c r="I33" s="48" t="s">
        <v>401</v>
      </c>
      <c r="J33" s="48" t="s">
        <v>308</v>
      </c>
      <c r="K33" s="48" t="s">
        <v>305</v>
      </c>
      <c r="L33" s="210" t="s">
        <v>402</v>
      </c>
      <c r="M33" s="210" t="s">
        <v>306</v>
      </c>
      <c r="N33" s="210" t="s">
        <v>307</v>
      </c>
      <c r="O33" s="48" t="s">
        <v>59</v>
      </c>
      <c r="P33" s="210" t="s">
        <v>316</v>
      </c>
      <c r="Q33" s="48" t="s">
        <v>422</v>
      </c>
    </row>
    <row r="34" spans="1:22" ht="14.25">
      <c r="A34" s="112"/>
      <c r="B34" s="17" t="str">
        <f>CONCATENATE("FT-",E35,"0")</f>
        <v>FT-TTRELC0</v>
      </c>
      <c r="C34" s="234" t="s">
        <v>424</v>
      </c>
      <c r="D34" s="215" t="s">
        <v>400</v>
      </c>
      <c r="E34" s="17"/>
      <c r="F34" s="17"/>
      <c r="G34" s="17"/>
      <c r="H34" s="116">
        <v>1</v>
      </c>
      <c r="I34" s="61">
        <v>1</v>
      </c>
      <c r="J34" s="74"/>
      <c r="K34" s="117">
        <v>1</v>
      </c>
      <c r="L34" s="20">
        <v>1</v>
      </c>
      <c r="M34" s="20"/>
      <c r="N34" s="20"/>
      <c r="O34" s="20"/>
      <c r="P34" s="20"/>
      <c r="Q34" s="20"/>
    </row>
    <row r="35" spans="1:22" ht="14.25">
      <c r="A35" s="112"/>
      <c r="B35" s="17"/>
      <c r="C35" s="234"/>
      <c r="D35" s="215"/>
      <c r="E35" s="17" t="s">
        <v>420</v>
      </c>
      <c r="F35" s="17" t="s">
        <v>421</v>
      </c>
      <c r="G35" s="17"/>
      <c r="H35" s="116"/>
      <c r="I35" s="61"/>
      <c r="J35" s="74"/>
      <c r="K35" s="117"/>
      <c r="L35" s="20"/>
      <c r="M35" s="20"/>
      <c r="N35" s="20"/>
      <c r="O35" s="20"/>
      <c r="P35" s="20"/>
      <c r="Q35" s="20"/>
    </row>
    <row r="36" spans="1:22" ht="14.25">
      <c r="A36" s="112"/>
      <c r="B36" s="17" t="str">
        <f>CONCATENATE("FT-",E37,"0")</f>
        <v>FT-TRDELC0</v>
      </c>
      <c r="C36" s="234" t="s">
        <v>403</v>
      </c>
      <c r="D36" s="215" t="s">
        <v>272</v>
      </c>
      <c r="E36" s="17" t="s">
        <v>99</v>
      </c>
      <c r="F36" s="17" t="s">
        <v>45</v>
      </c>
      <c r="G36" s="240" t="str">
        <f>B36&amp;"_NRGO"</f>
        <v>FT-TRDELC0_NRGO</v>
      </c>
      <c r="H36" s="116"/>
      <c r="I36" s="61"/>
      <c r="J36" s="74"/>
      <c r="K36" s="117">
        <v>1</v>
      </c>
      <c r="L36" s="118">
        <v>1.5</v>
      </c>
      <c r="M36" s="20"/>
      <c r="N36" s="20"/>
      <c r="O36" s="20"/>
      <c r="P36" s="20"/>
      <c r="Q36" s="20">
        <v>1</v>
      </c>
    </row>
    <row r="37" spans="1:22">
      <c r="B37" s="190"/>
      <c r="C37" s="347"/>
      <c r="D37" s="5"/>
      <c r="E37" s="121" t="str">
        <f ca="1">COMM2!C30</f>
        <v>TRDELC</v>
      </c>
      <c r="F37" s="5" t="s">
        <v>398</v>
      </c>
      <c r="G37" s="5"/>
      <c r="H37" s="120"/>
      <c r="I37" s="121"/>
      <c r="J37" s="121"/>
      <c r="K37" s="122"/>
      <c r="L37" s="1"/>
      <c r="M37" s="1"/>
      <c r="N37" s="1"/>
      <c r="O37" s="1"/>
      <c r="P37" s="1"/>
      <c r="Q37" s="1"/>
    </row>
    <row r="38" spans="1:22">
      <c r="B38" s="99"/>
      <c r="C38" s="99"/>
      <c r="D38" s="99"/>
      <c r="E38" s="99"/>
      <c r="F38" s="99"/>
      <c r="H38" s="99"/>
      <c r="I38" s="99"/>
      <c r="J38" s="99"/>
      <c r="K38" s="99"/>
      <c r="L38" s="99"/>
      <c r="M38" s="99"/>
      <c r="N38" s="99"/>
      <c r="O38" s="99"/>
      <c r="P38" s="99"/>
      <c r="Q38" s="99"/>
    </row>
    <row r="40" spans="1:22">
      <c r="F40" s="188"/>
    </row>
    <row r="41" spans="1:22">
      <c r="F41" s="188"/>
      <c r="G41" s="113"/>
      <c r="H41" s="114"/>
      <c r="I41" s="114"/>
      <c r="J41" s="115"/>
    </row>
    <row r="42" spans="1:22" ht="18">
      <c r="B42" s="208" t="s">
        <v>315</v>
      </c>
      <c r="C42" s="100"/>
      <c r="D42" s="100"/>
      <c r="E42" s="100"/>
      <c r="F42" s="302" t="str">
        <f>"~FI_T: "&amp;Region&amp;"~EUR10"</f>
        <v>~FI_T: FIM~EUR10</v>
      </c>
    </row>
    <row r="43" spans="1:22" ht="33.75" customHeight="1" thickBot="1">
      <c r="B43" s="48" t="s">
        <v>297</v>
      </c>
      <c r="C43" s="48" t="s">
        <v>298</v>
      </c>
      <c r="D43" s="48" t="s">
        <v>296</v>
      </c>
      <c r="E43" s="48" t="s">
        <v>299</v>
      </c>
      <c r="F43" s="48" t="s">
        <v>293</v>
      </c>
      <c r="G43" s="48" t="s">
        <v>583</v>
      </c>
      <c r="H43" s="48" t="s">
        <v>308</v>
      </c>
      <c r="I43" s="48" t="s">
        <v>401</v>
      </c>
      <c r="J43" s="48" t="s">
        <v>59</v>
      </c>
      <c r="K43" s="48" t="s">
        <v>316</v>
      </c>
      <c r="L43" s="48" t="str">
        <f ca="1">"Share~UP~"&amp;AuxYear</f>
        <v>Share~UP~2017</v>
      </c>
      <c r="M43" s="48" t="s">
        <v>391</v>
      </c>
      <c r="N43" s="48" t="s">
        <v>392</v>
      </c>
      <c r="O43" s="48" t="s">
        <v>402</v>
      </c>
      <c r="P43" s="48" t="s">
        <v>333</v>
      </c>
      <c r="Q43" s="48" t="s">
        <v>306</v>
      </c>
      <c r="R43" s="48" t="str">
        <f ca="1">"FLO_MARK~FX~"&amp;BaseYear</f>
        <v>FLO_MARK~FX~2010</v>
      </c>
      <c r="S43" s="48" t="str">
        <f ca="1">"FLO_MARK~FX~"&amp;AuxYear</f>
        <v>FLO_MARK~FX~2017</v>
      </c>
      <c r="T43" s="48" t="s">
        <v>441</v>
      </c>
      <c r="U43" s="48" t="s">
        <v>460</v>
      </c>
      <c r="V43" s="48" t="str">
        <f ca="1">"ACT_BND~LO~"&amp;AuxYear</f>
        <v>ACT_BND~LO~2017</v>
      </c>
    </row>
    <row r="44" spans="1:22">
      <c r="B44" s="17" t="str">
        <f>CONCATENATE("FT-",E45,"5")</f>
        <v>FT-TRANGA5</v>
      </c>
      <c r="C44" s="234" t="s">
        <v>581</v>
      </c>
      <c r="D44" s="116" t="s">
        <v>451</v>
      </c>
      <c r="E44" s="17"/>
      <c r="F44" s="17"/>
      <c r="G44" s="74"/>
      <c r="H44" s="247"/>
      <c r="I44" s="247">
        <v>1</v>
      </c>
      <c r="J44" s="340">
        <v>25</v>
      </c>
      <c r="K44" s="340">
        <v>40</v>
      </c>
      <c r="L44" s="61"/>
      <c r="M44" s="61"/>
      <c r="N44" s="61"/>
      <c r="O44" s="20"/>
      <c r="P44" s="289">
        <f ca="1">BaseYear</f>
        <v>2010</v>
      </c>
      <c r="Q44" s="340">
        <v>2</v>
      </c>
      <c r="R44" s="221"/>
      <c r="S44" s="221"/>
      <c r="T44" s="221"/>
      <c r="U44" s="287">
        <f ca="1">IEAData2!$G$17</f>
        <v>0</v>
      </c>
      <c r="V44" s="287">
        <f ca="1">AuxData2!$G$17</f>
        <v>1.6608203851848566E-3</v>
      </c>
    </row>
    <row r="45" spans="1:22">
      <c r="B45" s="190"/>
      <c r="C45" s="347"/>
      <c r="D45" s="5"/>
      <c r="E45" s="5" t="s">
        <v>100</v>
      </c>
      <c r="F45" s="5" t="s">
        <v>36</v>
      </c>
      <c r="G45" s="121"/>
      <c r="H45" s="248"/>
      <c r="I45" s="248"/>
      <c r="J45" s="341"/>
      <c r="K45" s="1"/>
      <c r="L45" s="206"/>
      <c r="M45" s="206"/>
      <c r="N45" s="206"/>
      <c r="O45" s="1"/>
      <c r="P45" s="290"/>
      <c r="Q45" s="354"/>
      <c r="R45" s="222"/>
      <c r="S45" s="222"/>
      <c r="T45" s="222"/>
      <c r="U45" s="222"/>
      <c r="V45" s="222"/>
    </row>
    <row r="46" spans="1:22" ht="30" customHeight="1">
      <c r="B46" s="17" t="str">
        <f>CONCATENATE("FT-",E47,"5")</f>
        <v>FT-TRALPG5</v>
      </c>
      <c r="C46" s="234" t="s">
        <v>327</v>
      </c>
      <c r="D46" s="116" t="s">
        <v>334</v>
      </c>
      <c r="E46" s="17"/>
      <c r="F46" s="17"/>
      <c r="G46" s="74"/>
      <c r="H46" s="247"/>
      <c r="I46" s="247">
        <v>1</v>
      </c>
      <c r="J46" s="342">
        <v>50</v>
      </c>
      <c r="K46" s="342">
        <v>20</v>
      </c>
      <c r="L46" s="61"/>
      <c r="M46" s="61"/>
      <c r="N46" s="61"/>
      <c r="O46" s="20"/>
      <c r="P46" s="289">
        <f ca="1">BaseYear+1</f>
        <v>2011</v>
      </c>
      <c r="Q46" s="340">
        <v>2</v>
      </c>
      <c r="R46" s="221"/>
      <c r="S46" s="221"/>
      <c r="T46" s="221"/>
      <c r="U46" s="221"/>
      <c r="V46" s="221"/>
    </row>
    <row r="47" spans="1:22">
      <c r="B47" s="190"/>
      <c r="C47" s="347"/>
      <c r="D47" s="5"/>
      <c r="E47" s="5" t="s">
        <v>101</v>
      </c>
      <c r="F47" s="5" t="s">
        <v>37</v>
      </c>
      <c r="G47" s="121"/>
      <c r="H47" s="248"/>
      <c r="I47" s="248"/>
      <c r="J47" s="341"/>
      <c r="K47" s="1"/>
      <c r="L47" s="206"/>
      <c r="M47" s="206"/>
      <c r="N47" s="206"/>
      <c r="O47" s="1"/>
      <c r="P47" s="290"/>
      <c r="Q47" s="354"/>
      <c r="R47" s="222"/>
      <c r="S47" s="222"/>
      <c r="T47" s="222"/>
      <c r="U47" s="222"/>
      <c r="V47" s="222"/>
    </row>
    <row r="48" spans="1:22">
      <c r="B48" s="17" t="str">
        <f>CONCATENATE("FT-",E49,"5")</f>
        <v>FT-TRAGSL5</v>
      </c>
      <c r="C48" s="234" t="s">
        <v>432</v>
      </c>
      <c r="D48" s="116" t="s">
        <v>388</v>
      </c>
      <c r="E48" s="17"/>
      <c r="F48" s="17"/>
      <c r="G48" s="74"/>
      <c r="H48" s="247"/>
      <c r="I48" s="247">
        <v>1</v>
      </c>
      <c r="J48" s="332">
        <v>50</v>
      </c>
      <c r="K48" s="20"/>
      <c r="L48" s="61"/>
      <c r="M48" s="61"/>
      <c r="N48" s="61"/>
      <c r="O48" s="20"/>
      <c r="P48" s="289">
        <f ca="1">BaseYear</f>
        <v>2010</v>
      </c>
      <c r="Q48" s="340">
        <v>3</v>
      </c>
      <c r="R48" s="221"/>
      <c r="S48" s="221"/>
      <c r="T48" s="221"/>
      <c r="U48" s="221"/>
      <c r="V48" s="221"/>
    </row>
    <row r="49" spans="2:22">
      <c r="B49" s="5"/>
      <c r="C49" s="347"/>
      <c r="D49" s="5"/>
      <c r="E49" s="5" t="s">
        <v>172</v>
      </c>
      <c r="F49" s="5" t="s">
        <v>38</v>
      </c>
      <c r="G49" s="121"/>
      <c r="H49" s="248"/>
      <c r="I49" s="248"/>
      <c r="J49" s="341"/>
      <c r="K49" s="1"/>
      <c r="L49" s="206"/>
      <c r="M49" s="206"/>
      <c r="N49" s="206"/>
      <c r="O49" s="1"/>
      <c r="P49" s="290"/>
      <c r="Q49" s="354"/>
      <c r="R49" s="263">
        <f ca="1">1/(1+IEAData2!$H95/MAX(Tiny,IEAData2!$Q95))</f>
        <v>3.03129446766729E-2</v>
      </c>
      <c r="S49" s="263">
        <f ca="1">1/(1+AuxData2!$H95/MAX(Tiny,AuxData2!$Q95))</f>
        <v>8.497307799444051E-2</v>
      </c>
      <c r="T49" s="241"/>
      <c r="U49" s="241"/>
      <c r="V49" s="241"/>
    </row>
    <row r="50" spans="2:22">
      <c r="B50" s="17" t="str">
        <f>CONCATENATE("FT-",E51,"6")</f>
        <v>FT-TRAGSL6</v>
      </c>
      <c r="C50" s="234" t="s">
        <v>453</v>
      </c>
      <c r="D50" s="116" t="s">
        <v>454</v>
      </c>
      <c r="E50" s="17"/>
      <c r="F50" s="17"/>
      <c r="G50" s="74"/>
      <c r="H50" s="247"/>
      <c r="I50" s="247">
        <v>1</v>
      </c>
      <c r="J50" s="342"/>
      <c r="K50" s="20"/>
      <c r="L50" s="61"/>
      <c r="M50" s="61"/>
      <c r="N50" s="61"/>
      <c r="O50" s="20"/>
      <c r="P50" s="289">
        <f ca="1">BaseYear+6</f>
        <v>2016</v>
      </c>
      <c r="Q50" s="340">
        <v>3</v>
      </c>
      <c r="R50" s="221"/>
      <c r="S50" s="221"/>
      <c r="T50" s="221"/>
      <c r="U50" s="221"/>
      <c r="V50" s="221"/>
    </row>
    <row r="51" spans="2:22">
      <c r="B51" s="190"/>
      <c r="C51" s="347"/>
      <c r="D51" s="5"/>
      <c r="E51" s="5" t="s">
        <v>172</v>
      </c>
      <c r="F51" s="5" t="s">
        <v>38</v>
      </c>
      <c r="G51" s="121"/>
      <c r="H51" s="248"/>
      <c r="I51" s="248"/>
      <c r="J51" s="341"/>
      <c r="K51" s="1"/>
      <c r="L51" s="206"/>
      <c r="M51" s="206"/>
      <c r="N51" s="206"/>
      <c r="O51" s="1"/>
      <c r="P51" s="290"/>
      <c r="Q51" s="354"/>
      <c r="R51" s="222"/>
      <c r="S51" s="222"/>
      <c r="T51" s="222"/>
      <c r="U51" s="222"/>
      <c r="V51" s="222"/>
    </row>
    <row r="52" spans="2:22">
      <c r="B52" s="17" t="str">
        <f>CONCATENATE("FT-",E54,"5")</f>
        <v>FT-TRAJTK5</v>
      </c>
      <c r="C52" s="234" t="s">
        <v>328</v>
      </c>
      <c r="D52" s="116" t="s">
        <v>133</v>
      </c>
      <c r="E52" s="17"/>
      <c r="F52" s="17"/>
      <c r="G52" s="216"/>
      <c r="H52" s="247">
        <v>1</v>
      </c>
      <c r="I52" s="247"/>
      <c r="J52" s="332">
        <v>50</v>
      </c>
      <c r="K52" s="20"/>
      <c r="L52" s="61"/>
      <c r="M52" s="61"/>
      <c r="N52" s="61"/>
      <c r="O52" s="20"/>
      <c r="P52" s="289">
        <f ca="1">BaseYear+5</f>
        <v>2015</v>
      </c>
      <c r="Q52" s="340">
        <v>3</v>
      </c>
      <c r="R52" s="221"/>
      <c r="S52" s="221"/>
      <c r="T52" s="221"/>
      <c r="U52" s="221"/>
      <c r="V52" s="221"/>
    </row>
    <row r="53" spans="2:22">
      <c r="B53" s="17"/>
      <c r="C53" s="234"/>
      <c r="D53" s="116" t="s">
        <v>433</v>
      </c>
      <c r="E53" s="17"/>
      <c r="F53" s="17"/>
      <c r="G53" s="216"/>
      <c r="H53" s="247"/>
      <c r="I53" s="247"/>
      <c r="J53" s="342"/>
      <c r="K53" s="20"/>
      <c r="L53" s="61">
        <v>3.3000000000000002E-2</v>
      </c>
      <c r="M53" s="61">
        <v>0.5</v>
      </c>
      <c r="N53" s="61">
        <v>0.7</v>
      </c>
      <c r="O53" s="20"/>
      <c r="P53" s="289"/>
      <c r="Q53" s="340"/>
      <c r="R53" s="221"/>
      <c r="S53" s="221"/>
      <c r="T53" s="221"/>
      <c r="U53" s="221"/>
      <c r="V53" s="221"/>
    </row>
    <row r="54" spans="2:22">
      <c r="B54" s="5"/>
      <c r="C54" s="347"/>
      <c r="D54" s="5"/>
      <c r="E54" s="5" t="s">
        <v>135</v>
      </c>
      <c r="F54" s="5" t="s">
        <v>40</v>
      </c>
      <c r="G54" s="121"/>
      <c r="H54" s="248"/>
      <c r="I54" s="248"/>
      <c r="J54" s="341"/>
      <c r="K54" s="1"/>
      <c r="L54" s="206"/>
      <c r="M54" s="206"/>
      <c r="N54" s="206"/>
      <c r="O54" s="1"/>
      <c r="P54" s="290"/>
      <c r="Q54" s="354"/>
      <c r="R54" s="222"/>
      <c r="S54" s="222"/>
      <c r="T54" s="222"/>
      <c r="U54" s="222"/>
      <c r="V54" s="222"/>
    </row>
    <row r="55" spans="2:22">
      <c r="B55" s="17" t="str">
        <f>CONCATENATE("FT-",E58,"5")</f>
        <v>FT-TRAJET5</v>
      </c>
      <c r="C55" s="234" t="s">
        <v>577</v>
      </c>
      <c r="D55" s="116" t="s">
        <v>133</v>
      </c>
      <c r="E55" s="17"/>
      <c r="F55" s="17"/>
      <c r="G55" s="216"/>
      <c r="H55" s="247">
        <v>1</v>
      </c>
      <c r="I55" s="247"/>
      <c r="J55" s="332">
        <v>50</v>
      </c>
      <c r="K55" s="20"/>
      <c r="L55" s="61"/>
      <c r="M55" s="61"/>
      <c r="N55" s="61"/>
      <c r="O55" s="20"/>
      <c r="P55" s="289"/>
      <c r="Q55" s="340">
        <v>1</v>
      </c>
      <c r="R55" s="221"/>
      <c r="S55" s="221"/>
      <c r="T55" s="221"/>
      <c r="U55" s="221"/>
      <c r="V55" s="221"/>
    </row>
    <row r="56" spans="2:22">
      <c r="B56" s="17"/>
      <c r="C56" s="234"/>
      <c r="D56" s="116" t="s">
        <v>131</v>
      </c>
      <c r="E56" s="17"/>
      <c r="F56" s="17"/>
      <c r="G56" s="216"/>
      <c r="H56" s="247"/>
      <c r="I56" s="265">
        <f ca="1">ROUND(1-1/(1+IEAData2!I75/IEAData2!J75),3)</f>
        <v>0</v>
      </c>
      <c r="J56" s="342"/>
      <c r="K56" s="20"/>
      <c r="L56" s="61"/>
      <c r="M56" s="61"/>
      <c r="N56" s="61"/>
      <c r="O56" s="20"/>
      <c r="P56" s="289"/>
      <c r="Q56" s="340"/>
      <c r="R56" s="221"/>
      <c r="S56" s="221"/>
      <c r="T56" s="246">
        <v>3</v>
      </c>
      <c r="U56" s="246"/>
      <c r="V56" s="246"/>
    </row>
    <row r="57" spans="2:22">
      <c r="B57" s="17"/>
      <c r="C57" s="234"/>
      <c r="D57" s="116" t="s">
        <v>433</v>
      </c>
      <c r="E57" s="17"/>
      <c r="F57" s="17"/>
      <c r="G57" s="216"/>
      <c r="H57" s="247"/>
      <c r="I57" s="247"/>
      <c r="J57" s="342"/>
      <c r="K57" s="20"/>
      <c r="L57" s="61">
        <v>3.3000000000000002E-2</v>
      </c>
      <c r="M57" s="61">
        <v>0.5</v>
      </c>
      <c r="N57" s="61">
        <v>0.7</v>
      </c>
      <c r="O57" s="20"/>
      <c r="P57" s="289"/>
      <c r="Q57" s="340"/>
      <c r="R57" s="221"/>
      <c r="S57" s="221"/>
      <c r="T57" s="221"/>
      <c r="U57" s="221"/>
      <c r="V57" s="221"/>
    </row>
    <row r="58" spans="2:22">
      <c r="B58" s="5"/>
      <c r="C58" s="347"/>
      <c r="D58" s="5"/>
      <c r="E58" s="5" t="s">
        <v>440</v>
      </c>
      <c r="F58" s="5" t="s">
        <v>576</v>
      </c>
      <c r="G58" s="121"/>
      <c r="H58" s="248"/>
      <c r="I58" s="248"/>
      <c r="J58" s="341"/>
      <c r="K58" s="1"/>
      <c r="L58" s="206"/>
      <c r="M58" s="206"/>
      <c r="N58" s="206"/>
      <c r="O58" s="1"/>
      <c r="P58" s="290"/>
      <c r="Q58" s="354"/>
      <c r="R58" s="222"/>
      <c r="S58" s="222"/>
      <c r="T58" s="222"/>
      <c r="U58" s="222"/>
      <c r="V58" s="222"/>
    </row>
    <row r="59" spans="2:22">
      <c r="B59" s="17" t="str">
        <f>CONCATENATE("FT-",E61,"5")</f>
        <v>FT-TRADST5</v>
      </c>
      <c r="C59" s="234" t="s">
        <v>329</v>
      </c>
      <c r="D59" s="116" t="s">
        <v>94</v>
      </c>
      <c r="E59" s="17"/>
      <c r="F59" s="17"/>
      <c r="G59" s="74"/>
      <c r="H59" s="247">
        <v>1</v>
      </c>
      <c r="I59" s="247"/>
      <c r="J59" s="332">
        <v>50</v>
      </c>
      <c r="K59" s="20"/>
      <c r="L59" s="61">
        <v>1</v>
      </c>
      <c r="M59" s="61">
        <v>1</v>
      </c>
      <c r="N59" s="61">
        <v>1</v>
      </c>
      <c r="O59" s="20"/>
      <c r="P59" s="289"/>
      <c r="Q59" s="340">
        <v>2.5</v>
      </c>
      <c r="R59" s="221"/>
      <c r="S59" s="221"/>
      <c r="T59" s="221"/>
      <c r="U59" s="221"/>
      <c r="V59" s="221"/>
    </row>
    <row r="60" spans="2:22">
      <c r="B60" s="17"/>
      <c r="C60" s="234"/>
      <c r="D60" s="116" t="s">
        <v>360</v>
      </c>
      <c r="E60" s="17"/>
      <c r="F60" s="17"/>
      <c r="G60" s="74"/>
      <c r="H60" s="247"/>
      <c r="I60" s="247"/>
      <c r="J60" s="342"/>
      <c r="K60" s="20"/>
      <c r="L60" s="61">
        <f ca="1">AuxData2!$N24/AuxData2!$K45</f>
        <v>0.10282125985562375</v>
      </c>
      <c r="M60" s="61">
        <v>0.7</v>
      </c>
      <c r="N60" s="61">
        <v>0.9</v>
      </c>
      <c r="O60" s="20"/>
      <c r="P60" s="289"/>
      <c r="Q60" s="340"/>
      <c r="R60" s="221"/>
      <c r="S60" s="221"/>
      <c r="T60" s="221"/>
      <c r="U60" s="221"/>
      <c r="V60" s="221"/>
    </row>
    <row r="61" spans="2:22">
      <c r="B61" s="5"/>
      <c r="C61" s="347"/>
      <c r="D61" s="5"/>
      <c r="E61" s="5" t="s">
        <v>104</v>
      </c>
      <c r="F61" s="5" t="s">
        <v>41</v>
      </c>
      <c r="G61" s="121"/>
      <c r="H61" s="248"/>
      <c r="I61" s="248"/>
      <c r="J61" s="341"/>
      <c r="K61" s="1"/>
      <c r="L61" s="206"/>
      <c r="M61" s="206"/>
      <c r="N61" s="206"/>
      <c r="O61" s="1"/>
      <c r="P61" s="290"/>
      <c r="Q61" s="354"/>
      <c r="R61" s="222"/>
      <c r="S61" s="222"/>
      <c r="T61" s="222"/>
      <c r="U61" s="222"/>
      <c r="V61" s="222"/>
    </row>
    <row r="62" spans="2:22">
      <c r="B62" s="17" t="str">
        <f>CONCATENATE("FT-",E63,"5")</f>
        <v>FT-TRADSO5</v>
      </c>
      <c r="C62" s="234" t="s">
        <v>429</v>
      </c>
      <c r="D62" s="116" t="s">
        <v>360</v>
      </c>
      <c r="E62" s="17"/>
      <c r="F62" s="17"/>
      <c r="G62" s="74"/>
      <c r="H62" s="247"/>
      <c r="I62" s="247">
        <v>1</v>
      </c>
      <c r="J62" s="332">
        <v>50</v>
      </c>
      <c r="K62" s="20"/>
      <c r="L62" s="20"/>
      <c r="M62" s="20"/>
      <c r="N62" s="20"/>
      <c r="O62" s="61"/>
      <c r="P62" s="289"/>
      <c r="Q62" s="340">
        <v>2</v>
      </c>
      <c r="R62" s="221"/>
      <c r="S62" s="221"/>
      <c r="T62" s="221"/>
      <c r="U62" s="288">
        <f ca="1">SUM(IEAData2!$N$25:$N$26)</f>
        <v>2.4743987999999999E-3</v>
      </c>
      <c r="V62" s="288">
        <f ca="1">SUM(AuxData2!$N$25:$N$26)</f>
        <v>2.513838E-3</v>
      </c>
    </row>
    <row r="63" spans="2:22">
      <c r="B63" s="190"/>
      <c r="C63" s="347"/>
      <c r="D63" s="5"/>
      <c r="E63" s="5" t="s">
        <v>426</v>
      </c>
      <c r="F63" s="5" t="s">
        <v>430</v>
      </c>
      <c r="G63" s="121"/>
      <c r="H63" s="248"/>
      <c r="I63" s="248"/>
      <c r="J63" s="341"/>
      <c r="K63" s="1"/>
      <c r="L63" s="1"/>
      <c r="M63" s="1"/>
      <c r="N63" s="1"/>
      <c r="O63" s="206"/>
      <c r="P63" s="291"/>
      <c r="Q63" s="354"/>
      <c r="R63" s="5"/>
      <c r="S63" s="5"/>
      <c r="T63" s="5"/>
      <c r="U63" s="5"/>
      <c r="V63" s="5"/>
    </row>
    <row r="64" spans="2:22">
      <c r="B64" s="17" t="str">
        <f>CONCATENATE("FT-",E65,"5")</f>
        <v>FT-TRAHFO5</v>
      </c>
      <c r="C64" s="234" t="s">
        <v>330</v>
      </c>
      <c r="D64" s="116" t="s">
        <v>93</v>
      </c>
      <c r="E64" s="17"/>
      <c r="F64" s="17"/>
      <c r="G64" s="74"/>
      <c r="H64" s="247"/>
      <c r="I64" s="247">
        <v>1</v>
      </c>
      <c r="J64" s="332">
        <v>50</v>
      </c>
      <c r="K64" s="20"/>
      <c r="L64" s="61"/>
      <c r="M64" s="61"/>
      <c r="N64" s="61"/>
      <c r="O64" s="20"/>
      <c r="P64" s="289"/>
      <c r="Q64" s="340">
        <v>2</v>
      </c>
      <c r="R64" s="221"/>
      <c r="S64" s="221"/>
      <c r="T64" s="221"/>
      <c r="U64" s="221"/>
      <c r="V64" s="221"/>
    </row>
    <row r="65" spans="2:22">
      <c r="B65" s="5"/>
      <c r="C65" s="347"/>
      <c r="D65" s="5"/>
      <c r="E65" s="5" t="s">
        <v>103</v>
      </c>
      <c r="F65" s="5" t="s">
        <v>42</v>
      </c>
      <c r="G65" s="121"/>
      <c r="H65" s="248"/>
      <c r="I65" s="248"/>
      <c r="J65" s="341"/>
      <c r="K65" s="1"/>
      <c r="L65" s="206"/>
      <c r="M65" s="206"/>
      <c r="N65" s="206"/>
      <c r="O65" s="1"/>
      <c r="P65" s="291"/>
      <c r="Q65" s="354"/>
      <c r="R65" s="5"/>
      <c r="S65" s="5"/>
      <c r="T65" s="5"/>
      <c r="U65" s="5"/>
      <c r="V65" s="5"/>
    </row>
    <row r="66" spans="2:22">
      <c r="B66" s="17" t="str">
        <f>CONCATENATE("FT-",E67,"5")</f>
        <v>FT-TRAMET5</v>
      </c>
      <c r="C66" s="234" t="s">
        <v>358</v>
      </c>
      <c r="D66" s="116" t="s">
        <v>387</v>
      </c>
      <c r="E66" s="17"/>
      <c r="F66" s="17"/>
      <c r="G66" s="74"/>
      <c r="H66" s="247"/>
      <c r="I66" s="247">
        <v>1</v>
      </c>
      <c r="J66" s="332">
        <v>50</v>
      </c>
      <c r="K66" s="20"/>
      <c r="L66" s="20"/>
      <c r="M66" s="20"/>
      <c r="N66" s="20"/>
      <c r="O66" s="61"/>
      <c r="P66" s="289"/>
      <c r="Q66" s="340">
        <v>3</v>
      </c>
      <c r="R66" s="221"/>
      <c r="S66" s="221"/>
      <c r="T66" s="221"/>
      <c r="U66" s="221"/>
      <c r="V66" s="221"/>
    </row>
    <row r="67" spans="2:22">
      <c r="B67" s="190"/>
      <c r="C67" s="347"/>
      <c r="D67" s="5"/>
      <c r="E67" s="5" t="str">
        <f ca="1">IEAData2!D54</f>
        <v>TRAMET</v>
      </c>
      <c r="F67" s="5" t="s">
        <v>43</v>
      </c>
      <c r="G67" s="121"/>
      <c r="H67" s="248"/>
      <c r="I67" s="248"/>
      <c r="J67" s="341"/>
      <c r="K67" s="1"/>
      <c r="L67" s="1"/>
      <c r="M67" s="1"/>
      <c r="N67" s="1"/>
      <c r="O67" s="206"/>
      <c r="P67" s="291"/>
      <c r="Q67" s="354"/>
      <c r="R67" s="5"/>
      <c r="S67" s="5"/>
      <c r="T67" s="5"/>
      <c r="U67" s="5"/>
      <c r="V67" s="5"/>
    </row>
    <row r="68" spans="2:22">
      <c r="B68" s="17" t="str">
        <f>CONCATENATE("FT-",E69,"5")</f>
        <v>FT-TRAETH5</v>
      </c>
      <c r="C68" s="234" t="s">
        <v>359</v>
      </c>
      <c r="D68" s="116" t="s">
        <v>388</v>
      </c>
      <c r="E68" s="17"/>
      <c r="F68" s="17"/>
      <c r="G68" s="74"/>
      <c r="H68" s="247"/>
      <c r="I68" s="247">
        <v>1</v>
      </c>
      <c r="J68" s="332">
        <v>50</v>
      </c>
      <c r="K68" s="20"/>
      <c r="L68" s="20"/>
      <c r="M68" s="20"/>
      <c r="N68" s="20"/>
      <c r="O68" s="61"/>
      <c r="P68" s="289"/>
      <c r="Q68" s="340">
        <v>3</v>
      </c>
      <c r="R68" s="221"/>
      <c r="S68" s="221"/>
      <c r="T68" s="221"/>
      <c r="U68" s="221"/>
      <c r="V68" s="221"/>
    </row>
    <row r="69" spans="2:22">
      <c r="B69" s="190"/>
      <c r="C69" s="347"/>
      <c r="D69" s="5"/>
      <c r="E69" s="5" t="s">
        <v>163</v>
      </c>
      <c r="F69" s="5" t="s">
        <v>44</v>
      </c>
      <c r="G69" s="121"/>
      <c r="H69" s="248"/>
      <c r="I69" s="248"/>
      <c r="J69" s="341"/>
      <c r="K69" s="1"/>
      <c r="L69" s="1"/>
      <c r="M69" s="1"/>
      <c r="N69" s="1"/>
      <c r="O69" s="206"/>
      <c r="P69" s="291"/>
      <c r="Q69" s="354"/>
      <c r="R69" s="5"/>
      <c r="S69" s="5"/>
      <c r="T69" s="5"/>
      <c r="U69" s="5"/>
      <c r="V69" s="5"/>
    </row>
    <row r="70" spans="2:22">
      <c r="B70" s="17" t="str">
        <f>CONCATENATE("FT-",E74,"5")</f>
        <v>FT-TRAOIL5</v>
      </c>
      <c r="C70" s="234" t="s">
        <v>325</v>
      </c>
      <c r="D70" s="116" t="s">
        <v>94</v>
      </c>
      <c r="E70" s="35"/>
      <c r="F70" s="35"/>
      <c r="G70" s="141">
        <f ca="1">IF(IEAData2!K94&gt;0,1/(1+SUM(IEAData2!G94:J94)/IEAData2!K94),0)</f>
        <v>1</v>
      </c>
      <c r="H70" s="344">
        <v>1</v>
      </c>
      <c r="I70" s="251"/>
      <c r="J70" s="280"/>
      <c r="K70" s="92"/>
      <c r="L70" s="92">
        <f>1-L72-L73+0.01</f>
        <v>0.93906429332028851</v>
      </c>
      <c r="M70" s="92">
        <f>L70</f>
        <v>0.93906429332028851</v>
      </c>
      <c r="N70" s="92">
        <f>M70</f>
        <v>0.93906429332028851</v>
      </c>
      <c r="O70" s="92"/>
      <c r="P70" s="289"/>
      <c r="Q70" s="343">
        <v>1</v>
      </c>
      <c r="R70" s="252"/>
      <c r="S70" s="252"/>
      <c r="T70" s="252"/>
      <c r="U70" s="252"/>
      <c r="V70" s="252"/>
    </row>
    <row r="71" spans="2:22">
      <c r="B71" s="17"/>
      <c r="C71" s="234"/>
      <c r="D71" s="116" t="s">
        <v>96</v>
      </c>
      <c r="E71" s="35"/>
      <c r="F71" s="35"/>
      <c r="G71" s="141"/>
      <c r="H71" s="251"/>
      <c r="I71" s="251"/>
      <c r="J71" s="280"/>
      <c r="K71" s="92"/>
      <c r="L71" s="92"/>
      <c r="M71" s="92"/>
      <c r="N71" s="92"/>
      <c r="O71" s="92"/>
      <c r="P71" s="289"/>
      <c r="Q71" s="343"/>
      <c r="R71" s="252"/>
      <c r="S71" s="252"/>
      <c r="T71" s="252"/>
      <c r="U71" s="252"/>
      <c r="V71" s="252"/>
    </row>
    <row r="72" spans="2:22">
      <c r="B72" s="17"/>
      <c r="C72" s="234"/>
      <c r="D72" s="116" t="s">
        <v>450</v>
      </c>
      <c r="E72" s="35"/>
      <c r="F72" s="35"/>
      <c r="G72" s="141">
        <v>0</v>
      </c>
      <c r="H72" s="251"/>
      <c r="I72" s="251"/>
      <c r="J72" s="280"/>
      <c r="K72" s="92"/>
      <c r="L72" s="92">
        <f ca="1">AuxData2!F94/(AuxData2!$N94-AuxData2!$L94)</f>
        <v>6.0935706679711529E-2</v>
      </c>
      <c r="M72" s="92">
        <v>0.65</v>
      </c>
      <c r="N72" s="92">
        <v>0.9</v>
      </c>
      <c r="O72" s="92"/>
      <c r="P72" s="289"/>
      <c r="Q72" s="343"/>
      <c r="R72" s="252"/>
      <c r="S72" s="252"/>
      <c r="T72" s="252"/>
      <c r="U72" s="252"/>
      <c r="V72" s="252"/>
    </row>
    <row r="73" spans="2:22">
      <c r="B73" s="35"/>
      <c r="C73" s="348"/>
      <c r="D73" s="35" t="s">
        <v>360</v>
      </c>
      <c r="E73" s="35"/>
      <c r="F73" s="35"/>
      <c r="G73" s="141">
        <v>0</v>
      </c>
      <c r="H73" s="251"/>
      <c r="I73" s="251"/>
      <c r="J73" s="280"/>
      <c r="K73" s="92"/>
      <c r="L73" s="92">
        <v>0.01</v>
      </c>
      <c r="M73" s="92">
        <v>0.7</v>
      </c>
      <c r="N73" s="92">
        <v>0.9</v>
      </c>
      <c r="O73" s="92"/>
      <c r="P73" s="292"/>
      <c r="Q73" s="343"/>
      <c r="R73" s="252"/>
      <c r="S73" s="252"/>
      <c r="T73" s="252"/>
      <c r="U73" s="252"/>
      <c r="V73" s="252"/>
    </row>
    <row r="74" spans="2:22">
      <c r="B74" s="5"/>
      <c r="C74" s="347"/>
      <c r="D74" s="5"/>
      <c r="E74" s="5" t="s">
        <v>442</v>
      </c>
      <c r="F74" s="5" t="s">
        <v>443</v>
      </c>
      <c r="G74" s="121"/>
      <c r="H74" s="122"/>
      <c r="I74" s="122"/>
      <c r="J74" s="341"/>
      <c r="K74" s="206"/>
      <c r="L74" s="206"/>
      <c r="M74" s="206"/>
      <c r="N74" s="206"/>
      <c r="O74" s="206"/>
      <c r="P74" s="293"/>
      <c r="Q74" s="354"/>
      <c r="R74" s="209"/>
      <c r="S74" s="209"/>
      <c r="T74" s="209"/>
      <c r="U74" s="209"/>
      <c r="V74" s="209"/>
    </row>
    <row r="75" spans="2:22">
      <c r="B75" s="17" t="str">
        <f>CONCATENATE("FT-",E76,"5")</f>
        <v>FT-TRALNG5</v>
      </c>
      <c r="C75" s="234" t="s">
        <v>578</v>
      </c>
      <c r="D75" s="116" t="s">
        <v>450</v>
      </c>
      <c r="E75" s="17"/>
      <c r="F75" s="17"/>
      <c r="G75" s="74"/>
      <c r="H75" s="247"/>
      <c r="I75" s="247">
        <v>1</v>
      </c>
      <c r="J75" s="280">
        <v>50</v>
      </c>
      <c r="K75" s="92"/>
      <c r="L75" s="92"/>
      <c r="M75" s="92"/>
      <c r="N75" s="92"/>
      <c r="O75" s="343">
        <v>0.5</v>
      </c>
      <c r="P75" s="292"/>
      <c r="Q75" s="343">
        <v>1</v>
      </c>
      <c r="R75" s="252"/>
      <c r="S75" s="252"/>
      <c r="T75" s="252"/>
      <c r="U75" s="252"/>
      <c r="V75" s="252"/>
    </row>
    <row r="76" spans="2:22">
      <c r="B76" s="190"/>
      <c r="C76" s="347"/>
      <c r="D76" s="5"/>
      <c r="E76" s="5" t="s">
        <v>573</v>
      </c>
      <c r="F76" s="5" t="s">
        <v>574</v>
      </c>
      <c r="G76" s="121"/>
      <c r="H76" s="248"/>
      <c r="I76" s="248"/>
      <c r="J76" s="341"/>
      <c r="K76" s="1"/>
      <c r="L76" s="1"/>
      <c r="M76" s="1"/>
      <c r="N76" s="1"/>
      <c r="O76" s="206"/>
      <c r="P76" s="291"/>
      <c r="Q76" s="354"/>
      <c r="R76" s="5"/>
      <c r="S76" s="5"/>
      <c r="T76" s="5"/>
      <c r="U76" s="5"/>
      <c r="V76" s="5"/>
    </row>
    <row r="77" spans="2:22">
      <c r="B77" s="17" t="str">
        <f>CONCATENATE("FT-",E79,"0")</f>
        <v>FT-TRAHH20</v>
      </c>
      <c r="C77" s="349" t="s">
        <v>539</v>
      </c>
      <c r="D77" s="329" t="s">
        <v>569</v>
      </c>
      <c r="E77" s="328"/>
      <c r="F77" s="330"/>
      <c r="G77" s="331"/>
      <c r="H77" s="337">
        <v>1</v>
      </c>
      <c r="I77" s="331"/>
      <c r="J77" s="332">
        <v>50</v>
      </c>
      <c r="K77" s="332"/>
      <c r="L77" s="27"/>
      <c r="M77" s="27"/>
      <c r="N77" s="27"/>
      <c r="O77" s="332">
        <v>1</v>
      </c>
      <c r="P77" s="289">
        <f ca="1">BaseYear+10</f>
        <v>2020</v>
      </c>
      <c r="Q77" s="343">
        <v>3</v>
      </c>
      <c r="R77" s="289"/>
      <c r="S77" s="289"/>
      <c r="T77" s="289"/>
      <c r="U77" s="289"/>
      <c r="V77" s="289"/>
    </row>
    <row r="78" spans="2:22">
      <c r="B78" s="328"/>
      <c r="C78" s="349"/>
      <c r="D78" s="329" t="s">
        <v>541</v>
      </c>
      <c r="E78" s="328"/>
      <c r="F78" s="333"/>
      <c r="G78" s="331"/>
      <c r="H78" s="333"/>
      <c r="I78" s="331"/>
      <c r="J78" s="332"/>
      <c r="K78" s="27"/>
      <c r="L78" s="27"/>
      <c r="M78" s="27"/>
      <c r="N78" s="27"/>
      <c r="O78" s="27"/>
      <c r="P78" s="289"/>
      <c r="Q78" s="92"/>
      <c r="R78" s="252"/>
      <c r="S78" s="252"/>
      <c r="T78" s="252"/>
      <c r="U78" s="252"/>
      <c r="V78" s="252"/>
    </row>
    <row r="79" spans="2:22">
      <c r="B79" s="190"/>
      <c r="C79" s="350"/>
      <c r="D79" s="334"/>
      <c r="E79" s="334" t="s">
        <v>542</v>
      </c>
      <c r="F79" s="335" t="s">
        <v>543</v>
      </c>
      <c r="G79" s="336"/>
      <c r="H79" s="335"/>
      <c r="I79" s="336"/>
      <c r="J79" s="336"/>
      <c r="K79" s="336"/>
      <c r="L79" s="336"/>
      <c r="M79" s="336"/>
      <c r="N79" s="336"/>
      <c r="O79" s="336"/>
      <c r="P79" s="336"/>
      <c r="Q79" s="336"/>
      <c r="R79" s="336"/>
      <c r="S79" s="336"/>
      <c r="T79" s="336"/>
      <c r="U79" s="336"/>
      <c r="V79" s="336"/>
    </row>
    <row r="80" spans="2:22">
      <c r="B80" s="217"/>
      <c r="C80" s="217"/>
      <c r="D80" s="217"/>
      <c r="E80" s="217"/>
      <c r="F80" s="217"/>
      <c r="G80" s="217"/>
      <c r="H80" s="217"/>
      <c r="I80" s="217"/>
      <c r="J80" s="217"/>
      <c r="K80" s="217"/>
      <c r="L80" s="217"/>
      <c r="M80" s="217"/>
      <c r="N80" s="217"/>
      <c r="O80" s="217"/>
      <c r="P80" s="217"/>
      <c r="Q80" s="217"/>
      <c r="R80" s="217"/>
      <c r="S80" s="217"/>
      <c r="T80" s="217"/>
      <c r="U80" s="217"/>
    </row>
    <row r="81" spans="2:21">
      <c r="B81" s="217"/>
      <c r="C81" s="217"/>
      <c r="D81" s="217"/>
      <c r="E81" s="217"/>
      <c r="F81" s="217"/>
      <c r="G81" s="217"/>
      <c r="H81" s="217"/>
      <c r="I81" s="217"/>
      <c r="J81" s="217"/>
      <c r="K81" s="217"/>
      <c r="L81" s="217"/>
      <c r="M81" s="217"/>
      <c r="N81" s="217"/>
      <c r="O81" s="217"/>
      <c r="P81" s="217"/>
      <c r="Q81" s="217"/>
      <c r="R81" s="217"/>
      <c r="S81" s="217"/>
      <c r="T81" s="217"/>
      <c r="U81" s="217"/>
    </row>
    <row r="82" spans="2:21">
      <c r="B82" s="217"/>
      <c r="C82" s="217"/>
      <c r="D82" s="217"/>
      <c r="E82" s="217"/>
      <c r="F82" s="217"/>
      <c r="G82" s="217"/>
      <c r="H82" s="217"/>
      <c r="I82" s="217"/>
      <c r="J82" s="217"/>
      <c r="K82" s="217"/>
      <c r="L82" s="217"/>
      <c r="M82" s="217"/>
      <c r="N82" s="217"/>
      <c r="O82" s="217"/>
      <c r="P82" s="217"/>
      <c r="Q82" s="217"/>
      <c r="R82" s="217"/>
      <c r="S82" s="217"/>
      <c r="T82" s="217"/>
      <c r="U82" s="217"/>
    </row>
    <row r="83" spans="2:21">
      <c r="B83" s="217"/>
      <c r="C83" s="217"/>
      <c r="D83" s="217"/>
      <c r="E83" s="217"/>
      <c r="F83" s="217"/>
      <c r="G83" s="217"/>
      <c r="H83" s="217"/>
      <c r="I83" s="217"/>
      <c r="J83" s="217"/>
      <c r="K83" s="217"/>
      <c r="L83" s="217"/>
      <c r="M83" s="217"/>
      <c r="N83" s="217"/>
      <c r="O83" s="217"/>
      <c r="P83" s="217"/>
      <c r="Q83" s="217"/>
      <c r="R83" s="217"/>
      <c r="S83" s="217"/>
      <c r="T83" s="217"/>
      <c r="U83" s="217"/>
    </row>
    <row r="84" spans="2:21">
      <c r="B84" s="217"/>
      <c r="C84" s="217"/>
      <c r="D84" s="217"/>
      <c r="E84" s="217"/>
      <c r="F84" s="217"/>
      <c r="G84" s="217"/>
      <c r="H84" s="217"/>
      <c r="I84" s="217"/>
      <c r="J84" s="217"/>
      <c r="K84" s="217"/>
      <c r="L84" s="217"/>
      <c r="M84" s="217"/>
      <c r="N84" s="217"/>
      <c r="O84" s="217"/>
      <c r="P84" s="217"/>
      <c r="Q84" s="217"/>
      <c r="R84" s="217"/>
      <c r="S84" s="217"/>
      <c r="T84" s="217"/>
      <c r="U84" s="217"/>
    </row>
    <row r="85" spans="2:21">
      <c r="B85" s="217"/>
      <c r="C85" s="217"/>
      <c r="D85" s="217"/>
      <c r="E85" s="217"/>
      <c r="F85" s="217"/>
      <c r="G85" s="217"/>
      <c r="H85" s="217"/>
      <c r="I85" s="217"/>
      <c r="J85" s="217"/>
      <c r="K85" s="217"/>
      <c r="L85" s="217"/>
      <c r="M85" s="217"/>
      <c r="N85" s="217"/>
      <c r="O85" s="217"/>
      <c r="P85" s="217"/>
      <c r="Q85" s="217"/>
      <c r="R85" s="217"/>
      <c r="S85" s="217"/>
      <c r="T85" s="217"/>
      <c r="U85" s="217"/>
    </row>
    <row r="86" spans="2:21">
      <c r="B86" s="217"/>
      <c r="C86" s="217"/>
      <c r="D86" s="217"/>
      <c r="E86" s="217"/>
      <c r="F86" s="217"/>
      <c r="G86" s="217"/>
      <c r="H86" s="217"/>
      <c r="I86" s="217"/>
      <c r="J86" s="217"/>
      <c r="K86" s="217"/>
      <c r="L86" s="217"/>
      <c r="M86" s="217"/>
      <c r="N86" s="217"/>
      <c r="O86" s="217"/>
      <c r="P86" s="217"/>
      <c r="Q86" s="217"/>
      <c r="R86" s="217"/>
      <c r="S86" s="217"/>
      <c r="T86" s="217"/>
      <c r="U86" s="217"/>
    </row>
    <row r="87" spans="2:21">
      <c r="B87" s="217"/>
      <c r="C87" s="217"/>
      <c r="D87" s="217"/>
      <c r="E87" s="217"/>
      <c r="F87" s="217"/>
      <c r="G87" s="217"/>
      <c r="H87" s="217"/>
      <c r="I87" s="217"/>
      <c r="J87" s="217"/>
      <c r="K87" s="217"/>
      <c r="L87" s="217"/>
      <c r="M87" s="217"/>
      <c r="N87" s="217"/>
      <c r="O87" s="217"/>
      <c r="P87" s="217"/>
      <c r="Q87" s="217"/>
      <c r="R87" s="217"/>
      <c r="S87" s="217"/>
      <c r="T87" s="217"/>
      <c r="U87" s="217"/>
    </row>
    <row r="88" spans="2:21">
      <c r="B88" s="217"/>
      <c r="C88" s="217"/>
      <c r="D88" s="217"/>
      <c r="E88" s="217"/>
      <c r="F88" s="217"/>
      <c r="G88" s="217"/>
      <c r="H88" s="217"/>
      <c r="I88" s="217"/>
      <c r="J88" s="217"/>
      <c r="K88" s="217"/>
      <c r="L88" s="217"/>
      <c r="M88" s="217"/>
      <c r="N88" s="217"/>
      <c r="O88" s="217"/>
      <c r="P88" s="217"/>
      <c r="Q88" s="217"/>
      <c r="R88" s="217"/>
      <c r="S88" s="217"/>
      <c r="T88" s="217"/>
      <c r="U88" s="217"/>
    </row>
    <row r="89" spans="2:21">
      <c r="B89" s="217"/>
      <c r="C89" s="217"/>
      <c r="D89" s="217"/>
      <c r="E89" s="217"/>
      <c r="F89" s="217"/>
      <c r="G89" s="217"/>
      <c r="H89" s="217"/>
      <c r="I89" s="217"/>
      <c r="J89" s="217"/>
      <c r="K89" s="217"/>
      <c r="L89" s="217"/>
      <c r="M89" s="217"/>
      <c r="N89" s="217"/>
      <c r="O89" s="217"/>
      <c r="P89" s="217"/>
      <c r="Q89" s="217"/>
      <c r="R89" s="217"/>
      <c r="S89" s="217"/>
      <c r="T89" s="217"/>
      <c r="U89" s="217"/>
    </row>
    <row r="90" spans="2:21">
      <c r="B90" s="217"/>
      <c r="C90" s="217"/>
      <c r="D90" s="217"/>
      <c r="E90" s="217"/>
      <c r="F90" s="217"/>
      <c r="G90" s="217"/>
      <c r="H90" s="217"/>
      <c r="I90" s="217"/>
      <c r="J90" s="217"/>
      <c r="K90" s="217"/>
      <c r="L90" s="217"/>
      <c r="M90" s="217"/>
      <c r="N90" s="217"/>
      <c r="O90" s="217"/>
      <c r="P90" s="217"/>
      <c r="Q90" s="217"/>
      <c r="R90" s="217"/>
      <c r="S90" s="217"/>
      <c r="T90" s="217"/>
      <c r="U90" s="217"/>
    </row>
    <row r="91" spans="2:21">
      <c r="B91" s="217"/>
      <c r="C91" s="217"/>
      <c r="D91" s="217"/>
      <c r="E91" s="217"/>
      <c r="F91" s="217"/>
      <c r="G91" s="217"/>
      <c r="H91" s="217"/>
      <c r="I91" s="217"/>
      <c r="J91" s="217"/>
      <c r="K91" s="217"/>
      <c r="L91" s="217"/>
      <c r="M91" s="217"/>
      <c r="N91" s="217"/>
      <c r="O91" s="217"/>
      <c r="P91" s="217"/>
      <c r="Q91" s="217"/>
      <c r="R91" s="217"/>
      <c r="S91" s="217"/>
      <c r="T91" s="217"/>
      <c r="U91" s="217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8"/>
  <dimension ref="A1:Z71"/>
  <sheetViews>
    <sheetView topLeftCell="A36" zoomScale="85" workbookViewId="0">
      <selection activeCell="I59" sqref="I59"/>
    </sheetView>
  </sheetViews>
  <sheetFormatPr defaultRowHeight="12.75"/>
  <cols>
    <col min="1" max="1" width="7" customWidth="1"/>
    <col min="2" max="2" width="12.85546875" customWidth="1"/>
    <col min="3" max="3" width="34.140625" customWidth="1"/>
    <col min="7" max="7" width="11.5703125" customWidth="1"/>
    <col min="20" max="20" width="7.85546875" customWidth="1"/>
    <col min="21" max="26" width="6.5703125" customWidth="1"/>
  </cols>
  <sheetData>
    <row r="1" spans="1:26" ht="18">
      <c r="A1" s="14" t="s">
        <v>477</v>
      </c>
    </row>
    <row r="2" spans="1:26">
      <c r="D2" s="193"/>
    </row>
    <row r="3" spans="1:26">
      <c r="B3" s="18"/>
      <c r="C3" s="19"/>
      <c r="D3" s="193"/>
    </row>
    <row r="4" spans="1:26" ht="18">
      <c r="B4" s="100" t="s">
        <v>287</v>
      </c>
      <c r="C4" s="101"/>
      <c r="D4" s="302" t="str">
        <f>"~FI_T: "&amp;Region</f>
        <v>~FI_T: FIM</v>
      </c>
      <c r="E4" s="60"/>
    </row>
    <row r="5" spans="1:26" ht="39" thickBot="1">
      <c r="A5" s="129"/>
      <c r="B5" s="55" t="s">
        <v>297</v>
      </c>
      <c r="C5" s="55" t="s">
        <v>298</v>
      </c>
      <c r="D5" s="55" t="s">
        <v>296</v>
      </c>
      <c r="E5" s="56" t="str">
        <f ca="1">CONCATENATE("\I:",IEAData2!$D$2," final energy")</f>
        <v>\I:2010 final energy</v>
      </c>
      <c r="F5" s="56" t="str">
        <f ca="1">CONCATENATE("\I:",AuxYear," final energy")</f>
        <v>\I:2017 final energy</v>
      </c>
      <c r="G5" s="56" t="s">
        <v>335</v>
      </c>
      <c r="H5" s="56" t="s">
        <v>308</v>
      </c>
      <c r="I5" s="56" t="str">
        <f ca="1">"EFF~"&amp;AuxYear</f>
        <v>EFF~2017</v>
      </c>
      <c r="J5" s="130" t="s">
        <v>55</v>
      </c>
      <c r="K5" s="56" t="str">
        <f ca="1">CONCATENATE("\I:",IEAData2!$D$2," Service Demand")</f>
        <v>\I:2010 Service Demand</v>
      </c>
      <c r="L5" s="56" t="str">
        <f ca="1">CONCATENATE("\I:",AuxYear," Service Demand")</f>
        <v>\I:2017 Service Demand</v>
      </c>
      <c r="M5" s="56" t="s">
        <v>56</v>
      </c>
      <c r="N5" s="56" t="s">
        <v>59</v>
      </c>
      <c r="O5" s="56" t="s">
        <v>343</v>
      </c>
      <c r="P5" s="56" t="str">
        <f ca="1">"RESID~"&amp;AuxYear</f>
        <v>RESID~2017</v>
      </c>
      <c r="Q5" s="56" t="str">
        <f ca="1">"RESID~"&amp;CEILING(AuxYear+2,5)</f>
        <v>RESID~2020</v>
      </c>
      <c r="R5" s="56" t="str">
        <f ca="1">"RESID~"&amp;CEILING(AuxYear+7,5)</f>
        <v>RESID~2025</v>
      </c>
      <c r="S5" s="56" t="str">
        <f ca="1">"RESID~"&amp;CEILING(AuxYear+12,5)</f>
        <v>RESID~2030</v>
      </c>
      <c r="U5" s="272" t="s">
        <v>468</v>
      </c>
      <c r="V5" s="272" t="s">
        <v>469</v>
      </c>
      <c r="W5" s="272" t="s">
        <v>471</v>
      </c>
      <c r="X5" s="272" t="s">
        <v>472</v>
      </c>
      <c r="Y5" s="272" t="s">
        <v>473</v>
      </c>
      <c r="Z5" s="272" t="s">
        <v>474</v>
      </c>
    </row>
    <row r="6" spans="1:26" ht="13.5" thickBot="1">
      <c r="A6" s="129"/>
      <c r="B6" s="278" t="s">
        <v>470</v>
      </c>
      <c r="C6" s="150"/>
      <c r="D6" s="150"/>
      <c r="E6" s="151"/>
      <c r="F6" s="151"/>
      <c r="G6" s="150"/>
      <c r="H6" s="150"/>
      <c r="I6" s="150"/>
      <c r="J6" s="150"/>
      <c r="K6" s="151"/>
      <c r="L6" s="151"/>
      <c r="M6" s="150"/>
      <c r="N6" s="150"/>
      <c r="O6" s="151"/>
      <c r="P6" s="151"/>
      <c r="Q6" s="150"/>
      <c r="R6" s="151"/>
      <c r="S6" s="151"/>
      <c r="U6" s="275"/>
      <c r="V6" s="275"/>
      <c r="W6" s="275"/>
      <c r="X6" s="275"/>
      <c r="Y6" s="275"/>
      <c r="Z6" s="275"/>
    </row>
    <row r="7" spans="1:26">
      <c r="A7" s="131"/>
      <c r="B7" s="201" t="s">
        <v>180</v>
      </c>
      <c r="C7" s="132" t="s">
        <v>0</v>
      </c>
      <c r="D7" s="35" t="str">
        <f ca="1">IEAData2!H$51</f>
        <v>TRAGSL</v>
      </c>
      <c r="E7" s="32">
        <f ca="1">IEAData2!$H$78+IEAData2!$Q$78</f>
        <v>7.0346332420083133</v>
      </c>
      <c r="F7" s="32">
        <f ca="1">AuxData2!$H$78+AuxData2!$Q$78</f>
        <v>7.0481847710406855</v>
      </c>
      <c r="G7" s="228">
        <f ca="1">$U7+MATCH(D7,OFFSET(CalibData2!$B$3,$U7,0,7),0)-1</f>
        <v>71</v>
      </c>
      <c r="H7" s="113">
        <f ca="1">OFFSET(CalibData2!N$3,$G7,0)*OFFSET(CalibData2!N$117,$V7,0)</f>
        <v>0.45303082453804822</v>
      </c>
      <c r="I7" s="113">
        <f ca="1">OFFSET(CalibData2!O$3,$G7,0)*OFFSET(CalibData2!O$117,$V7,0)</f>
        <v>0.48129692619262121</v>
      </c>
      <c r="J7" s="58">
        <v>1</v>
      </c>
      <c r="K7" s="133">
        <f ca="1">E7*H7</f>
        <v>3.1869056979497894</v>
      </c>
      <c r="L7" s="133">
        <f t="shared" ref="L7:L13" ca="1" si="0">F7*I7</f>
        <v>3.3922696655395255</v>
      </c>
      <c r="M7" s="134">
        <f ca="1">OFFSET(CalibData2!$E$117,$V7,0)</f>
        <v>17.5</v>
      </c>
      <c r="N7" s="134">
        <f ca="1">OFFSET(CalibData2!$D$117,$V7,0)</f>
        <v>15</v>
      </c>
      <c r="O7" s="147">
        <f t="shared" ref="O7:P13" ca="1" si="1">K7/$M7</f>
        <v>0.18210889702570224</v>
      </c>
      <c r="P7" s="147">
        <f t="shared" ca="1" si="1"/>
        <v>0.19384398088797289</v>
      </c>
      <c r="Q7" s="135"/>
      <c r="R7" s="147">
        <f ca="1">$P7*W7</f>
        <v>9.6921990443986444E-2</v>
      </c>
      <c r="S7" s="147">
        <f ca="1">$P7*X7</f>
        <v>3.8768796177594579E-2</v>
      </c>
      <c r="U7" s="274">
        <f ca="1">IF(B6="*",MATCH(LEFT(B7,3),OFFSET(CalibData2!$C$3,1,0,200),0),U6)</f>
        <v>71</v>
      </c>
      <c r="V7" s="274">
        <f ca="1">IF(B6="*",MATCH(LEFT($B7,3),OFFSET(CalibData2!$B$117,1,0,10),0),V6)</f>
        <v>1</v>
      </c>
      <c r="W7" s="274">
        <v>0.5</v>
      </c>
      <c r="X7" s="274">
        <v>0.2</v>
      </c>
      <c r="Y7" s="276"/>
      <c r="Z7" s="276"/>
    </row>
    <row r="8" spans="1:26">
      <c r="A8" s="131"/>
      <c r="B8" s="201" t="s">
        <v>173</v>
      </c>
      <c r="C8" s="132" t="s">
        <v>1</v>
      </c>
      <c r="D8" s="35" t="str">
        <f ca="1">IEAData2!K$51</f>
        <v>TRADST</v>
      </c>
      <c r="E8" s="262">
        <f ca="1">IEAData2!$K$78</f>
        <v>3.8868160122281328</v>
      </c>
      <c r="F8" s="262">
        <f ca="1">AuxData2!$K$78</f>
        <v>3.7264355698821077</v>
      </c>
      <c r="G8" s="228">
        <f ca="1">$U8+MATCH(D8,OFFSET(CalibData2!$B$3,$U8,0,7),0)-1</f>
        <v>72</v>
      </c>
      <c r="H8" s="113">
        <f ca="1">OFFSET(CalibData2!N$3,$G8,0)*OFFSET(CalibData2!N$117,$V8,0)</f>
        <v>0.43817438218466587</v>
      </c>
      <c r="I8" s="113">
        <f ca="1">OFFSET(CalibData2!O$3,$G8,0)*OFFSET(CalibData2!O$117,$V8,0)</f>
        <v>0.45174500758933012</v>
      </c>
      <c r="J8" s="58">
        <v>1</v>
      </c>
      <c r="K8" s="133">
        <f t="shared" ref="K8:K13" ca="1" si="2">E8*H8</f>
        <v>1.7031032048235288</v>
      </c>
      <c r="L8" s="133">
        <f t="shared" ca="1" si="0"/>
        <v>1.6833986647975425</v>
      </c>
      <c r="M8" s="134">
        <f ca="1">OFFSET(CalibData2!$E$117,$V8,0)</f>
        <v>17.5</v>
      </c>
      <c r="N8" s="134">
        <f ca="1">OFFSET(CalibData2!$D$117,$V8,0)</f>
        <v>15</v>
      </c>
      <c r="O8" s="147">
        <f t="shared" ca="1" si="1"/>
        <v>9.7320183132773075E-2</v>
      </c>
      <c r="P8" s="147">
        <f t="shared" ca="1" si="1"/>
        <v>9.6194209417002435E-2</v>
      </c>
      <c r="Q8" s="96"/>
      <c r="R8" s="147">
        <f t="shared" ref="R8:R13" ca="1" si="3">$P8*W8</f>
        <v>4.8097104708501218E-2</v>
      </c>
      <c r="S8" s="147">
        <f t="shared" ref="S8:S13" ca="1" si="4">$P8*X8</f>
        <v>1.9238841883400488E-2</v>
      </c>
      <c r="U8" s="274">
        <f ca="1">IF(B7="*",MATCH(LEFT(B8,3),OFFSET(CalibData2!$C$3,1,0,200),0),U7)</f>
        <v>71</v>
      </c>
      <c r="V8" s="274">
        <f ca="1">IF(B7="*",MATCH(LEFT($B8,3),OFFSET(CalibData2!$B$117,1,0,10),0),V7)</f>
        <v>1</v>
      </c>
      <c r="W8" s="274">
        <v>0.5</v>
      </c>
      <c r="X8" s="274">
        <v>0.2</v>
      </c>
      <c r="Y8" s="276"/>
      <c r="Z8" s="276"/>
    </row>
    <row r="9" spans="1:26">
      <c r="A9" s="131"/>
      <c r="B9" s="201" t="s">
        <v>174</v>
      </c>
      <c r="C9" s="132" t="s">
        <v>2</v>
      </c>
      <c r="D9" s="35" t="str">
        <f ca="1">IEAData2!G$51</f>
        <v>TRALPG</v>
      </c>
      <c r="E9" s="32">
        <f ca="1">IEAData2!$G$78</f>
        <v>0</v>
      </c>
      <c r="F9" s="32">
        <f ca="1">AuxData2!$G$78</f>
        <v>0</v>
      </c>
      <c r="G9" s="228">
        <f ca="1">$U9+MATCH(D9,OFFSET(CalibData2!$B$3,$U9,0,7),0)-1</f>
        <v>73</v>
      </c>
      <c r="H9" s="113">
        <f ca="1">OFFSET(CalibData2!N$3,$G9,0)*OFFSET(CalibData2!N$117,$V9,0)</f>
        <v>0.45303082453804822</v>
      </c>
      <c r="I9" s="113">
        <f ca="1">OFFSET(CalibData2!O$3,$G9,0)*OFFSET(CalibData2!O$117,$V9,0)</f>
        <v>0.48129692619262121</v>
      </c>
      <c r="J9" s="58">
        <v>1</v>
      </c>
      <c r="K9" s="133">
        <f t="shared" ca="1" si="2"/>
        <v>0</v>
      </c>
      <c r="L9" s="133">
        <f t="shared" ca="1" si="0"/>
        <v>0</v>
      </c>
      <c r="M9" s="134">
        <f ca="1">OFFSET(CalibData2!$E$117,$V9,0)</f>
        <v>17.5</v>
      </c>
      <c r="N9" s="134">
        <f ca="1">OFFSET(CalibData2!$D$117,$V9,0)</f>
        <v>15</v>
      </c>
      <c r="O9" s="147">
        <f t="shared" ca="1" si="1"/>
        <v>0</v>
      </c>
      <c r="P9" s="147">
        <f t="shared" ca="1" si="1"/>
        <v>0</v>
      </c>
      <c r="Q9" s="96"/>
      <c r="R9" s="147">
        <f t="shared" ca="1" si="3"/>
        <v>0</v>
      </c>
      <c r="S9" s="147">
        <f t="shared" ca="1" si="4"/>
        <v>0</v>
      </c>
      <c r="U9" s="274">
        <f ca="1">IF(B8="*",MATCH(LEFT(B9,3),OFFSET(CalibData2!$C$3,1,0,200),0),U8)</f>
        <v>71</v>
      </c>
      <c r="V9" s="274">
        <f ca="1">IF(B8="*",MATCH(LEFT($B9,3),OFFSET(CalibData2!$B$117,1,0,10),0),V8)</f>
        <v>1</v>
      </c>
      <c r="W9" s="274">
        <v>0.5</v>
      </c>
      <c r="X9" s="274">
        <v>0.2</v>
      </c>
      <c r="Y9" s="276"/>
      <c r="Z9" s="276"/>
    </row>
    <row r="10" spans="1:26">
      <c r="A10" s="131"/>
      <c r="B10" s="202" t="s">
        <v>175</v>
      </c>
      <c r="C10" s="132" t="s">
        <v>3</v>
      </c>
      <c r="D10" s="35" t="str">
        <f ca="1">IEAData2!F$51</f>
        <v>TRANGA</v>
      </c>
      <c r="E10" s="70">
        <f ca="1">IEAData2!$F$78</f>
        <v>8.8707913390231631E-3</v>
      </c>
      <c r="F10" s="70">
        <f ca="1">AuxData2!$F$78</f>
        <v>5.1066370969548398E-3</v>
      </c>
      <c r="G10" s="228">
        <f ca="1">$U10+MATCH(D10,OFFSET(CalibData2!$B$3,$U10,0,7),0)-1</f>
        <v>74</v>
      </c>
      <c r="H10" s="113">
        <f ca="1">OFFSET(CalibData2!N$3,$G10,0)*OFFSET(CalibData2!N$117,$V10,0)</f>
        <v>0.45303082453804822</v>
      </c>
      <c r="I10" s="113">
        <f ca="1">OFFSET(CalibData2!O$3,$G10,0)*OFFSET(CalibData2!O$117,$V10,0)</f>
        <v>0.48129692619262121</v>
      </c>
      <c r="J10" s="136">
        <v>1</v>
      </c>
      <c r="K10" s="133">
        <f t="shared" ca="1" si="2"/>
        <v>4.0187419146226408E-3</v>
      </c>
      <c r="L10" s="133">
        <f t="shared" ca="1" si="0"/>
        <v>2.457808737945575E-3</v>
      </c>
      <c r="M10" s="134">
        <f ca="1">OFFSET(CalibData2!$E$117,$V10,0)</f>
        <v>17.5</v>
      </c>
      <c r="N10" s="134">
        <f ca="1">OFFSET(CalibData2!$D$117,$V10,0)</f>
        <v>15</v>
      </c>
      <c r="O10" s="147">
        <f t="shared" ca="1" si="1"/>
        <v>2.2964239512129376E-4</v>
      </c>
      <c r="P10" s="147">
        <f t="shared" ca="1" si="1"/>
        <v>1.4044621359689E-4</v>
      </c>
      <c r="Q10" s="96"/>
      <c r="R10" s="147">
        <f t="shared" ca="1" si="3"/>
        <v>7.0223106798445001E-5</v>
      </c>
      <c r="S10" s="147">
        <f t="shared" ca="1" si="4"/>
        <v>2.8089242719378001E-5</v>
      </c>
      <c r="U10" s="274">
        <f ca="1">IF(B9="*",MATCH(LEFT(B10,3),OFFSET(CalibData2!$C$3,1,0,200),0),U9)</f>
        <v>71</v>
      </c>
      <c r="V10" s="274">
        <f ca="1">IF(B9="*",MATCH(LEFT($B10,3),OFFSET(CalibData2!$B$117,1,0,10),0),V9)</f>
        <v>1</v>
      </c>
      <c r="W10" s="274">
        <v>0.5</v>
      </c>
      <c r="X10" s="274">
        <v>0.2</v>
      </c>
      <c r="Y10" s="276"/>
      <c r="Z10" s="276"/>
    </row>
    <row r="11" spans="1:26">
      <c r="A11" s="131"/>
      <c r="B11" s="201" t="s">
        <v>176</v>
      </c>
      <c r="C11" s="132" t="s">
        <v>4</v>
      </c>
      <c r="D11" s="35" t="str">
        <f ca="1">COMM2!$C$30</f>
        <v>TRDELC</v>
      </c>
      <c r="E11" s="32">
        <f ca="1">IEAData2!M78</f>
        <v>0</v>
      </c>
      <c r="F11" s="32">
        <f ca="1">AuxData2!$M78</f>
        <v>6.6690660784387464E-3</v>
      </c>
      <c r="G11" s="228">
        <f ca="1">$U11+MATCH(D11,OFFSET(CalibData2!$B$3,$U11,0,7),0)-1</f>
        <v>75</v>
      </c>
      <c r="H11" s="113">
        <f ca="1">OFFSET(CalibData2!N$3,$G11,0)*OFFSET(CalibData2!N$117,$V11,0)</f>
        <v>1.3888888888888886</v>
      </c>
      <c r="I11" s="113">
        <f ca="1">OFFSET(CalibData2!O$3,$G11,0)*OFFSET(CalibData2!O$117,$V11,0)</f>
        <v>1.3240362465599365</v>
      </c>
      <c r="J11" s="58">
        <v>1</v>
      </c>
      <c r="K11" s="133">
        <f t="shared" ca="1" si="2"/>
        <v>0</v>
      </c>
      <c r="L11" s="133">
        <f t="shared" ca="1" si="0"/>
        <v>8.8300852185562318E-3</v>
      </c>
      <c r="M11" s="134">
        <f ca="1">OFFSET(CalibData2!$E$117,$V11,0)</f>
        <v>17.5</v>
      </c>
      <c r="N11" s="134">
        <f ca="1">OFFSET(CalibData2!$D$117,$V11,0)</f>
        <v>15</v>
      </c>
      <c r="O11" s="147">
        <f t="shared" ca="1" si="1"/>
        <v>0</v>
      </c>
      <c r="P11" s="147">
        <f t="shared" ca="1" si="1"/>
        <v>5.0457629820321328E-4</v>
      </c>
      <c r="Q11" s="96"/>
      <c r="R11" s="147">
        <f t="shared" ca="1" si="3"/>
        <v>2.5228814910160664E-4</v>
      </c>
      <c r="S11" s="147">
        <f t="shared" ca="1" si="4"/>
        <v>1.0091525964064266E-4</v>
      </c>
      <c r="U11" s="274">
        <f ca="1">IF(B10="*",MATCH(LEFT(B11,3),OFFSET(CalibData2!$C$3,1,0,200),0),U10)</f>
        <v>71</v>
      </c>
      <c r="V11" s="274">
        <f ca="1">IF(B10="*",MATCH(LEFT($B11,3),OFFSET(CalibData2!$B$117,1,0,10),0),V10)</f>
        <v>1</v>
      </c>
      <c r="W11" s="274">
        <v>0.5</v>
      </c>
      <c r="X11" s="274">
        <v>0.2</v>
      </c>
      <c r="Y11" s="276"/>
      <c r="Z11" s="276"/>
    </row>
    <row r="12" spans="1:26">
      <c r="A12" s="131"/>
      <c r="B12" s="201" t="s">
        <v>177</v>
      </c>
      <c r="C12" s="132" t="s">
        <v>5</v>
      </c>
      <c r="D12" s="35" t="str">
        <f ca="1">IEAData2!D54</f>
        <v>TRAMET</v>
      </c>
      <c r="E12" s="70">
        <f ca="1">IEAData2!D78</f>
        <v>0</v>
      </c>
      <c r="F12" s="70">
        <f ca="1">AuxData2!$D78</f>
        <v>0</v>
      </c>
      <c r="G12" s="228">
        <f ca="1">$U12+MATCH(D12,OFFSET(CalibData2!$B$3,$U12,0,7),0)-1</f>
        <v>76</v>
      </c>
      <c r="H12" s="113">
        <f ca="1">OFFSET(CalibData2!N$3,$G12,0)*OFFSET(CalibData2!N$117,$V12,0)</f>
        <v>0.45303082453804822</v>
      </c>
      <c r="I12" s="113">
        <f ca="1">OFFSET(CalibData2!O$3,$G12,0)*OFFSET(CalibData2!O$117,$V12,0)</f>
        <v>0.48129692619262121</v>
      </c>
      <c r="J12" s="58">
        <v>1</v>
      </c>
      <c r="K12" s="133">
        <f t="shared" ca="1" si="2"/>
        <v>0</v>
      </c>
      <c r="L12" s="133">
        <f t="shared" ca="1" si="0"/>
        <v>0</v>
      </c>
      <c r="M12" s="134">
        <f ca="1">OFFSET(CalibData2!$E$117,$V12,0)</f>
        <v>17.5</v>
      </c>
      <c r="N12" s="134">
        <f ca="1">OFFSET(CalibData2!$D$117,$V12,0)</f>
        <v>15</v>
      </c>
      <c r="O12" s="147">
        <f t="shared" ca="1" si="1"/>
        <v>0</v>
      </c>
      <c r="P12" s="147">
        <f t="shared" ca="1" si="1"/>
        <v>0</v>
      </c>
      <c r="Q12" s="96"/>
      <c r="R12" s="147">
        <f t="shared" ca="1" si="3"/>
        <v>0</v>
      </c>
      <c r="S12" s="147">
        <f t="shared" ca="1" si="4"/>
        <v>0</v>
      </c>
      <c r="U12" s="274">
        <f ca="1">IF(B11="*",MATCH(LEFT(B12,3),OFFSET(CalibData2!$C$3,1,0,200),0),U11)</f>
        <v>71</v>
      </c>
      <c r="V12" s="274">
        <f ca="1">IF(B11="*",MATCH(LEFT($B12,3),OFFSET(CalibData2!$B$117,1,0,10),0),V11)</f>
        <v>1</v>
      </c>
      <c r="W12" s="274">
        <v>0.5</v>
      </c>
      <c r="X12" s="274">
        <v>0.2</v>
      </c>
      <c r="Y12" s="276"/>
      <c r="Z12" s="276"/>
    </row>
    <row r="13" spans="1:26">
      <c r="A13" s="131"/>
      <c r="B13" s="202" t="s">
        <v>178</v>
      </c>
      <c r="C13" s="132" t="s">
        <v>6</v>
      </c>
      <c r="D13" s="35" t="str">
        <f ca="1">IEAData2!E54</f>
        <v>TRAETH</v>
      </c>
      <c r="E13" s="70">
        <f ca="1">IEAData2!$P$78</f>
        <v>0</v>
      </c>
      <c r="F13" s="70">
        <f ca="1">AuxData2!$P$78</f>
        <v>0.13493771779797897</v>
      </c>
      <c r="G13" s="228">
        <f ca="1">$U13+MATCH(D13,OFFSET(CalibData2!$B$3,$U13,0,7),0)-1</f>
        <v>77</v>
      </c>
      <c r="H13" s="113">
        <f ca="1">OFFSET(CalibData2!N$3,$G13,0)*OFFSET(CalibData2!N$117,$V13,0)</f>
        <v>0.45303082453804822</v>
      </c>
      <c r="I13" s="113">
        <f ca="1">OFFSET(CalibData2!O$3,$G13,0)*OFFSET(CalibData2!O$117,$V13,0)</f>
        <v>0.48129692619262121</v>
      </c>
      <c r="J13" s="136">
        <v>1</v>
      </c>
      <c r="K13" s="133">
        <f t="shared" ca="1" si="2"/>
        <v>0</v>
      </c>
      <c r="L13" s="133">
        <f t="shared" ca="1" si="0"/>
        <v>6.4945108803614635E-2</v>
      </c>
      <c r="M13" s="134">
        <f ca="1">OFFSET(CalibData2!$E$117,$V13,0)</f>
        <v>17.5</v>
      </c>
      <c r="N13" s="134">
        <f ca="1">OFFSET(CalibData2!$D$117,$V13,0)</f>
        <v>15</v>
      </c>
      <c r="O13" s="147">
        <f t="shared" ca="1" si="1"/>
        <v>0</v>
      </c>
      <c r="P13" s="147">
        <f t="shared" ca="1" si="1"/>
        <v>3.7111490744922647E-3</v>
      </c>
      <c r="Q13" s="96"/>
      <c r="R13" s="147">
        <f t="shared" ca="1" si="3"/>
        <v>1.8555745372461324E-3</v>
      </c>
      <c r="S13" s="147">
        <f t="shared" ca="1" si="4"/>
        <v>7.4222981489845304E-4</v>
      </c>
      <c r="U13" s="274">
        <f ca="1">IF(B12="*",MATCH(LEFT(B13,3),OFFSET(CalibData2!$C$3,1,0,200),0),U12)</f>
        <v>71</v>
      </c>
      <c r="V13" s="274">
        <f ca="1">IF(B12="*",MATCH(LEFT($B13,3),OFFSET(CalibData2!$B$117,1,0,10),0),V12)</f>
        <v>1</v>
      </c>
      <c r="W13" s="274">
        <v>0.5</v>
      </c>
      <c r="X13" s="274">
        <v>0.2</v>
      </c>
      <c r="Y13" s="276"/>
      <c r="Z13" s="276"/>
    </row>
    <row r="14" spans="1:26" ht="13.5" thickBot="1">
      <c r="B14" s="278" t="s">
        <v>470</v>
      </c>
      <c r="C14" s="150" t="str">
        <f>LEFT(B13,3)</f>
        <v>TRT</v>
      </c>
      <c r="D14" s="150"/>
      <c r="E14" s="151">
        <f ca="1">SUM(E7:E13)</f>
        <v>10.930320045575469</v>
      </c>
      <c r="F14" s="151">
        <f ca="1">SUM(F7:F13)</f>
        <v>10.921333761896165</v>
      </c>
      <c r="G14" s="150"/>
      <c r="H14" s="150"/>
      <c r="I14" s="150"/>
      <c r="J14" s="150"/>
      <c r="K14" s="151">
        <f ca="1">SUM(K7:K13)</f>
        <v>4.8940276446879407</v>
      </c>
      <c r="L14" s="151">
        <f ca="1">SUM(L7:L13)</f>
        <v>5.151901333097185</v>
      </c>
      <c r="M14" s="150"/>
      <c r="N14" s="150"/>
      <c r="O14" s="151">
        <f ca="1">SUM(O7:O13)</f>
        <v>0.27965872255359664</v>
      </c>
      <c r="P14" s="151">
        <f ca="1">SUM(P7:P13)</f>
        <v>0.29439436189126772</v>
      </c>
      <c r="Q14" s="150"/>
      <c r="R14" s="151"/>
      <c r="S14" s="151"/>
      <c r="U14" s="275"/>
      <c r="V14" s="275"/>
      <c r="W14" s="275"/>
      <c r="X14" s="275"/>
      <c r="Y14" s="275"/>
      <c r="Z14" s="275"/>
    </row>
    <row r="15" spans="1:26">
      <c r="B15" s="201" t="s">
        <v>119</v>
      </c>
      <c r="C15" s="132" t="s">
        <v>14</v>
      </c>
      <c r="D15" s="35" t="str">
        <f ca="1">IEAData2!H$51</f>
        <v>TRAGSL</v>
      </c>
      <c r="E15" s="57">
        <f ca="1">IEAData2!H81</f>
        <v>0</v>
      </c>
      <c r="F15" s="57">
        <f ca="1">AuxData2!$H81</f>
        <v>0</v>
      </c>
      <c r="G15" s="228">
        <f ca="1">$U15+MATCH(D15,OFFSET(CalibData2!$B$3,$U15,0,7),0)-1</f>
        <v>78</v>
      </c>
      <c r="H15" s="113">
        <f ca="1">OFFSET(CalibData2!N$3,$G15,0)*OFFSET(CalibData2!N$117,$V15,0)</f>
        <v>8.6104845926598741E-2</v>
      </c>
      <c r="I15" s="113">
        <f ca="1">OFFSET(CalibData2!O$3,$G15,0)*OFFSET(CalibData2!O$117,$V15,0)</f>
        <v>7.041980234215553E-2</v>
      </c>
      <c r="J15" s="58">
        <v>1</v>
      </c>
      <c r="K15" s="133">
        <f ca="1">E15*H15</f>
        <v>0</v>
      </c>
      <c r="L15" s="133">
        <f t="shared" ref="L15:L21" ca="1" si="5">F15*I15</f>
        <v>0</v>
      </c>
      <c r="M15" s="134">
        <f ca="1">OFFSET(CalibData2!$E$117,$V15,0)</f>
        <v>65</v>
      </c>
      <c r="N15" s="134">
        <f ca="1">OFFSET(CalibData2!$D$117,$V15,0)</f>
        <v>15</v>
      </c>
      <c r="O15" s="147">
        <f t="shared" ref="O15:P21" ca="1" si="6">K15/$M15</f>
        <v>0</v>
      </c>
      <c r="P15" s="147">
        <f t="shared" ca="1" si="6"/>
        <v>0</v>
      </c>
      <c r="Q15" s="135"/>
      <c r="R15" s="147">
        <f t="shared" ref="R15:S21" ca="1" si="7">$P15*W15</f>
        <v>0</v>
      </c>
      <c r="S15" s="147">
        <f t="shared" ca="1" si="7"/>
        <v>0</v>
      </c>
      <c r="U15" s="274">
        <f ca="1">IF(B30="*",MATCH(LEFT(B15,3),OFFSET(CalibData2!$C$3,1,0,200),0),U30)</f>
        <v>78</v>
      </c>
      <c r="V15" s="274">
        <f ca="1">IF(B30="*",MATCH(LEFT($B15,3),OFFSET(CalibData2!$B$117,1,0,10),0),V30)</f>
        <v>3</v>
      </c>
      <c r="W15" s="274">
        <v>0.5</v>
      </c>
      <c r="X15" s="274">
        <v>0.2</v>
      </c>
      <c r="Y15" s="276"/>
      <c r="Z15" s="276"/>
    </row>
    <row r="16" spans="1:26">
      <c r="B16" s="201" t="s">
        <v>120</v>
      </c>
      <c r="C16" s="132" t="s">
        <v>15</v>
      </c>
      <c r="D16" s="35" t="str">
        <f ca="1">IEAData2!K$51</f>
        <v>TRADST</v>
      </c>
      <c r="E16" s="57">
        <f ca="1">IEAData2!K81</f>
        <v>1.5031731381685713</v>
      </c>
      <c r="F16" s="57">
        <f ca="1">AuxData2!$K81</f>
        <v>1.394854797509629</v>
      </c>
      <c r="G16" s="228">
        <f ca="1">$U16+MATCH(D16,OFFSET(CalibData2!$B$3,$U16,0,7),0)-1</f>
        <v>79</v>
      </c>
      <c r="H16" s="113">
        <f ca="1">OFFSET(CalibData2!N$3,$G16,0)*OFFSET(CalibData2!N$117,$V16,0)</f>
        <v>8.6104845926598741E-2</v>
      </c>
      <c r="I16" s="113">
        <f ca="1">OFFSET(CalibData2!O$3,$G16,0)*OFFSET(CalibData2!O$117,$V16,0)</f>
        <v>7.041980234215553E-2</v>
      </c>
      <c r="J16" s="58">
        <v>1</v>
      </c>
      <c r="K16" s="133">
        <f t="shared" ref="K16:K21" ca="1" si="8">E16*H16</f>
        <v>0.12943049146300675</v>
      </c>
      <c r="L16" s="133">
        <f t="shared" ca="1" si="5"/>
        <v>9.8225399136635458E-2</v>
      </c>
      <c r="M16" s="134">
        <f ca="1">OFFSET(CalibData2!$E$117,$V16,0)</f>
        <v>65</v>
      </c>
      <c r="N16" s="134">
        <f ca="1">OFFSET(CalibData2!$D$117,$V16,0)</f>
        <v>15</v>
      </c>
      <c r="O16" s="147">
        <f t="shared" ca="1" si="6"/>
        <v>1.991238330200104E-3</v>
      </c>
      <c r="P16" s="147">
        <f t="shared" ca="1" si="6"/>
        <v>1.5111599867174686E-3</v>
      </c>
      <c r="Q16" s="96"/>
      <c r="R16" s="147">
        <f t="shared" ca="1" si="7"/>
        <v>7.5557999335873428E-4</v>
      </c>
      <c r="S16" s="147">
        <f t="shared" ca="1" si="7"/>
        <v>3.0223199734349373E-4</v>
      </c>
      <c r="U16" s="274">
        <f ca="1">IF(B15="*",MATCH(LEFT(B16,3),OFFSET(CalibData2!$C$3,1,0,200),0),U15)</f>
        <v>78</v>
      </c>
      <c r="V16" s="274">
        <f ca="1">IF(B15="*",MATCH(LEFT($B16,3),OFFSET(CalibData2!$B$117,1,0,10),0),V15)</f>
        <v>3</v>
      </c>
      <c r="W16" s="274">
        <v>0.5</v>
      </c>
      <c r="X16" s="274">
        <v>0.2</v>
      </c>
      <c r="Y16" s="276"/>
      <c r="Z16" s="276"/>
    </row>
    <row r="17" spans="2:26">
      <c r="B17" s="201" t="s">
        <v>121</v>
      </c>
      <c r="C17" s="132" t="s">
        <v>16</v>
      </c>
      <c r="D17" s="35" t="str">
        <f ca="1">IEAData2!G$51</f>
        <v>TRALPG</v>
      </c>
      <c r="E17" s="57">
        <f ca="1">IEAData2!G81</f>
        <v>0</v>
      </c>
      <c r="F17" s="57">
        <f ca="1">AuxData2!$G81</f>
        <v>0</v>
      </c>
      <c r="G17" s="228">
        <f ca="1">$U17+MATCH(D17,OFFSET(CalibData2!$B$3,$U17,0,7),0)-1</f>
        <v>80</v>
      </c>
      <c r="H17" s="113">
        <f ca="1">OFFSET(CalibData2!N$3,$G17,0)*OFFSET(CalibData2!N$117,$V17,0)</f>
        <v>8.6104845926598741E-2</v>
      </c>
      <c r="I17" s="113">
        <f ca="1">OFFSET(CalibData2!O$3,$G17,0)*OFFSET(CalibData2!O$117,$V17,0)</f>
        <v>7.041980234215553E-2</v>
      </c>
      <c r="J17" s="58">
        <v>1</v>
      </c>
      <c r="K17" s="133">
        <f t="shared" ca="1" si="8"/>
        <v>0</v>
      </c>
      <c r="L17" s="133">
        <f t="shared" ca="1" si="5"/>
        <v>0</v>
      </c>
      <c r="M17" s="134">
        <f ca="1">OFFSET(CalibData2!$E$117,$V17,0)</f>
        <v>65</v>
      </c>
      <c r="N17" s="134">
        <f ca="1">OFFSET(CalibData2!$D$117,$V17,0)</f>
        <v>15</v>
      </c>
      <c r="O17" s="147">
        <f t="shared" ca="1" si="6"/>
        <v>0</v>
      </c>
      <c r="P17" s="147">
        <f t="shared" ca="1" si="6"/>
        <v>0</v>
      </c>
      <c r="Q17" s="96"/>
      <c r="R17" s="147">
        <f t="shared" ca="1" si="7"/>
        <v>0</v>
      </c>
      <c r="S17" s="147">
        <f t="shared" ca="1" si="7"/>
        <v>0</v>
      </c>
      <c r="U17" s="274">
        <f ca="1">IF(B16="*",MATCH(LEFT(B17,3),OFFSET(CalibData2!$C$3,1,0,200),0),U16)</f>
        <v>78</v>
      </c>
      <c r="V17" s="274">
        <f ca="1">IF(B16="*",MATCH(LEFT($B17,3),OFFSET(CalibData2!$B$117,1,0,10),0),V16)</f>
        <v>3</v>
      </c>
      <c r="W17" s="274">
        <v>0.5</v>
      </c>
      <c r="X17" s="274">
        <v>0.2</v>
      </c>
      <c r="Y17" s="276"/>
      <c r="Z17" s="276"/>
    </row>
    <row r="18" spans="2:26">
      <c r="B18" s="202" t="s">
        <v>122</v>
      </c>
      <c r="C18" s="132" t="s">
        <v>17</v>
      </c>
      <c r="D18" s="35" t="str">
        <f ca="1">IEAData2!F$51</f>
        <v>TRANGA</v>
      </c>
      <c r="E18" s="71">
        <f ca="1">IEAData2!F81</f>
        <v>1.446324674840733E-2</v>
      </c>
      <c r="F18" s="71">
        <f ca="1">AuxData2!$F81</f>
        <v>1.8006294271020226E-2</v>
      </c>
      <c r="G18" s="228">
        <f ca="1">$U18+MATCH(D18,OFFSET(CalibData2!$B$3,$U18,0,7),0)-1</f>
        <v>81</v>
      </c>
      <c r="H18" s="113">
        <f ca="1">OFFSET(CalibData2!N$3,$G18,0)*OFFSET(CalibData2!N$117,$V18,0)</f>
        <v>8.6104845926598741E-2</v>
      </c>
      <c r="I18" s="113">
        <f ca="1">OFFSET(CalibData2!O$3,$G18,0)*OFFSET(CalibData2!O$117,$V18,0)</f>
        <v>7.041980234215553E-2</v>
      </c>
      <c r="J18" s="136">
        <v>1</v>
      </c>
      <c r="K18" s="133">
        <f t="shared" ca="1" si="8"/>
        <v>1.2453556328699935E-3</v>
      </c>
      <c r="L18" s="133">
        <f t="shared" ca="1" si="5"/>
        <v>1.2679996834799318E-3</v>
      </c>
      <c r="M18" s="134">
        <f ca="1">OFFSET(CalibData2!$E$117,$V18,0)</f>
        <v>65</v>
      </c>
      <c r="N18" s="134">
        <f ca="1">OFFSET(CalibData2!$D$117,$V18,0)</f>
        <v>15</v>
      </c>
      <c r="O18" s="147">
        <f t="shared" ca="1" si="6"/>
        <v>1.9159317428769129E-5</v>
      </c>
      <c r="P18" s="147">
        <f t="shared" ca="1" si="6"/>
        <v>1.9507687438152797E-5</v>
      </c>
      <c r="Q18" s="96"/>
      <c r="R18" s="147">
        <f t="shared" ca="1" si="7"/>
        <v>9.7538437190763985E-6</v>
      </c>
      <c r="S18" s="147">
        <f t="shared" ca="1" si="7"/>
        <v>3.9015374876305592E-6</v>
      </c>
      <c r="U18" s="274">
        <f ca="1">IF(B17="*",MATCH(LEFT(B18,3),OFFSET(CalibData2!$C$3,1,0,200),0),U17)</f>
        <v>78</v>
      </c>
      <c r="V18" s="274">
        <f ca="1">IF(B17="*",MATCH(LEFT($B18,3),OFFSET(CalibData2!$B$117,1,0,10),0),V17)</f>
        <v>3</v>
      </c>
      <c r="W18" s="274">
        <v>0.5</v>
      </c>
      <c r="X18" s="274">
        <v>0.2</v>
      </c>
      <c r="Y18" s="276"/>
      <c r="Z18" s="276"/>
    </row>
    <row r="19" spans="2:26">
      <c r="B19" s="202" t="s">
        <v>123</v>
      </c>
      <c r="C19" s="132" t="s">
        <v>18</v>
      </c>
      <c r="D19" s="35" t="str">
        <f ca="1">COMM2!$C$30</f>
        <v>TRDELC</v>
      </c>
      <c r="E19" s="71">
        <f ca="1">IEAData2!M81</f>
        <v>0</v>
      </c>
      <c r="F19" s="71">
        <f ca="1">AuxData2!$M81</f>
        <v>3.8924621148920001E-4</v>
      </c>
      <c r="G19" s="228">
        <f ca="1">$U19+MATCH(D19,OFFSET(CalibData2!$B$3,$U19,0,7),0)-1</f>
        <v>82</v>
      </c>
      <c r="H19" s="113">
        <f ca="1">OFFSET(CalibData2!N$3,$G19,0)*OFFSET(CalibData2!N$117,$V19,0)</f>
        <v>0.30632519518898255</v>
      </c>
      <c r="I19" s="113">
        <f ca="1">OFFSET(CalibData2!O$3,$G19,0)*OFFSET(CalibData2!O$117,$V19,0)</f>
        <v>0.19018682451601901</v>
      </c>
      <c r="J19" s="58">
        <v>1</v>
      </c>
      <c r="K19" s="133">
        <f t="shared" ca="1" si="8"/>
        <v>0</v>
      </c>
      <c r="L19" s="133">
        <f t="shared" ca="1" si="5"/>
        <v>7.4029500918021708E-5</v>
      </c>
      <c r="M19" s="134">
        <f ca="1">OFFSET(CalibData2!$E$117,$V19,0)</f>
        <v>65</v>
      </c>
      <c r="N19" s="134">
        <f ca="1">OFFSET(CalibData2!$D$117,$V19,0)</f>
        <v>15</v>
      </c>
      <c r="O19" s="147">
        <f t="shared" ca="1" si="6"/>
        <v>0</v>
      </c>
      <c r="P19" s="147">
        <f t="shared" ca="1" si="6"/>
        <v>1.1389153987387954E-6</v>
      </c>
      <c r="Q19" s="96"/>
      <c r="R19" s="147">
        <f t="shared" ca="1" si="7"/>
        <v>5.6945769936939772E-7</v>
      </c>
      <c r="S19" s="147">
        <f t="shared" ca="1" si="7"/>
        <v>2.2778307974775909E-7</v>
      </c>
      <c r="U19" s="274">
        <f ca="1">IF(B18="*",MATCH(LEFT(B19,3),OFFSET(CalibData2!$C$3,1,0,200),0),U18)</f>
        <v>78</v>
      </c>
      <c r="V19" s="274">
        <f ca="1">IF(B18="*",MATCH(LEFT($B19,3),OFFSET(CalibData2!$B$117,1,0,10),0),V18)</f>
        <v>3</v>
      </c>
      <c r="W19" s="274">
        <v>0.5</v>
      </c>
      <c r="X19" s="274">
        <v>0.2</v>
      </c>
      <c r="Y19" s="276"/>
      <c r="Z19" s="276"/>
    </row>
    <row r="20" spans="2:26">
      <c r="B20" s="202" t="s">
        <v>166</v>
      </c>
      <c r="C20" s="132" t="s">
        <v>19</v>
      </c>
      <c r="D20" s="35" t="str">
        <f ca="1">IEAData2!$D$54</f>
        <v>TRAMET</v>
      </c>
      <c r="E20" s="71">
        <f ca="1">IEAData2!$D$81</f>
        <v>0</v>
      </c>
      <c r="F20" s="71">
        <f ca="1">AuxData2!$D$81</f>
        <v>0</v>
      </c>
      <c r="G20" s="228">
        <f ca="1">$U20+MATCH(D20,OFFSET(CalibData2!$B$3,$U20,0,7),0)-1</f>
        <v>83</v>
      </c>
      <c r="H20" s="113">
        <f ca="1">OFFSET(CalibData2!N$3,$G20,0)*OFFSET(CalibData2!N$117,$V20,0)</f>
        <v>8.6104845926598741E-2</v>
      </c>
      <c r="I20" s="113">
        <f ca="1">OFFSET(CalibData2!O$3,$G20,0)*OFFSET(CalibData2!O$117,$V20,0)</f>
        <v>7.041980234215553E-2</v>
      </c>
      <c r="J20" s="58">
        <v>1</v>
      </c>
      <c r="K20" s="133">
        <f t="shared" ca="1" si="8"/>
        <v>0</v>
      </c>
      <c r="L20" s="133">
        <f t="shared" ca="1" si="5"/>
        <v>0</v>
      </c>
      <c r="M20" s="134">
        <f ca="1">OFFSET(CalibData2!$E$117,$V20,0)</f>
        <v>65</v>
      </c>
      <c r="N20" s="134">
        <f ca="1">OFFSET(CalibData2!$D$117,$V20,0)</f>
        <v>15</v>
      </c>
      <c r="O20" s="147">
        <f t="shared" ca="1" si="6"/>
        <v>0</v>
      </c>
      <c r="P20" s="147">
        <f t="shared" ca="1" si="6"/>
        <v>0</v>
      </c>
      <c r="Q20" s="96"/>
      <c r="R20" s="147">
        <f t="shared" ca="1" si="7"/>
        <v>0</v>
      </c>
      <c r="S20" s="147">
        <f t="shared" ca="1" si="7"/>
        <v>0</v>
      </c>
      <c r="U20" s="274">
        <f ca="1">IF(B19="*",MATCH(LEFT(B20,3),OFFSET(CalibData2!$C$3,1,0,200),0),U19)</f>
        <v>78</v>
      </c>
      <c r="V20" s="274">
        <f ca="1">IF(B19="*",MATCH(LEFT($B20,3),OFFSET(CalibData2!$B$117,1,0,10),0),V19)</f>
        <v>3</v>
      </c>
      <c r="W20" s="274">
        <v>0.5</v>
      </c>
      <c r="X20" s="274">
        <v>0.2</v>
      </c>
      <c r="Y20" s="276"/>
      <c r="Z20" s="276"/>
    </row>
    <row r="21" spans="2:26" ht="13.5" thickBot="1">
      <c r="B21" s="203" t="s">
        <v>167</v>
      </c>
      <c r="C21" s="137" t="s">
        <v>20</v>
      </c>
      <c r="D21" s="28" t="str">
        <f ca="1">IEAData2!$E$54</f>
        <v>TRAETH</v>
      </c>
      <c r="E21" s="59">
        <f ca="1">IEAData2!$E$81</f>
        <v>0</v>
      </c>
      <c r="F21" s="59">
        <f ca="1">AuxData2!$E$81</f>
        <v>0</v>
      </c>
      <c r="G21" s="228">
        <f ca="1">$U21+MATCH(D21,OFFSET(CalibData2!$B$3,$U21,0,7),0)-1</f>
        <v>84</v>
      </c>
      <c r="H21" s="113">
        <f ca="1">OFFSET(CalibData2!N$3,$G21,0)*OFFSET(CalibData2!N$117,$V21,0)</f>
        <v>8.6104845926598741E-2</v>
      </c>
      <c r="I21" s="113">
        <f ca="1">OFFSET(CalibData2!O$3,$G21,0)*OFFSET(CalibData2!O$117,$V21,0)</f>
        <v>7.041980234215553E-2</v>
      </c>
      <c r="J21" s="136">
        <v>1</v>
      </c>
      <c r="K21" s="133">
        <f t="shared" ca="1" si="8"/>
        <v>0</v>
      </c>
      <c r="L21" s="133">
        <f t="shared" ca="1" si="5"/>
        <v>0</v>
      </c>
      <c r="M21" s="134">
        <f ca="1">OFFSET(CalibData2!$E$117,$V21,0)</f>
        <v>65</v>
      </c>
      <c r="N21" s="134">
        <f ca="1">OFFSET(CalibData2!$D$117,$V21,0)</f>
        <v>15</v>
      </c>
      <c r="O21" s="147">
        <f t="shared" ca="1" si="6"/>
        <v>0</v>
      </c>
      <c r="P21" s="147">
        <f t="shared" ca="1" si="6"/>
        <v>0</v>
      </c>
      <c r="Q21" s="96"/>
      <c r="R21" s="147">
        <f t="shared" ca="1" si="7"/>
        <v>0</v>
      </c>
      <c r="S21" s="147">
        <f t="shared" ca="1" si="7"/>
        <v>0</v>
      </c>
      <c r="U21" s="274">
        <f ca="1">IF(B20="*",MATCH(LEFT(B21,3),OFFSET(CalibData2!$C$3,1,0,200),0),U20)</f>
        <v>78</v>
      </c>
      <c r="V21" s="274">
        <f ca="1">IF(B20="*",MATCH(LEFT($B21,3),OFFSET(CalibData2!$B$117,1,0,10),0),V20)</f>
        <v>3</v>
      </c>
      <c r="W21" s="274">
        <v>0.5</v>
      </c>
      <c r="X21" s="274">
        <v>0.2</v>
      </c>
      <c r="Y21" s="276"/>
      <c r="Z21" s="276"/>
    </row>
    <row r="22" spans="2:26" ht="13.5" thickBot="1">
      <c r="B22" s="278" t="s">
        <v>470</v>
      </c>
      <c r="C22" s="150" t="str">
        <f>LEFT(B21,3)</f>
        <v>TRB</v>
      </c>
      <c r="D22" s="150"/>
      <c r="E22" s="151">
        <f ca="1">SUM(E15:E21)</f>
        <v>1.5176363849169787</v>
      </c>
      <c r="F22" s="151">
        <f ca="1">SUM(F15:F21)</f>
        <v>1.4132503379921384</v>
      </c>
      <c r="G22" s="150"/>
      <c r="H22" s="150"/>
      <c r="I22" s="150"/>
      <c r="J22" s="150"/>
      <c r="K22" s="151">
        <f ca="1">SUM(K15:K21)</f>
        <v>0.13067584709587673</v>
      </c>
      <c r="L22" s="151">
        <f ca="1">SUM(L15:L21)</f>
        <v>9.9567428321033408E-2</v>
      </c>
      <c r="M22" s="150"/>
      <c r="N22" s="150"/>
      <c r="O22" s="151">
        <f ca="1">SUM(O15:O21)</f>
        <v>2.010397647628873E-3</v>
      </c>
      <c r="P22" s="151">
        <f ca="1">SUM(P15:P21)</f>
        <v>1.5318065895543601E-3</v>
      </c>
      <c r="Q22" s="150"/>
      <c r="R22" s="151"/>
      <c r="S22" s="151"/>
      <c r="U22" s="275"/>
      <c r="V22" s="275"/>
      <c r="W22" s="275"/>
      <c r="X22" s="275"/>
      <c r="Y22" s="275"/>
      <c r="Z22" s="275"/>
    </row>
    <row r="23" spans="2:26">
      <c r="B23" s="201" t="s">
        <v>136</v>
      </c>
      <c r="C23" s="132" t="s">
        <v>7</v>
      </c>
      <c r="D23" s="35" t="str">
        <f ca="1">IEAData2!H$51</f>
        <v>TRAGSL</v>
      </c>
      <c r="E23" s="262">
        <f ca="1">IEAData2!$H$79+IEAData2!$Q$79</f>
        <v>9.3469613827302456E-2</v>
      </c>
      <c r="F23" s="262">
        <f ca="1">AuxData2!$H$79+AuxData2!$Q$79</f>
        <v>0.16890289449512294</v>
      </c>
      <c r="G23" s="228">
        <f ca="1">$U23+MATCH(D23,OFFSET(CalibData2!$B$3,$U23,0,7),0)-1</f>
        <v>85</v>
      </c>
      <c r="H23" s="113">
        <f ca="1">OFFSET(CalibData2!N$3,$G23,0)*OFFSET(CalibData2!N$117,$V23,0)</f>
        <v>0.36236518444162885</v>
      </c>
      <c r="I23" s="113">
        <f ca="1">OFFSET(CalibData2!O$3,$G23,0)*OFFSET(CalibData2!O$117,$V23,0)</f>
        <v>0.37488786694812859</v>
      </c>
      <c r="J23" s="58">
        <v>1</v>
      </c>
      <c r="K23" s="133">
        <f ca="1">E23*H23</f>
        <v>3.3870133854218276E-2</v>
      </c>
      <c r="L23" s="133">
        <f t="shared" ref="L23:L29" ca="1" si="9">F23*I23</f>
        <v>6.3319645838641456E-2</v>
      </c>
      <c r="M23" s="134">
        <f ca="1">OFFSET(CalibData2!$E$117,$V23,0)</f>
        <v>19</v>
      </c>
      <c r="N23" s="134">
        <f ca="1">OFFSET(CalibData2!$D$117,$V23,0)</f>
        <v>12</v>
      </c>
      <c r="O23" s="147">
        <f t="shared" ref="O23:O29" ca="1" si="10">K23/$M23</f>
        <v>1.7826386239062251E-3</v>
      </c>
      <c r="P23" s="147">
        <f t="shared" ref="P23:P29" ca="1" si="11">L23/$M23</f>
        <v>3.3326129388758659E-3</v>
      </c>
      <c r="Q23" s="135"/>
      <c r="R23" s="147">
        <f ca="1">$P23*W23</f>
        <v>1.4663496931053811E-3</v>
      </c>
      <c r="S23" s="147">
        <f ca="1">$P23*X23</f>
        <v>4.9989194083137985E-4</v>
      </c>
      <c r="U23" s="274">
        <f ca="1">IF(B14="*",MATCH(LEFT(B23,3),OFFSET(CalibData2!$C$3,1,0,200),0),U14)</f>
        <v>85</v>
      </c>
      <c r="V23" s="274">
        <f ca="1">IF(B14="*",MATCH(LEFT($B23,3),OFFSET(CalibData2!$B$117,1,0,10),0),V14)</f>
        <v>2</v>
      </c>
      <c r="W23" s="274">
        <v>0.44</v>
      </c>
      <c r="X23" s="274">
        <v>0.15</v>
      </c>
      <c r="Y23" s="276"/>
      <c r="Z23" s="276"/>
    </row>
    <row r="24" spans="2:26">
      <c r="B24" s="201" t="s">
        <v>144</v>
      </c>
      <c r="C24" s="132" t="s">
        <v>8</v>
      </c>
      <c r="D24" s="35" t="str">
        <f ca="1">IEAData2!K$51</f>
        <v>TRADST</v>
      </c>
      <c r="E24" s="32">
        <f ca="1">IEAData2!$K$79</f>
        <v>1.8631614584593845</v>
      </c>
      <c r="F24" s="32">
        <f ca="1">AuxData2!$K$79</f>
        <v>1.6276055603599844</v>
      </c>
      <c r="G24" s="228">
        <f ca="1">$U24+MATCH(D24,OFFSET(CalibData2!$B$3,$U24,0,7),0)-1</f>
        <v>86</v>
      </c>
      <c r="H24" s="113">
        <f ca="1">OFFSET(CalibData2!N$3,$G24,0)*OFFSET(CalibData2!N$117,$V24,0)</f>
        <v>0.30422782301794299</v>
      </c>
      <c r="I24" s="113">
        <f ca="1">OFFSET(CalibData2!O$3,$G24,0)*OFFSET(CalibData2!O$117,$V24,0)</f>
        <v>0.39655784617440437</v>
      </c>
      <c r="J24" s="58">
        <v>1</v>
      </c>
      <c r="K24" s="133">
        <f t="shared" ref="K24:K29" ca="1" si="12">E24*H24</f>
        <v>0.56682555443803417</v>
      </c>
      <c r="L24" s="133">
        <f t="shared" ca="1" si="9"/>
        <v>0.64543975543783993</v>
      </c>
      <c r="M24" s="134">
        <f ca="1">OFFSET(CalibData2!$E$117,$V24,0)</f>
        <v>19</v>
      </c>
      <c r="N24" s="134">
        <f ca="1">OFFSET(CalibData2!$D$117,$V24,0)</f>
        <v>12</v>
      </c>
      <c r="O24" s="147">
        <f t="shared" ca="1" si="10"/>
        <v>2.9832923917791271E-2</v>
      </c>
      <c r="P24" s="147">
        <f t="shared" ca="1" si="11"/>
        <v>3.3970513444096836E-2</v>
      </c>
      <c r="Q24" s="96"/>
      <c r="R24" s="147">
        <f t="shared" ref="R24:R29" ca="1" si="13">$P24*W24</f>
        <v>1.4947025915402609E-2</v>
      </c>
      <c r="S24" s="147">
        <f t="shared" ref="S24:S29" ca="1" si="14">$P24*X24</f>
        <v>5.0955770166145253E-3</v>
      </c>
      <c r="U24" s="274">
        <f ca="1">IF(B23="*",MATCH(LEFT(B24,3),OFFSET(CalibData2!$C$3,1,0,200),0),U23)</f>
        <v>85</v>
      </c>
      <c r="V24" s="274">
        <f ca="1">IF(B23="*",MATCH(LEFT($B24,3),OFFSET(CalibData2!$B$117,1,0,10),0),V23)</f>
        <v>2</v>
      </c>
      <c r="W24" s="274">
        <v>0.44</v>
      </c>
      <c r="X24" s="274">
        <v>0.15</v>
      </c>
      <c r="Y24" s="276"/>
      <c r="Z24" s="276"/>
    </row>
    <row r="25" spans="2:26">
      <c r="B25" s="202" t="s">
        <v>145</v>
      </c>
      <c r="C25" s="132" t="s">
        <v>9</v>
      </c>
      <c r="D25" s="35" t="str">
        <f ca="1">IEAData2!G$51</f>
        <v>TRALPG</v>
      </c>
      <c r="E25" s="70">
        <f ca="1">IEAData2!$G$79</f>
        <v>0</v>
      </c>
      <c r="F25" s="70">
        <f ca="1">AuxData2!$G$79</f>
        <v>0</v>
      </c>
      <c r="G25" s="228">
        <f ca="1">$U25+MATCH(D25,OFFSET(CalibData2!$B$3,$U25,0,7),0)-1</f>
        <v>87</v>
      </c>
      <c r="H25" s="113">
        <f ca="1">OFFSET(CalibData2!N$3,$G25,0)*OFFSET(CalibData2!N$117,$V25,0)</f>
        <v>0.36236518444162885</v>
      </c>
      <c r="I25" s="113">
        <f ca="1">OFFSET(CalibData2!O$3,$G25,0)*OFFSET(CalibData2!O$117,$V25,0)</f>
        <v>0.37488786694812859</v>
      </c>
      <c r="J25" s="58">
        <v>1</v>
      </c>
      <c r="K25" s="133">
        <f t="shared" ca="1" si="12"/>
        <v>0</v>
      </c>
      <c r="L25" s="133">
        <f t="shared" ca="1" si="9"/>
        <v>0</v>
      </c>
      <c r="M25" s="134">
        <f ca="1">OFFSET(CalibData2!$E$117,$V25,0)</f>
        <v>19</v>
      </c>
      <c r="N25" s="134">
        <f ca="1">OFFSET(CalibData2!$D$117,$V25,0)</f>
        <v>12</v>
      </c>
      <c r="O25" s="147">
        <f t="shared" ca="1" si="10"/>
        <v>0</v>
      </c>
      <c r="P25" s="147">
        <f t="shared" ca="1" si="11"/>
        <v>0</v>
      </c>
      <c r="Q25" s="96"/>
      <c r="R25" s="147">
        <f t="shared" ca="1" si="13"/>
        <v>0</v>
      </c>
      <c r="S25" s="147">
        <f t="shared" ca="1" si="14"/>
        <v>0</v>
      </c>
      <c r="U25" s="274">
        <f ca="1">IF(B24="*",MATCH(LEFT(B25,3),OFFSET(CalibData2!$C$3,1,0,200),0),U24)</f>
        <v>85</v>
      </c>
      <c r="V25" s="274">
        <f ca="1">IF(B24="*",MATCH(LEFT($B25,3),OFFSET(CalibData2!$B$117,1,0,10),0),V24)</f>
        <v>2</v>
      </c>
      <c r="W25" s="274">
        <v>0.44</v>
      </c>
      <c r="X25" s="274">
        <v>0.15</v>
      </c>
      <c r="Y25" s="276"/>
      <c r="Z25" s="276"/>
    </row>
    <row r="26" spans="2:26">
      <c r="B26" s="202" t="s">
        <v>146</v>
      </c>
      <c r="C26" s="132" t="s">
        <v>10</v>
      </c>
      <c r="D26" s="35" t="str">
        <f ca="1">IEAData2!F$51</f>
        <v>TRANGA</v>
      </c>
      <c r="E26" s="70">
        <f ca="1">IEAData2!$F$79</f>
        <v>7.7137315991505765E-4</v>
      </c>
      <c r="F26" s="70">
        <f ca="1">AuxData2!$F$79</f>
        <v>9.0302218901181929E-4</v>
      </c>
      <c r="G26" s="228">
        <f ca="1">$U26+MATCH(D26,OFFSET(CalibData2!$B$3,$U26,0,7),0)-1</f>
        <v>88</v>
      </c>
      <c r="H26" s="113">
        <f ca="1">OFFSET(CalibData2!N$3,$G26,0)*OFFSET(CalibData2!N$117,$V26,0)</f>
        <v>0.36236518444162885</v>
      </c>
      <c r="I26" s="113">
        <f ca="1">OFFSET(CalibData2!O$3,$G26,0)*OFFSET(CalibData2!O$117,$V26,0)</f>
        <v>0.37488786694812859</v>
      </c>
      <c r="J26" s="136">
        <v>1</v>
      </c>
      <c r="K26" s="133">
        <f t="shared" ca="1" si="12"/>
        <v>2.7951877736594194E-4</v>
      </c>
      <c r="L26" s="133">
        <f t="shared" ca="1" si="9"/>
        <v>3.3853206224547072E-4</v>
      </c>
      <c r="M26" s="134">
        <f ca="1">OFFSET(CalibData2!$E$117,$V26,0)</f>
        <v>19</v>
      </c>
      <c r="N26" s="134">
        <f ca="1">OFFSET(CalibData2!$D$117,$V26,0)</f>
        <v>12</v>
      </c>
      <c r="O26" s="147">
        <f t="shared" ca="1" si="10"/>
        <v>1.4711514598207471E-5</v>
      </c>
      <c r="P26" s="147">
        <f t="shared" ca="1" si="11"/>
        <v>1.7817476960287931E-5</v>
      </c>
      <c r="Q26" s="96"/>
      <c r="R26" s="147">
        <f t="shared" ca="1" si="13"/>
        <v>7.8396898625266897E-6</v>
      </c>
      <c r="S26" s="147">
        <f t="shared" ca="1" si="14"/>
        <v>2.6726215440431896E-6</v>
      </c>
      <c r="U26" s="274">
        <f ca="1">IF(B25="*",MATCH(LEFT(B26,3),OFFSET(CalibData2!$C$3,1,0,200),0),U25)</f>
        <v>85</v>
      </c>
      <c r="V26" s="274">
        <f ca="1">IF(B25="*",MATCH(LEFT($B26,3),OFFSET(CalibData2!$B$117,1,0,10),0),V25)</f>
        <v>2</v>
      </c>
      <c r="W26" s="274">
        <v>0.44</v>
      </c>
      <c r="X26" s="274">
        <v>0.15</v>
      </c>
      <c r="Y26" s="276"/>
      <c r="Z26" s="276"/>
    </row>
    <row r="27" spans="2:26">
      <c r="B27" s="202" t="s">
        <v>238</v>
      </c>
      <c r="C27" s="132" t="s">
        <v>11</v>
      </c>
      <c r="D27" s="35" t="str">
        <f ca="1">COMM2!$C$30</f>
        <v>TRDELC</v>
      </c>
      <c r="E27" s="70">
        <f ca="1">IEAData2!M$79</f>
        <v>0</v>
      </c>
      <c r="F27" s="70">
        <f ca="1">AuxData2!$M$79</f>
        <v>1.0437879204070531E-3</v>
      </c>
      <c r="G27" s="228">
        <f ca="1">$U27+MATCH(D27,OFFSET(CalibData2!$B$3,$U27,0,7),0)-1</f>
        <v>89</v>
      </c>
      <c r="H27" s="113">
        <f ca="1">OFFSET(CalibData2!N$3,$G27,0)*OFFSET(CalibData2!N$117,$V27,0)</f>
        <v>0.92592592592592582</v>
      </c>
      <c r="I27" s="113">
        <f ca="1">OFFSET(CalibData2!O$3,$G27,0)*OFFSET(CalibData2!O$117,$V27,0)</f>
        <v>1.0478199649605535</v>
      </c>
      <c r="J27" s="58">
        <v>1</v>
      </c>
      <c r="K27" s="133">
        <f t="shared" ca="1" si="12"/>
        <v>0</v>
      </c>
      <c r="L27" s="133">
        <f t="shared" ca="1" si="9"/>
        <v>1.0937018221871674E-3</v>
      </c>
      <c r="M27" s="134">
        <f ca="1">OFFSET(CalibData2!$E$117,$V27,0)</f>
        <v>19</v>
      </c>
      <c r="N27" s="134">
        <f ca="1">OFFSET(CalibData2!$D$117,$V27,0)</f>
        <v>12</v>
      </c>
      <c r="O27" s="147">
        <f t="shared" ca="1" si="10"/>
        <v>0</v>
      </c>
      <c r="P27" s="147">
        <f t="shared" ca="1" si="11"/>
        <v>5.7563253799324599E-5</v>
      </c>
      <c r="Q27" s="96"/>
      <c r="R27" s="147">
        <f t="shared" ca="1" si="13"/>
        <v>2.5327831671702822E-5</v>
      </c>
      <c r="S27" s="147">
        <f t="shared" ca="1" si="14"/>
        <v>8.6344880698986891E-6</v>
      </c>
      <c r="U27" s="274">
        <f ca="1">IF(B26="*",MATCH(LEFT(B27,3),OFFSET(CalibData2!$C$3,1,0,200),0),U26)</f>
        <v>85</v>
      </c>
      <c r="V27" s="274">
        <f ca="1">IF(B26="*",MATCH(LEFT($B27,3),OFFSET(CalibData2!$B$117,1,0,10),0),V26)</f>
        <v>2</v>
      </c>
      <c r="W27" s="274">
        <v>0.44</v>
      </c>
      <c r="X27" s="274">
        <v>0.15</v>
      </c>
      <c r="Y27" s="276"/>
      <c r="Z27" s="276"/>
    </row>
    <row r="28" spans="2:26">
      <c r="B28" s="202" t="s">
        <v>164</v>
      </c>
      <c r="C28" s="132" t="s">
        <v>12</v>
      </c>
      <c r="D28" s="35" t="str">
        <f ca="1">IEAData2!$D$54</f>
        <v>TRAMET</v>
      </c>
      <c r="E28" s="70">
        <f ca="1">IEAData2!D$79</f>
        <v>0</v>
      </c>
      <c r="F28" s="70">
        <f ca="1">AuxData2!$D$79</f>
        <v>0</v>
      </c>
      <c r="G28" s="228">
        <f ca="1">$U28+MATCH(D28,OFFSET(CalibData2!$B$3,$U28,0,7),0)-1</f>
        <v>90</v>
      </c>
      <c r="H28" s="113">
        <f ca="1">OFFSET(CalibData2!N$3,$G28,0)*OFFSET(CalibData2!N$117,$V28,0)</f>
        <v>0.36236518444162885</v>
      </c>
      <c r="I28" s="113">
        <f ca="1">OFFSET(CalibData2!O$3,$G28,0)*OFFSET(CalibData2!O$117,$V28,0)</f>
        <v>0.37488786694812859</v>
      </c>
      <c r="J28" s="58">
        <v>1</v>
      </c>
      <c r="K28" s="133">
        <f t="shared" ca="1" si="12"/>
        <v>0</v>
      </c>
      <c r="L28" s="133">
        <f t="shared" ca="1" si="9"/>
        <v>0</v>
      </c>
      <c r="M28" s="134">
        <f ca="1">OFFSET(CalibData2!$E$117,$V28,0)</f>
        <v>19</v>
      </c>
      <c r="N28" s="134">
        <f ca="1">OFFSET(CalibData2!$D$117,$V28,0)</f>
        <v>12</v>
      </c>
      <c r="O28" s="147">
        <f t="shared" ca="1" si="10"/>
        <v>0</v>
      </c>
      <c r="P28" s="147">
        <f t="shared" ca="1" si="11"/>
        <v>0</v>
      </c>
      <c r="Q28" s="96"/>
      <c r="R28" s="147">
        <f t="shared" ca="1" si="13"/>
        <v>0</v>
      </c>
      <c r="S28" s="147">
        <f t="shared" ca="1" si="14"/>
        <v>0</v>
      </c>
      <c r="U28" s="274">
        <f ca="1">IF(B27="*",MATCH(LEFT(B28,3),OFFSET(CalibData2!$C$3,1,0,200),0),U27)</f>
        <v>85</v>
      </c>
      <c r="V28" s="274">
        <f ca="1">IF(B27="*",MATCH(LEFT($B28,3),OFFSET(CalibData2!$B$117,1,0,10),0),V27)</f>
        <v>2</v>
      </c>
      <c r="W28" s="274">
        <v>0.44</v>
      </c>
      <c r="X28" s="274">
        <v>0.15</v>
      </c>
      <c r="Y28" s="276"/>
      <c r="Z28" s="276"/>
    </row>
    <row r="29" spans="2:26" ht="13.5" thickBot="1">
      <c r="B29" s="203" t="s">
        <v>165</v>
      </c>
      <c r="C29" s="137" t="s">
        <v>13</v>
      </c>
      <c r="D29" s="28" t="str">
        <f ca="1">IEAData2!$E$54</f>
        <v>TRAETH</v>
      </c>
      <c r="E29" s="33">
        <f ca="1">IEAData2!$P$79</f>
        <v>0</v>
      </c>
      <c r="F29" s="33">
        <f ca="1">AuxData2!$P$79</f>
        <v>1.190325717794723E-2</v>
      </c>
      <c r="G29" s="228">
        <f ca="1">$U29+MATCH(D29,OFFSET(CalibData2!$B$3,$U29,0,7),0)-1</f>
        <v>91</v>
      </c>
      <c r="H29" s="113">
        <f ca="1">OFFSET(CalibData2!N$3,$G29,0)*OFFSET(CalibData2!N$117,$V29,0)</f>
        <v>0.36236518444162885</v>
      </c>
      <c r="I29" s="113">
        <f ca="1">OFFSET(CalibData2!O$3,$G29,0)*OFFSET(CalibData2!O$117,$V29,0)</f>
        <v>0.37488786694812859</v>
      </c>
      <c r="J29" s="136">
        <v>1</v>
      </c>
      <c r="K29" s="133">
        <f t="shared" ca="1" si="12"/>
        <v>0</v>
      </c>
      <c r="L29" s="133">
        <f t="shared" ca="1" si="9"/>
        <v>4.462386693175638E-3</v>
      </c>
      <c r="M29" s="134">
        <f ca="1">OFFSET(CalibData2!$E$117,$V29,0)</f>
        <v>19</v>
      </c>
      <c r="N29" s="134">
        <f ca="1">OFFSET(CalibData2!$D$117,$V29,0)</f>
        <v>12</v>
      </c>
      <c r="O29" s="147">
        <f t="shared" ca="1" si="10"/>
        <v>0</v>
      </c>
      <c r="P29" s="147">
        <f t="shared" ca="1" si="11"/>
        <v>2.3486245753555988E-4</v>
      </c>
      <c r="Q29" s="96"/>
      <c r="R29" s="147">
        <f t="shared" ca="1" si="13"/>
        <v>1.0333948131564635E-4</v>
      </c>
      <c r="S29" s="147">
        <f t="shared" ca="1" si="14"/>
        <v>3.5229368630333978E-5</v>
      </c>
      <c r="U29" s="274">
        <f ca="1">IF(B28="*",MATCH(LEFT(B29,3),OFFSET(CalibData2!$C$3,1,0,200),0),U28)</f>
        <v>85</v>
      </c>
      <c r="V29" s="274">
        <f ca="1">IF(B28="*",MATCH(LEFT($B29,3),OFFSET(CalibData2!$B$117,1,0,10),0),V28)</f>
        <v>2</v>
      </c>
      <c r="W29" s="274">
        <v>0.44</v>
      </c>
      <c r="X29" s="274">
        <v>0.15</v>
      </c>
      <c r="Y29" s="276"/>
      <c r="Z29" s="276"/>
    </row>
    <row r="30" spans="2:26" ht="13.5" thickBot="1">
      <c r="B30" s="278" t="s">
        <v>470</v>
      </c>
      <c r="C30" s="150" t="str">
        <f>LEFT(B29,3)</f>
        <v>TRL</v>
      </c>
      <c r="D30" s="150"/>
      <c r="E30" s="151">
        <f ca="1">SUM(E23:E29)</f>
        <v>1.9574024454466021</v>
      </c>
      <c r="F30" s="151">
        <f ca="1">SUM(F23:F29)</f>
        <v>1.8103585221424734</v>
      </c>
      <c r="G30" s="150"/>
      <c r="H30" s="150"/>
      <c r="I30" s="150"/>
      <c r="J30" s="150"/>
      <c r="K30" s="151">
        <f ca="1">SUM(K23:K29)</f>
        <v>0.60097520706961849</v>
      </c>
      <c r="L30" s="151">
        <f ca="1">SUM(L23:L29)</f>
        <v>0.71465402185408966</v>
      </c>
      <c r="M30" s="150"/>
      <c r="N30" s="150"/>
      <c r="O30" s="151">
        <f ca="1">SUM(O23:O29)</f>
        <v>3.1630274056295704E-2</v>
      </c>
      <c r="P30" s="151">
        <f ca="1">SUM(P23:P29)</f>
        <v>3.7613369571267874E-2</v>
      </c>
      <c r="Q30" s="150"/>
      <c r="R30" s="151"/>
      <c r="S30" s="151"/>
      <c r="U30" s="275"/>
      <c r="V30" s="275"/>
      <c r="W30" s="275"/>
      <c r="X30" s="275"/>
      <c r="Y30" s="275"/>
      <c r="Z30" s="275"/>
    </row>
    <row r="31" spans="2:26">
      <c r="B31" s="202" t="s">
        <v>260</v>
      </c>
      <c r="C31" s="132" t="s">
        <v>27</v>
      </c>
      <c r="D31" s="35" t="str">
        <f ca="1">IEAData2!H$51</f>
        <v>TRAGSL</v>
      </c>
      <c r="E31" s="71">
        <f ca="1">IEAData2!$H$83</f>
        <v>0</v>
      </c>
      <c r="F31" s="71">
        <f ca="1">AuxData2!$H$83</f>
        <v>0</v>
      </c>
      <c r="G31" s="228">
        <f ca="1">$U31+MATCH(D31,OFFSET(CalibData2!$B$3,$U31,0,7),0)-1</f>
        <v>92</v>
      </c>
      <c r="H31" s="113">
        <f ca="1">OFFSET(CalibData2!N$3,$G31,0)*OFFSET(CalibData2!N$117,$V31,0)</f>
        <v>8.6858330707681244E-2</v>
      </c>
      <c r="I31" s="113">
        <f ca="1">OFFSET(CalibData2!O$3,$G31,0)*OFFSET(CalibData2!O$117,$V31,0)</f>
        <v>6.819604068741246E-2</v>
      </c>
      <c r="J31" s="58">
        <v>1</v>
      </c>
      <c r="K31" s="133">
        <f t="shared" ref="K31:L37" ca="1" si="15">E31*H31</f>
        <v>0</v>
      </c>
      <c r="L31" s="133">
        <f t="shared" ca="1" si="15"/>
        <v>0</v>
      </c>
      <c r="M31" s="134">
        <f ca="1">OFFSET(CalibData2!$E$117,$V31,0)</f>
        <v>40</v>
      </c>
      <c r="N31" s="134">
        <f ca="1">OFFSET(CalibData2!$D$117,$V31,0)</f>
        <v>15</v>
      </c>
      <c r="O31" s="147">
        <f t="shared" ref="O31:P37" ca="1" si="16">K31/$M31</f>
        <v>0</v>
      </c>
      <c r="P31" s="147">
        <f t="shared" ca="1" si="16"/>
        <v>0</v>
      </c>
      <c r="Q31" s="135"/>
      <c r="R31" s="147">
        <f t="shared" ref="R31:S37" ca="1" si="17">$P31*W31</f>
        <v>0</v>
      </c>
      <c r="S31" s="147">
        <f t="shared" ca="1" si="17"/>
        <v>0</v>
      </c>
      <c r="U31" s="274">
        <f ca="1">IF(B45="*",MATCH(LEFT(B31,3),OFFSET(CalibData2!$C$3,1,0,200),0),U45)</f>
        <v>92</v>
      </c>
      <c r="V31" s="274">
        <f ca="1">IF(B45="*",MATCH(LEFT($B31,3),OFFSET(CalibData2!$B$117,1,0,10),0),V45)</f>
        <v>5</v>
      </c>
      <c r="W31" s="274">
        <v>0.5</v>
      </c>
      <c r="X31" s="274">
        <v>0.2</v>
      </c>
      <c r="Y31" s="276"/>
      <c r="Z31" s="276"/>
    </row>
    <row r="32" spans="2:26">
      <c r="B32" s="202" t="s">
        <v>261</v>
      </c>
      <c r="C32" s="132" t="s">
        <v>28</v>
      </c>
      <c r="D32" s="35" t="str">
        <f ca="1">IEAData2!K$51</f>
        <v>TRADST</v>
      </c>
      <c r="E32" s="71">
        <f ca="1">IEAData2!$K83</f>
        <v>2.1127303195573446</v>
      </c>
      <c r="F32" s="71">
        <f ca="1">AuxData2!$K83</f>
        <v>2.5248886139426872</v>
      </c>
      <c r="G32" s="228">
        <f ca="1">$U32+MATCH(D32,OFFSET(CalibData2!$B$3,$U32,0,7),0)-1</f>
        <v>93</v>
      </c>
      <c r="H32" s="113">
        <f ca="1">OFFSET(CalibData2!N$3,$G32,0)*OFFSET(CalibData2!N$117,$V32,0)</f>
        <v>8.6858330707681244E-2</v>
      </c>
      <c r="I32" s="113">
        <f ca="1">OFFSET(CalibData2!O$3,$G32,0)*OFFSET(CalibData2!O$117,$V32,0)</f>
        <v>6.819604068741246E-2</v>
      </c>
      <c r="J32" s="58">
        <v>1</v>
      </c>
      <c r="K32" s="133">
        <f t="shared" ca="1" si="15"/>
        <v>0.18350822879225692</v>
      </c>
      <c r="L32" s="133">
        <f t="shared" ca="1" si="15"/>
        <v>0.17218740664761994</v>
      </c>
      <c r="M32" s="134">
        <f ca="1">OFFSET(CalibData2!$E$117,$V32,0)</f>
        <v>40</v>
      </c>
      <c r="N32" s="134">
        <f ca="1">OFFSET(CalibData2!$D$117,$V32,0)</f>
        <v>15</v>
      </c>
      <c r="O32" s="147">
        <f t="shared" ca="1" si="16"/>
        <v>4.5877057198064229E-3</v>
      </c>
      <c r="P32" s="147">
        <f t="shared" ca="1" si="16"/>
        <v>4.3046851661904988E-3</v>
      </c>
      <c r="Q32" s="96"/>
      <c r="R32" s="147">
        <f t="shared" ca="1" si="17"/>
        <v>2.1523425830952494E-3</v>
      </c>
      <c r="S32" s="147">
        <f t="shared" ca="1" si="17"/>
        <v>8.6093703323809976E-4</v>
      </c>
      <c r="U32" s="274">
        <f ca="1">IF(B31="*",MATCH(LEFT(B32,3),OFFSET(CalibData2!$C$3,1,0,200),0),U31)</f>
        <v>92</v>
      </c>
      <c r="V32" s="274">
        <f ca="1">IF(B31="*",MATCH(LEFT($B32,3),OFFSET(CalibData2!$B$117,1,0,10),0),V31)</f>
        <v>5</v>
      </c>
      <c r="W32" s="274">
        <v>0.5</v>
      </c>
      <c r="X32" s="274">
        <v>0.2</v>
      </c>
      <c r="Y32" s="276"/>
      <c r="Z32" s="276"/>
    </row>
    <row r="33" spans="2:26">
      <c r="B33" s="202" t="s">
        <v>262</v>
      </c>
      <c r="C33" s="132" t="s">
        <v>29</v>
      </c>
      <c r="D33" s="141" t="str">
        <f ca="1">IEAData2!G$51</f>
        <v>TRALPG</v>
      </c>
      <c r="E33" s="71">
        <f ca="1">IEAData2!$G83</f>
        <v>0</v>
      </c>
      <c r="F33" s="71">
        <f ca="1">AuxData2!$G83</f>
        <v>0</v>
      </c>
      <c r="G33" s="228">
        <f ca="1">$U33+MATCH(D33,OFFSET(CalibData2!$B$3,$U33,0,7),0)-1</f>
        <v>94</v>
      </c>
      <c r="H33" s="113">
        <f ca="1">OFFSET(CalibData2!N$3,$G33,0)*OFFSET(CalibData2!N$117,$V33,0)</f>
        <v>8.6858330707681244E-2</v>
      </c>
      <c r="I33" s="113">
        <f ca="1">OFFSET(CalibData2!O$3,$G33,0)*OFFSET(CalibData2!O$117,$V33,0)</f>
        <v>6.819604068741246E-2</v>
      </c>
      <c r="J33" s="58">
        <v>1</v>
      </c>
      <c r="K33" s="133">
        <f t="shared" ca="1" si="15"/>
        <v>0</v>
      </c>
      <c r="L33" s="133">
        <f t="shared" ca="1" si="15"/>
        <v>0</v>
      </c>
      <c r="M33" s="134">
        <f ca="1">OFFSET(CalibData2!$E$117,$V33,0)</f>
        <v>40</v>
      </c>
      <c r="N33" s="134">
        <f ca="1">OFFSET(CalibData2!$D$117,$V33,0)</f>
        <v>15</v>
      </c>
      <c r="O33" s="147">
        <f t="shared" ca="1" si="16"/>
        <v>0</v>
      </c>
      <c r="P33" s="147">
        <f t="shared" ca="1" si="16"/>
        <v>0</v>
      </c>
      <c r="Q33" s="96"/>
      <c r="R33" s="147">
        <f t="shared" ca="1" si="17"/>
        <v>0</v>
      </c>
      <c r="S33" s="147">
        <f t="shared" ca="1" si="17"/>
        <v>0</v>
      </c>
      <c r="U33" s="274">
        <f ca="1">IF(B32="*",MATCH(LEFT(B33,3),OFFSET(CalibData2!$C$3,1,0,200),0),U32)</f>
        <v>92</v>
      </c>
      <c r="V33" s="274">
        <f ca="1">IF(B32="*",MATCH(LEFT($B33,3),OFFSET(CalibData2!$B$117,1,0,10),0),V32)</f>
        <v>5</v>
      </c>
      <c r="W33" s="274">
        <v>0.5</v>
      </c>
      <c r="X33" s="274">
        <v>0.2</v>
      </c>
      <c r="Y33" s="276"/>
      <c r="Z33" s="276"/>
    </row>
    <row r="34" spans="2:26">
      <c r="B34" s="202" t="s">
        <v>263</v>
      </c>
      <c r="C34" s="132" t="s">
        <v>30</v>
      </c>
      <c r="D34" s="35" t="str">
        <f ca="1">IEAData2!F$51</f>
        <v>TRANGA</v>
      </c>
      <c r="E34" s="71">
        <f ca="1">IEAData2!$F83</f>
        <v>0</v>
      </c>
      <c r="F34" s="71">
        <f ca="1">AuxData2!$F83</f>
        <v>1.7166575402838928E-4</v>
      </c>
      <c r="G34" s="228">
        <f ca="1">$U34+MATCH(D34,OFFSET(CalibData2!$B$3,$U34,0,7),0)-1</f>
        <v>95</v>
      </c>
      <c r="H34" s="113">
        <f ca="1">OFFSET(CalibData2!N$3,$G34,0)*OFFSET(CalibData2!N$117,$V34,0)</f>
        <v>8.6858330707681244E-2</v>
      </c>
      <c r="I34" s="113">
        <f ca="1">OFFSET(CalibData2!O$3,$G34,0)*OFFSET(CalibData2!O$117,$V34,0)</f>
        <v>5.7439624230243312E-2</v>
      </c>
      <c r="J34" s="136">
        <v>1</v>
      </c>
      <c r="K34" s="133">
        <f t="shared" ca="1" si="15"/>
        <v>0</v>
      </c>
      <c r="L34" s="133">
        <f t="shared" ca="1" si="15"/>
        <v>9.8604164045920568E-6</v>
      </c>
      <c r="M34" s="134">
        <f ca="1">OFFSET(CalibData2!$E$117,$V34,0)</f>
        <v>40</v>
      </c>
      <c r="N34" s="134">
        <f ca="1">OFFSET(CalibData2!$D$117,$V34,0)</f>
        <v>15</v>
      </c>
      <c r="O34" s="147">
        <f t="shared" ca="1" si="16"/>
        <v>0</v>
      </c>
      <c r="P34" s="147">
        <f t="shared" ca="1" si="16"/>
        <v>2.465104101148014E-7</v>
      </c>
      <c r="Q34" s="96"/>
      <c r="R34" s="147">
        <f t="shared" ca="1" si="17"/>
        <v>1.232552050574007E-7</v>
      </c>
      <c r="S34" s="147">
        <f t="shared" ca="1" si="17"/>
        <v>4.9302082022960284E-8</v>
      </c>
      <c r="U34" s="274">
        <f ca="1">IF(B33="*",MATCH(LEFT(B34,3),OFFSET(CalibData2!$C$3,1,0,200),0),U33)</f>
        <v>92</v>
      </c>
      <c r="V34" s="274">
        <f ca="1">IF(B33="*",MATCH(LEFT($B34,3),OFFSET(CalibData2!$B$117,1,0,10),0),V33)</f>
        <v>5</v>
      </c>
      <c r="W34" s="274">
        <v>0.5</v>
      </c>
      <c r="X34" s="274">
        <v>0.2</v>
      </c>
      <c r="Y34" s="276"/>
      <c r="Z34" s="276"/>
    </row>
    <row r="35" spans="2:26">
      <c r="B35" s="202" t="s">
        <v>485</v>
      </c>
      <c r="C35" s="132" t="s">
        <v>486</v>
      </c>
      <c r="D35" s="35" t="str">
        <f ca="1">COMM2!$C$30</f>
        <v>TRDELC</v>
      </c>
      <c r="E35" s="71">
        <f ca="1">IEAData2!$M83</f>
        <v>0</v>
      </c>
      <c r="F35" s="71">
        <f ca="1">AuxData2!$M83</f>
        <v>3.0051351302612817E-4</v>
      </c>
      <c r="G35" s="228">
        <f ca="1">$U35+MATCH(D35,OFFSET(CalibData2!$B$3,$U35,0,7),0)-1</f>
        <v>96</v>
      </c>
      <c r="H35" s="113">
        <f ca="1">OFFSET(CalibData2!N$3,$G35,0)*OFFSET(CalibData2!N$117,$V35,0)</f>
        <v>0.17035445702387825</v>
      </c>
      <c r="I35" s="113">
        <f ca="1">OFFSET(CalibData2!O$3,$G35,0)*OFFSET(CalibData2!O$117,$V35,0)</f>
        <v>0.14359906057560826</v>
      </c>
      <c r="J35" s="136">
        <v>1</v>
      </c>
      <c r="K35" s="133">
        <f t="shared" ca="1" si="15"/>
        <v>0</v>
      </c>
      <c r="L35" s="133">
        <f t="shared" ca="1" si="15"/>
        <v>4.3153458160827817E-5</v>
      </c>
      <c r="M35" s="134">
        <f ca="1">OFFSET(CalibData2!$E$117,$V35,0)</f>
        <v>40</v>
      </c>
      <c r="N35" s="134">
        <f ca="1">OFFSET(CalibData2!$D$117,$V35,0)</f>
        <v>15</v>
      </c>
      <c r="O35" s="147">
        <f t="shared" ca="1" si="16"/>
        <v>0</v>
      </c>
      <c r="P35" s="147">
        <f t="shared" ca="1" si="16"/>
        <v>1.0788364540206954E-6</v>
      </c>
      <c r="Q35" s="96"/>
      <c r="R35" s="147">
        <f t="shared" ca="1" si="17"/>
        <v>5.3941822701034769E-7</v>
      </c>
      <c r="S35" s="147">
        <f t="shared" ca="1" si="17"/>
        <v>2.1576729080413909E-7</v>
      </c>
      <c r="U35" s="274">
        <f ca="1">IF(B34="*",MATCH(LEFT(B35,3),OFFSET(CalibData2!$C$3,1,0,200),0),U34)</f>
        <v>92</v>
      </c>
      <c r="V35" s="274">
        <f ca="1">IF(B34="*",MATCH(LEFT($B35,3),OFFSET(CalibData2!$B$117,1,0,10),0),V34)</f>
        <v>5</v>
      </c>
      <c r="W35" s="274">
        <v>0.5</v>
      </c>
      <c r="X35" s="274">
        <v>0.2</v>
      </c>
      <c r="Y35" s="276"/>
      <c r="Z35" s="276"/>
    </row>
    <row r="36" spans="2:26">
      <c r="B36" s="202" t="s">
        <v>264</v>
      </c>
      <c r="C36" s="132" t="s">
        <v>31</v>
      </c>
      <c r="D36" s="35" t="str">
        <f ca="1">IEAData2!$D$54</f>
        <v>TRAMET</v>
      </c>
      <c r="E36" s="71">
        <f ca="1">IEAData2!$D83</f>
        <v>0</v>
      </c>
      <c r="F36" s="71">
        <f ca="1">AuxData2!$D83</f>
        <v>0</v>
      </c>
      <c r="G36" s="228">
        <f ca="1">$U36+MATCH(D36,OFFSET(CalibData2!$B$3,$U36,0,7),0)-1</f>
        <v>97</v>
      </c>
      <c r="H36" s="113">
        <f ca="1">OFFSET(CalibData2!N$3,$G36,0)*OFFSET(CalibData2!N$117,$V36,0)</f>
        <v>8.6858330707681244E-2</v>
      </c>
      <c r="I36" s="113">
        <f ca="1">OFFSET(CalibData2!O$3,$G36,0)*OFFSET(CalibData2!O$117,$V36,0)</f>
        <v>6.819604068741246E-2</v>
      </c>
      <c r="J36" s="58">
        <v>1</v>
      </c>
      <c r="K36" s="133">
        <f t="shared" ca="1" si="15"/>
        <v>0</v>
      </c>
      <c r="L36" s="133">
        <f t="shared" ca="1" si="15"/>
        <v>0</v>
      </c>
      <c r="M36" s="134">
        <f ca="1">OFFSET(CalibData2!$E$117,$V36,0)</f>
        <v>40</v>
      </c>
      <c r="N36" s="134">
        <f ca="1">OFFSET(CalibData2!$D$117,$V36,0)</f>
        <v>15</v>
      </c>
      <c r="O36" s="147">
        <f t="shared" ca="1" si="16"/>
        <v>0</v>
      </c>
      <c r="P36" s="147">
        <f t="shared" ca="1" si="16"/>
        <v>0</v>
      </c>
      <c r="Q36" s="96"/>
      <c r="R36" s="147">
        <f t="shared" ca="1" si="17"/>
        <v>0</v>
      </c>
      <c r="S36" s="147">
        <f t="shared" ca="1" si="17"/>
        <v>0</v>
      </c>
      <c r="U36" s="274">
        <f ca="1">IF(B34="*",MATCH(LEFT(B36,3),OFFSET(CalibData2!$C$3,1,0,200),0),U34)</f>
        <v>92</v>
      </c>
      <c r="V36" s="274">
        <f ca="1">IF(B34="*",MATCH(LEFT($B36,3),OFFSET(CalibData2!$B$117,1,0,10),0),V34)</f>
        <v>5</v>
      </c>
      <c r="W36" s="274">
        <v>0.5</v>
      </c>
      <c r="X36" s="274">
        <v>0.2</v>
      </c>
      <c r="Y36" s="276"/>
      <c r="Z36" s="276"/>
    </row>
    <row r="37" spans="2:26" ht="13.5" thickBot="1">
      <c r="B37" s="203" t="s">
        <v>265</v>
      </c>
      <c r="C37" s="137" t="s">
        <v>32</v>
      </c>
      <c r="D37" s="28" t="str">
        <f ca="1">IEAData2!$E$54</f>
        <v>TRAETH</v>
      </c>
      <c r="E37" s="59">
        <f ca="1">IEAData2!$E83</f>
        <v>0</v>
      </c>
      <c r="F37" s="59">
        <f ca="1">AuxData2!$E83</f>
        <v>0</v>
      </c>
      <c r="G37" s="228">
        <f ca="1">$U37+MATCH(D37,OFFSET(CalibData2!$B$3,$U37,0,7),0)-1</f>
        <v>98</v>
      </c>
      <c r="H37" s="113">
        <f ca="1">OFFSET(CalibData2!N$3,$G37,0)*OFFSET(CalibData2!N$117,$V37,0)</f>
        <v>8.6858330707681244E-2</v>
      </c>
      <c r="I37" s="113">
        <f ca="1">OFFSET(CalibData2!O$3,$G37,0)*OFFSET(CalibData2!O$117,$V37,0)</f>
        <v>6.819604068741246E-2</v>
      </c>
      <c r="J37" s="58">
        <v>1</v>
      </c>
      <c r="K37" s="133">
        <f t="shared" ca="1" si="15"/>
        <v>0</v>
      </c>
      <c r="L37" s="133">
        <f t="shared" ca="1" si="15"/>
        <v>0</v>
      </c>
      <c r="M37" s="134">
        <f ca="1">OFFSET(CalibData2!$E$117,$V37,0)</f>
        <v>40</v>
      </c>
      <c r="N37" s="134">
        <f ca="1">OFFSET(CalibData2!$D$117,$V37,0)</f>
        <v>15</v>
      </c>
      <c r="O37" s="147">
        <f t="shared" ca="1" si="16"/>
        <v>0</v>
      </c>
      <c r="P37" s="147">
        <f t="shared" ca="1" si="16"/>
        <v>0</v>
      </c>
      <c r="Q37" s="96"/>
      <c r="R37" s="147">
        <f t="shared" ca="1" si="17"/>
        <v>0</v>
      </c>
      <c r="S37" s="147">
        <f t="shared" ca="1" si="17"/>
        <v>0</v>
      </c>
      <c r="U37" s="274">
        <f ca="1">IF(B36="*",MATCH(LEFT(B37,3),OFFSET(CalibData2!$C$3,1,0,200),0),U36)</f>
        <v>92</v>
      </c>
      <c r="V37" s="274">
        <f ca="1">IF(B36="*",MATCH(LEFT($B37,3),OFFSET(CalibData2!$B$117,1,0,10),0),V36)</f>
        <v>5</v>
      </c>
      <c r="W37" s="274">
        <v>0.5</v>
      </c>
      <c r="X37" s="274">
        <v>0.2</v>
      </c>
      <c r="Y37" s="276"/>
      <c r="Z37" s="276"/>
    </row>
    <row r="38" spans="2:26" ht="13.5" thickBot="1">
      <c r="B38" s="278" t="s">
        <v>470</v>
      </c>
      <c r="C38" s="150" t="str">
        <f>LEFT(B37,3)</f>
        <v>TRM</v>
      </c>
      <c r="D38" s="150"/>
      <c r="E38" s="151">
        <f ca="1">SUM(E31:E37)</f>
        <v>2.1127303195573446</v>
      </c>
      <c r="F38" s="151">
        <f ca="1">SUM(F31:F37)</f>
        <v>2.5253607932097415</v>
      </c>
      <c r="G38" s="150"/>
      <c r="H38" s="150"/>
      <c r="I38" s="150"/>
      <c r="J38" s="150"/>
      <c r="K38" s="151">
        <f ca="1">SUM(K31:K37)</f>
        <v>0.18350822879225692</v>
      </c>
      <c r="L38" s="151">
        <f ca="1">SUM(L31:L37)</f>
        <v>0.17224042052218538</v>
      </c>
      <c r="M38" s="150"/>
      <c r="N38" s="150"/>
      <c r="O38" s="151"/>
      <c r="P38" s="151"/>
      <c r="Q38" s="150"/>
      <c r="R38" s="151"/>
      <c r="S38" s="151"/>
      <c r="U38" s="275"/>
      <c r="V38" s="275"/>
      <c r="W38" s="275"/>
      <c r="X38" s="275"/>
      <c r="Y38" s="275"/>
      <c r="Z38" s="275"/>
    </row>
    <row r="39" spans="2:26">
      <c r="B39" s="204" t="s">
        <v>138</v>
      </c>
      <c r="C39" s="132" t="s">
        <v>22</v>
      </c>
      <c r="D39" s="35" t="str">
        <f ca="1">IEAData2!K$51</f>
        <v>TRADST</v>
      </c>
      <c r="E39" s="63">
        <f ca="1">IEAData2!$K82</f>
        <v>1.6198771961385572</v>
      </c>
      <c r="F39" s="63">
        <f ca="1">AuxData2!$K82</f>
        <v>1.7798147175894046</v>
      </c>
      <c r="G39" s="228">
        <f ca="1">$U39+MATCH(D39,OFFSET(CalibData2!$B$3,$U39,0,7),0)-1</f>
        <v>99</v>
      </c>
      <c r="H39" s="113">
        <f ca="1">OFFSET(CalibData2!N$3,$G39,0)*OFFSET(CalibData2!N$117,$V39,0)</f>
        <v>7.0908882599273027E-2</v>
      </c>
      <c r="I39" s="113">
        <f ca="1">OFFSET(CalibData2!O$3,$G39,0)*OFFSET(CalibData2!O$117,$V39,0)</f>
        <v>5.780143143107163E-2</v>
      </c>
      <c r="J39" s="58">
        <v>1</v>
      </c>
      <c r="K39" s="133">
        <f t="shared" ref="K39:K44" ca="1" si="18">E39*H39</f>
        <v>0.11486368192622852</v>
      </c>
      <c r="L39" s="133">
        <f t="shared" ref="L39:L44" ca="1" si="19">F39*I39</f>
        <v>0.10287583835875609</v>
      </c>
      <c r="M39" s="134">
        <f ca="1">OFFSET(CalibData2!$E$117,$V39,0)</f>
        <v>60</v>
      </c>
      <c r="N39" s="134">
        <f ca="1">OFFSET(CalibData2!$D$117,$V39,0)</f>
        <v>15</v>
      </c>
      <c r="O39" s="147">
        <f t="shared" ref="O39:O44" ca="1" si="20">K39/$M39</f>
        <v>1.9143946987704753E-3</v>
      </c>
      <c r="P39" s="147">
        <f t="shared" ref="P39:P44" ca="1" si="21">L39/$M39</f>
        <v>1.7145973059792682E-3</v>
      </c>
      <c r="Q39" s="135"/>
      <c r="R39" s="147">
        <f t="shared" ref="R39:S44" ca="1" si="22">$P39*W39</f>
        <v>8.5729865298963409E-4</v>
      </c>
      <c r="S39" s="147">
        <f t="shared" ca="1" si="22"/>
        <v>3.4291946119585366E-4</v>
      </c>
      <c r="U39" s="274">
        <f ca="1">IF(B22="*",MATCH(LEFT(B39,3),OFFSET(CalibData2!$C$3,1,0,200),0),U22)</f>
        <v>99</v>
      </c>
      <c r="V39" s="274">
        <f ca="1">IF(B22="*",MATCH(LEFT($B39,3),OFFSET(CalibData2!$B$117,1,0,10),0),V22)</f>
        <v>4</v>
      </c>
      <c r="W39" s="274">
        <v>0.5</v>
      </c>
      <c r="X39" s="274">
        <v>0.2</v>
      </c>
      <c r="Y39" s="276"/>
      <c r="Z39" s="276"/>
    </row>
    <row r="40" spans="2:26">
      <c r="B40" s="202" t="s">
        <v>182</v>
      </c>
      <c r="C40" s="132" t="s">
        <v>21</v>
      </c>
      <c r="D40" s="35" t="str">
        <f ca="1">IEAData2!H$51</f>
        <v>TRAGSL</v>
      </c>
      <c r="E40" s="71">
        <f ca="1">IEAData2!$H82</f>
        <v>0</v>
      </c>
      <c r="F40" s="71">
        <f ca="1">AuxData2!$H82</f>
        <v>0</v>
      </c>
      <c r="G40" s="228">
        <f ca="1">$U40+MATCH(D40,OFFSET(CalibData2!$B$3,$U40,0,7),0)-1</f>
        <v>100</v>
      </c>
      <c r="H40" s="113">
        <f ca="1">OFFSET(CalibData2!N$3,$G40,0)*OFFSET(CalibData2!N$117,$V40,0)</f>
        <v>7.0908882599273027E-2</v>
      </c>
      <c r="I40" s="113">
        <f ca="1">OFFSET(CalibData2!O$3,$G40,0)*OFFSET(CalibData2!O$117,$V40,0)</f>
        <v>5.780143143107163E-2</v>
      </c>
      <c r="J40" s="58">
        <v>1</v>
      </c>
      <c r="K40" s="133">
        <f t="shared" ca="1" si="18"/>
        <v>0</v>
      </c>
      <c r="L40" s="133">
        <f t="shared" ca="1" si="19"/>
        <v>0</v>
      </c>
      <c r="M40" s="134">
        <f ca="1">OFFSET(CalibData2!$E$117,$V40,0)</f>
        <v>60</v>
      </c>
      <c r="N40" s="134">
        <f ca="1">OFFSET(CalibData2!$D$117,$V40,0)</f>
        <v>15</v>
      </c>
      <c r="O40" s="147">
        <f t="shared" ca="1" si="20"/>
        <v>0</v>
      </c>
      <c r="P40" s="147">
        <f t="shared" ca="1" si="21"/>
        <v>0</v>
      </c>
      <c r="Q40" s="96"/>
      <c r="R40" s="147">
        <f t="shared" ca="1" si="22"/>
        <v>0</v>
      </c>
      <c r="S40" s="147">
        <f t="shared" ca="1" si="22"/>
        <v>0</v>
      </c>
      <c r="U40" s="274">
        <f ca="1">IF(B39="*",MATCH(LEFT(B40,3),OFFSET(CalibData2!$C$3,1,0,200),0),U39)</f>
        <v>99</v>
      </c>
      <c r="V40" s="274">
        <f ca="1">IF(B39="*",MATCH(LEFT($B40,3),OFFSET(CalibData2!$B$117,1,0,10),0),V39)</f>
        <v>4</v>
      </c>
      <c r="W40" s="274">
        <v>0.5</v>
      </c>
      <c r="X40" s="274">
        <v>0.2</v>
      </c>
      <c r="Y40" s="276"/>
      <c r="Z40" s="276"/>
    </row>
    <row r="41" spans="2:26">
      <c r="B41" s="202" t="s">
        <v>258</v>
      </c>
      <c r="C41" s="132" t="s">
        <v>23</v>
      </c>
      <c r="D41" s="35" t="str">
        <f ca="1">IEAData2!G$51</f>
        <v>TRALPG</v>
      </c>
      <c r="E41" s="71">
        <f ca="1">IEAData2!$G82</f>
        <v>0</v>
      </c>
      <c r="F41" s="71">
        <f ca="1">AuxData2!$G82</f>
        <v>0</v>
      </c>
      <c r="G41" s="228">
        <f ca="1">$U41+MATCH(D41,OFFSET(CalibData2!$B$3,$U41,0,7),0)-1</f>
        <v>101</v>
      </c>
      <c r="H41" s="113">
        <f ca="1">OFFSET(CalibData2!N$3,$G41,0)*OFFSET(CalibData2!N$117,$V41,0)</f>
        <v>7.0908882599273027E-2</v>
      </c>
      <c r="I41" s="113">
        <f ca="1">OFFSET(CalibData2!O$3,$G41,0)*OFFSET(CalibData2!O$117,$V41,0)</f>
        <v>5.780143143107163E-2</v>
      </c>
      <c r="J41" s="58">
        <v>1</v>
      </c>
      <c r="K41" s="133">
        <f t="shared" ca="1" si="18"/>
        <v>0</v>
      </c>
      <c r="L41" s="133">
        <f t="shared" ca="1" si="19"/>
        <v>0</v>
      </c>
      <c r="M41" s="134">
        <f ca="1">OFFSET(CalibData2!$E$117,$V41,0)</f>
        <v>60</v>
      </c>
      <c r="N41" s="134">
        <f ca="1">OFFSET(CalibData2!$D$117,$V41,0)</f>
        <v>15</v>
      </c>
      <c r="O41" s="147">
        <f t="shared" ca="1" si="20"/>
        <v>0</v>
      </c>
      <c r="P41" s="147">
        <f t="shared" ca="1" si="21"/>
        <v>0</v>
      </c>
      <c r="Q41" s="96"/>
      <c r="R41" s="147">
        <f t="shared" ca="1" si="22"/>
        <v>0</v>
      </c>
      <c r="S41" s="147">
        <f t="shared" ca="1" si="22"/>
        <v>0</v>
      </c>
      <c r="U41" s="274">
        <f ca="1">IF(B40="*",MATCH(LEFT(B41,3),OFFSET(CalibData2!$C$3,1,0,200),0),U40)</f>
        <v>99</v>
      </c>
      <c r="V41" s="274">
        <f ca="1">IF(B40="*",MATCH(LEFT($B41,3),OFFSET(CalibData2!$B$117,1,0,10),0),V40)</f>
        <v>4</v>
      </c>
      <c r="W41" s="274">
        <v>0.5</v>
      </c>
      <c r="X41" s="274">
        <v>0.2</v>
      </c>
      <c r="Y41" s="276"/>
      <c r="Z41" s="276"/>
    </row>
    <row r="42" spans="2:26">
      <c r="B42" s="202" t="s">
        <v>259</v>
      </c>
      <c r="C42" s="132" t="s">
        <v>24</v>
      </c>
      <c r="D42" s="35" t="str">
        <f ca="1">IEAData2!F$51</f>
        <v>TRANGA</v>
      </c>
      <c r="E42" s="71">
        <f ca="1">IEAData2!$F82</f>
        <v>0</v>
      </c>
      <c r="F42" s="71">
        <f ca="1">AuxData2!$F82</f>
        <v>0</v>
      </c>
      <c r="G42" s="228">
        <f ca="1">$U42+MATCH(D42,OFFSET(CalibData2!$B$3,$U42,0,7),0)-1</f>
        <v>102</v>
      </c>
      <c r="H42" s="113">
        <f ca="1">OFFSET(CalibData2!N$3,$G42,0)*OFFSET(CalibData2!N$117,$V42,0)</f>
        <v>7.0908882599273027E-2</v>
      </c>
      <c r="I42" s="113">
        <f ca="1">OFFSET(CalibData2!O$3,$G42,0)*OFFSET(CalibData2!O$117,$V42,0)</f>
        <v>5.780143143107163E-2</v>
      </c>
      <c r="J42" s="136">
        <v>1</v>
      </c>
      <c r="K42" s="133">
        <f t="shared" ca="1" si="18"/>
        <v>0</v>
      </c>
      <c r="L42" s="133">
        <f t="shared" ca="1" si="19"/>
        <v>0</v>
      </c>
      <c r="M42" s="134">
        <f ca="1">OFFSET(CalibData2!$E$117,$V42,0)</f>
        <v>60</v>
      </c>
      <c r="N42" s="134">
        <f ca="1">OFFSET(CalibData2!$D$117,$V42,0)</f>
        <v>15</v>
      </c>
      <c r="O42" s="147">
        <f t="shared" ca="1" si="20"/>
        <v>0</v>
      </c>
      <c r="P42" s="147">
        <f t="shared" ca="1" si="21"/>
        <v>0</v>
      </c>
      <c r="Q42" s="96"/>
      <c r="R42" s="147">
        <f t="shared" ca="1" si="22"/>
        <v>0</v>
      </c>
      <c r="S42" s="147">
        <f t="shared" ca="1" si="22"/>
        <v>0</v>
      </c>
      <c r="U42" s="274">
        <f ca="1">IF(B41="*",MATCH(LEFT(B42,3),OFFSET(CalibData2!$C$3,1,0,200),0),U41)</f>
        <v>99</v>
      </c>
      <c r="V42" s="274">
        <f ca="1">IF(B41="*",MATCH(LEFT($B42,3),OFFSET(CalibData2!$B$117,1,0,10),0),V41)</f>
        <v>4</v>
      </c>
      <c r="W42" s="274">
        <v>0.5</v>
      </c>
      <c r="X42" s="274">
        <v>0.2</v>
      </c>
      <c r="Y42" s="276"/>
      <c r="Z42" s="276"/>
    </row>
    <row r="43" spans="2:26">
      <c r="B43" s="202" t="s">
        <v>168</v>
      </c>
      <c r="C43" s="132" t="s">
        <v>25</v>
      </c>
      <c r="D43" s="35" t="str">
        <f ca="1">IEAData2!$D$54</f>
        <v>TRAMET</v>
      </c>
      <c r="E43" s="71">
        <f ca="1">IEAData2!$D$82</f>
        <v>0</v>
      </c>
      <c r="F43" s="71">
        <f ca="1">AuxData2!$D$82</f>
        <v>0</v>
      </c>
      <c r="G43" s="228">
        <f ca="1">$U43+MATCH(D43,OFFSET(CalibData2!$B$3,$U43,0,7),0)-1</f>
        <v>103</v>
      </c>
      <c r="H43" s="113">
        <f ca="1">OFFSET(CalibData2!N$3,$G43,0)*OFFSET(CalibData2!N$117,$V43,0)</f>
        <v>7.0908882599273027E-2</v>
      </c>
      <c r="I43" s="113">
        <f ca="1">OFFSET(CalibData2!O$3,$G43,0)*OFFSET(CalibData2!O$117,$V43,0)</f>
        <v>5.780143143107163E-2</v>
      </c>
      <c r="J43" s="58">
        <v>1</v>
      </c>
      <c r="K43" s="133">
        <f t="shared" ca="1" si="18"/>
        <v>0</v>
      </c>
      <c r="L43" s="133">
        <f t="shared" ca="1" si="19"/>
        <v>0</v>
      </c>
      <c r="M43" s="134">
        <f ca="1">OFFSET(CalibData2!$E$117,$V43,0)</f>
        <v>60</v>
      </c>
      <c r="N43" s="134">
        <f ca="1">OFFSET(CalibData2!$D$117,$V43,0)</f>
        <v>15</v>
      </c>
      <c r="O43" s="147">
        <f t="shared" ca="1" si="20"/>
        <v>0</v>
      </c>
      <c r="P43" s="147">
        <f t="shared" ca="1" si="21"/>
        <v>0</v>
      </c>
      <c r="Q43" s="96"/>
      <c r="R43" s="147">
        <f t="shared" ca="1" si="22"/>
        <v>0</v>
      </c>
      <c r="S43" s="147">
        <f t="shared" ca="1" si="22"/>
        <v>0</v>
      </c>
      <c r="U43" s="274">
        <f ca="1">IF(B42="*",MATCH(LEFT(B43,3),OFFSET(CalibData2!$C$3,1,0,200),0),U42)</f>
        <v>99</v>
      </c>
      <c r="V43" s="274">
        <f ca="1">IF(B42="*",MATCH(LEFT($B43,3),OFFSET(CalibData2!$B$117,1,0,10),0),V42)</f>
        <v>4</v>
      </c>
      <c r="W43" s="274">
        <v>0.5</v>
      </c>
      <c r="X43" s="274">
        <v>0.2</v>
      </c>
      <c r="Y43" s="276"/>
      <c r="Z43" s="276"/>
    </row>
    <row r="44" spans="2:26" ht="13.5" thickBot="1">
      <c r="B44" s="203" t="s">
        <v>169</v>
      </c>
      <c r="C44" s="137" t="s">
        <v>26</v>
      </c>
      <c r="D44" s="28" t="str">
        <f ca="1">IEAData2!$E$54</f>
        <v>TRAETH</v>
      </c>
      <c r="E44" s="59">
        <f ca="1">IEAData2!$E$82</f>
        <v>0</v>
      </c>
      <c r="F44" s="59">
        <f ca="1">AuxData2!$E$82</f>
        <v>0</v>
      </c>
      <c r="G44" s="228">
        <f ca="1">$U44+MATCH(D44,OFFSET(CalibData2!$B$3,$U44,0,7),0)-1</f>
        <v>104</v>
      </c>
      <c r="H44" s="113">
        <f ca="1">OFFSET(CalibData2!N$3,$G44,0)*OFFSET(CalibData2!N$117,$V44,0)</f>
        <v>7.0908882599273027E-2</v>
      </c>
      <c r="I44" s="113">
        <f ca="1">OFFSET(CalibData2!O$3,$G44,0)*OFFSET(CalibData2!O$117,$V44,0)</f>
        <v>5.780143143107163E-2</v>
      </c>
      <c r="J44" s="58">
        <v>1</v>
      </c>
      <c r="K44" s="133">
        <f t="shared" ca="1" si="18"/>
        <v>0</v>
      </c>
      <c r="L44" s="133">
        <f t="shared" ca="1" si="19"/>
        <v>0</v>
      </c>
      <c r="M44" s="134">
        <f ca="1">OFFSET(CalibData2!$E$117,$V44,0)</f>
        <v>60</v>
      </c>
      <c r="N44" s="134">
        <f ca="1">OFFSET(CalibData2!$D$117,$V44,0)</f>
        <v>15</v>
      </c>
      <c r="O44" s="147">
        <f t="shared" ca="1" si="20"/>
        <v>0</v>
      </c>
      <c r="P44" s="147">
        <f t="shared" ca="1" si="21"/>
        <v>0</v>
      </c>
      <c r="Q44" s="96"/>
      <c r="R44" s="147">
        <f t="shared" ca="1" si="22"/>
        <v>0</v>
      </c>
      <c r="S44" s="147">
        <f t="shared" ca="1" si="22"/>
        <v>0</v>
      </c>
      <c r="U44" s="274">
        <f ca="1">IF(B43="*",MATCH(LEFT(B44,3),OFFSET(CalibData2!$C$3,1,0,200),0),U43)</f>
        <v>99</v>
      </c>
      <c r="V44" s="274">
        <f ca="1">IF(B43="*",MATCH(LEFT($B44,3),OFFSET(CalibData2!$B$117,1,0,10),0),V43)</f>
        <v>4</v>
      </c>
      <c r="W44" s="274">
        <v>0.5</v>
      </c>
      <c r="X44" s="274">
        <v>0.2</v>
      </c>
      <c r="Y44" s="276"/>
      <c r="Z44" s="276"/>
    </row>
    <row r="45" spans="2:26" ht="13.5" thickBot="1">
      <c r="B45" s="278" t="s">
        <v>470</v>
      </c>
      <c r="C45" s="150" t="str">
        <f>LEFT(B44,3)</f>
        <v>TRH</v>
      </c>
      <c r="D45" s="150"/>
      <c r="E45" s="151">
        <f ca="1">SUM(E39:E44)</f>
        <v>1.6198771961385572</v>
      </c>
      <c r="F45" s="151">
        <f ca="1">SUM(F39:F44)</f>
        <v>1.7798147175894046</v>
      </c>
      <c r="G45" s="150"/>
      <c r="H45" s="150"/>
      <c r="I45" s="150"/>
      <c r="J45" s="150"/>
      <c r="K45" s="151">
        <f ca="1">SUM(K39:K44)</f>
        <v>0.11486368192622852</v>
      </c>
      <c r="L45" s="151">
        <f ca="1">SUM(L39:L44)</f>
        <v>0.10287583835875609</v>
      </c>
      <c r="M45" s="150"/>
      <c r="N45" s="150"/>
      <c r="O45" s="151"/>
      <c r="P45" s="151"/>
      <c r="Q45" s="150"/>
      <c r="R45" s="151"/>
      <c r="S45" s="151"/>
      <c r="U45" s="275"/>
      <c r="V45" s="275"/>
      <c r="W45" s="275"/>
      <c r="X45" s="275"/>
      <c r="Y45" s="275"/>
      <c r="Z45" s="275"/>
    </row>
    <row r="46" spans="2:26">
      <c r="B46" s="205" t="s">
        <v>184</v>
      </c>
      <c r="C46" s="132" t="s">
        <v>203</v>
      </c>
      <c r="D46" s="35" t="str">
        <f ca="1">IEAData2!H$51</f>
        <v>TRAGSL</v>
      </c>
      <c r="E46" s="71">
        <f ca="1">ROAD2!Y46*IEAData2!$H$85</f>
        <v>0.25004525179568238</v>
      </c>
      <c r="F46" s="71">
        <f ca="1">ROAD2!Z46*AuxData2!$H$85</f>
        <v>0.23322422550302474</v>
      </c>
      <c r="G46" s="20" t="s">
        <v>248</v>
      </c>
      <c r="H46" s="142">
        <f ca="1">OFFSET(CalibData2!N$3,$U46+1,0)</f>
        <v>1.4382345456768275</v>
      </c>
      <c r="I46" s="142">
        <f ca="1">OFFSET(CalibData2!O$3,$U46+1,0)</f>
        <v>1.0535061868831577</v>
      </c>
      <c r="J46" s="136">
        <v>1</v>
      </c>
      <c r="K46" s="133">
        <f t="shared" ref="K46:L48" ca="1" si="23">E46*H46</f>
        <v>0.35962371911501118</v>
      </c>
      <c r="L46" s="133">
        <f t="shared" ca="1" si="23"/>
        <v>0.2457031644984693</v>
      </c>
      <c r="M46" s="134">
        <f ca="1">OFFSET(CalibData2!$E$117,$V46,0)</f>
        <v>1</v>
      </c>
      <c r="N46" s="134">
        <f ca="1">OFFSET(CalibData2!$D$117,$V46,0)</f>
        <v>10</v>
      </c>
      <c r="O46" s="147">
        <f t="shared" ref="O46:P48" ca="1" si="24">K46/$M46</f>
        <v>0.35962371911501118</v>
      </c>
      <c r="P46" s="147">
        <f t="shared" ca="1" si="24"/>
        <v>0.2457031644984693</v>
      </c>
      <c r="Q46" s="135"/>
      <c r="R46" s="135"/>
      <c r="S46" s="147">
        <f t="shared" ref="S46:S51" ca="1" si="25">$P46*X46</f>
        <v>0</v>
      </c>
      <c r="U46" s="274">
        <f ca="1">IF(B45="*",MATCH(LEFT(B46,3),OFFSET(CalibData2!$C$3,1,0,200),0),U45)</f>
        <v>105</v>
      </c>
      <c r="V46" s="274">
        <f ca="1">IF(B45="*",MATCH(LEFT($B46,3),OFFSET(CalibData2!$B$117,1,0,10),0),V45)</f>
        <v>7</v>
      </c>
      <c r="W46" s="274">
        <v>0.5</v>
      </c>
      <c r="X46" s="274">
        <v>0</v>
      </c>
      <c r="Y46" s="277">
        <f ca="1">OFFSET(CalibData2!N$3,$U46,0)</f>
        <v>0.82302098709771365</v>
      </c>
      <c r="Z46" s="277">
        <f ca="1">OFFSET(CalibData2!O$3,$U46,0)</f>
        <v>0.64961813588500472</v>
      </c>
    </row>
    <row r="47" spans="2:26">
      <c r="B47" s="202" t="s">
        <v>183</v>
      </c>
      <c r="C47" s="132" t="s">
        <v>204</v>
      </c>
      <c r="D47" s="35" t="str">
        <f ca="1">IEAData2!H$51</f>
        <v>TRAGSL</v>
      </c>
      <c r="E47" s="71">
        <f ca="1">ROAD2!Y47*IEAData2!$H$85</f>
        <v>5.3768691852871996E-2</v>
      </c>
      <c r="F47" s="71">
        <f ca="1">ROAD2!Z47*AuxData2!$H$85</f>
        <v>0.12579319199147398</v>
      </c>
      <c r="G47" s="96" t="s">
        <v>249</v>
      </c>
      <c r="H47" s="142">
        <f ca="1">OFFSET(CalibData2!N$3,$U47+2,0)</f>
        <v>0.82302098709771365</v>
      </c>
      <c r="I47" s="142">
        <f ca="1">OFFSET(CalibData2!O$3,$U47+2,0)</f>
        <v>0.64961813588500472</v>
      </c>
      <c r="J47" s="136">
        <v>1</v>
      </c>
      <c r="K47" s="133">
        <f t="shared" ca="1" si="23"/>
        <v>4.4252761843703504E-2</v>
      </c>
      <c r="L47" s="133">
        <f t="shared" ca="1" si="23"/>
        <v>8.1717538888525829E-2</v>
      </c>
      <c r="M47" s="134">
        <f ca="1">OFFSET(CalibData2!$E$117,$V47,0)</f>
        <v>1</v>
      </c>
      <c r="N47" s="134">
        <f ca="1">OFFSET(CalibData2!$D$117,$V47,0)</f>
        <v>10</v>
      </c>
      <c r="O47" s="147">
        <f t="shared" ca="1" si="24"/>
        <v>4.4252761843703504E-2</v>
      </c>
      <c r="P47" s="147">
        <f t="shared" ca="1" si="24"/>
        <v>8.1717538888525829E-2</v>
      </c>
      <c r="Q47" s="96"/>
      <c r="R47" s="96"/>
      <c r="S47" s="147">
        <f t="shared" ca="1" si="25"/>
        <v>0</v>
      </c>
      <c r="U47" s="274">
        <f ca="1">IF(B46="*",MATCH(LEFT(B47,3),OFFSET(CalibData2!$C$3,1,0,200),0),U46)</f>
        <v>105</v>
      </c>
      <c r="V47" s="274">
        <f ca="1">IF(B46="*",MATCH(LEFT($B47,3),OFFSET(CalibData2!$B$117,1,0,10),0),V46)</f>
        <v>7</v>
      </c>
      <c r="W47" s="274">
        <v>0.5</v>
      </c>
      <c r="X47" s="274">
        <v>0</v>
      </c>
      <c r="Y47" s="277">
        <f ca="1">1-Y46</f>
        <v>0.17697901290228635</v>
      </c>
      <c r="Z47" s="277">
        <f ca="1">1-Z46</f>
        <v>0.35038186411499528</v>
      </c>
    </row>
    <row r="48" spans="2:26">
      <c r="B48" s="202" t="s">
        <v>487</v>
      </c>
      <c r="C48" s="132" t="s">
        <v>492</v>
      </c>
      <c r="D48" s="35" t="str">
        <f ca="1">COMM2!$C$30</f>
        <v>TRDELC</v>
      </c>
      <c r="E48" s="71">
        <f ca="1">IEAData2!$M$85</f>
        <v>0</v>
      </c>
      <c r="F48" s="71">
        <f ca="1">AuxData2!$M$85</f>
        <v>2.7974081861098754E-4</v>
      </c>
      <c r="G48" s="228">
        <f ca="1">$U48+MATCH(D48,OFFSET(CalibData2!$B$3,$U48,0,7),0)-1</f>
        <v>108</v>
      </c>
      <c r="H48" s="113">
        <f ca="1">OFFSET(CalibData2!N$3,$G48,0)*OFFSET(CalibData2!N$117,$V48,0)</f>
        <v>2</v>
      </c>
      <c r="I48" s="113">
        <f ca="1">OFFSET(CalibData2!O$3,$G48,0)*OFFSET(CalibData2!O$117,$V48,0)</f>
        <v>2.0001174362026868</v>
      </c>
      <c r="J48" s="136">
        <v>1</v>
      </c>
      <c r="K48" s="133">
        <f t="shared" ca="1" si="23"/>
        <v>0</v>
      </c>
      <c r="L48" s="133">
        <f t="shared" ca="1" si="23"/>
        <v>5.5951448892144922E-4</v>
      </c>
      <c r="M48" s="134">
        <f ca="1">OFFSET(CalibData2!$E$117,$V48,0)</f>
        <v>1</v>
      </c>
      <c r="N48" s="134">
        <f ca="1">OFFSET(CalibData2!$D$117,$V48,0)</f>
        <v>10</v>
      </c>
      <c r="O48" s="147">
        <f t="shared" ca="1" si="24"/>
        <v>0</v>
      </c>
      <c r="P48" s="147">
        <f t="shared" ca="1" si="24"/>
        <v>5.5951448892144922E-4</v>
      </c>
      <c r="Q48" s="96"/>
      <c r="R48" s="96"/>
      <c r="S48" s="147">
        <f t="shared" ca="1" si="25"/>
        <v>0</v>
      </c>
      <c r="U48" s="274">
        <f ca="1">IF(B47="*",MATCH(LEFT(B48,3),OFFSET(CalibData2!$C$3,1,0,200),0),U47)</f>
        <v>105</v>
      </c>
      <c r="V48" s="274">
        <f ca="1">IF(B47="*",MATCH(LEFT($B48,3),OFFSET(CalibData2!$B$117,1,0,10),0),V47)</f>
        <v>7</v>
      </c>
      <c r="W48" s="274">
        <v>0.5</v>
      </c>
      <c r="X48" s="274">
        <v>0</v>
      </c>
      <c r="Y48" s="277"/>
      <c r="Z48" s="277"/>
    </row>
    <row r="49" spans="2:26" ht="13.5" thickBot="1">
      <c r="B49" s="278" t="s">
        <v>470</v>
      </c>
      <c r="C49" s="150" t="str">
        <f>LEFT(B47,3)</f>
        <v>TRW</v>
      </c>
      <c r="D49" s="150"/>
      <c r="E49" s="151"/>
      <c r="F49" s="151"/>
      <c r="G49" s="150"/>
      <c r="H49" s="150"/>
      <c r="I49" s="150"/>
      <c r="J49" s="150"/>
      <c r="K49" s="151">
        <f ca="1">SUM(K46:K47)</f>
        <v>0.4038764809587147</v>
      </c>
      <c r="L49" s="151">
        <f ca="1">SUM(L46:L47)</f>
        <v>0.32742070338699514</v>
      </c>
      <c r="M49" s="150"/>
      <c r="N49" s="150"/>
      <c r="O49" s="151"/>
      <c r="P49" s="151"/>
      <c r="Q49" s="150"/>
      <c r="R49" s="151"/>
      <c r="S49" s="151"/>
      <c r="U49" s="275"/>
      <c r="V49" s="275"/>
      <c r="W49" s="275"/>
      <c r="X49" s="275"/>
      <c r="Y49" s="275"/>
      <c r="Z49" s="275"/>
    </row>
    <row r="50" spans="2:26">
      <c r="B50" s="202" t="s">
        <v>206</v>
      </c>
      <c r="C50" s="132" t="s">
        <v>207</v>
      </c>
      <c r="D50" s="35" t="str">
        <f ca="1">IEAData2!H$51</f>
        <v>TRAGSL</v>
      </c>
      <c r="E50" s="144">
        <f ca="1">IEAData2!$H$80</f>
        <v>0</v>
      </c>
      <c r="F50" s="144">
        <f ca="1">AuxData2!$H$80</f>
        <v>0</v>
      </c>
      <c r="G50" s="20" t="s">
        <v>248</v>
      </c>
      <c r="H50" s="142">
        <f ca="1">OFFSET(CalibData2!N$3,$U50+0,0)</f>
        <v>0.82302098709771365</v>
      </c>
      <c r="I50" s="142">
        <f ca="1">OFFSET(CalibData2!O$3,$U50+0,0)</f>
        <v>0.64961813588500472</v>
      </c>
      <c r="J50" s="136">
        <v>1</v>
      </c>
      <c r="K50" s="133">
        <f ca="1">E50*H50</f>
        <v>0</v>
      </c>
      <c r="L50" s="133">
        <f ca="1">F50*I50</f>
        <v>0</v>
      </c>
      <c r="M50" s="134">
        <f ca="1">OFFSET(CalibData2!$E$117,$V50,0)</f>
        <v>1</v>
      </c>
      <c r="N50" s="134">
        <f ca="1">OFFSET(CalibData2!$D$117,$V50,0)</f>
        <v>10</v>
      </c>
      <c r="O50" s="147">
        <f ca="1">K50/$M50</f>
        <v>0</v>
      </c>
      <c r="P50" s="147">
        <f ca="1">L50/$M50</f>
        <v>0</v>
      </c>
      <c r="Q50" s="135"/>
      <c r="R50" s="135"/>
      <c r="S50" s="147">
        <f t="shared" ca="1" si="25"/>
        <v>0</v>
      </c>
      <c r="U50" s="274">
        <f ca="1">IF(B49="*",MATCH(LEFT(B50,3),OFFSET(CalibData2!$C$3,1,0,200),0),U49)</f>
        <v>109</v>
      </c>
      <c r="V50" s="274">
        <f ca="1">IF(B49="*",MATCH(LEFT($B50,3),OFFSET(CalibData2!$B$117,1,0,10),0),V49)</f>
        <v>8</v>
      </c>
      <c r="W50" s="274">
        <v>0.5</v>
      </c>
      <c r="X50" s="274">
        <v>0</v>
      </c>
      <c r="Y50" s="276"/>
      <c r="Z50" s="276"/>
    </row>
    <row r="51" spans="2:26">
      <c r="B51" s="202" t="s">
        <v>208</v>
      </c>
      <c r="C51" s="132" t="s">
        <v>209</v>
      </c>
      <c r="D51" s="35" t="str">
        <f ca="1">IEAData2!K$51</f>
        <v>TRADST</v>
      </c>
      <c r="E51" s="71">
        <f ca="1">IEAData2!$K$80</f>
        <v>0</v>
      </c>
      <c r="F51" s="71">
        <f ca="1">AuxData2!$K$80</f>
        <v>0</v>
      </c>
      <c r="G51" s="96" t="s">
        <v>249</v>
      </c>
      <c r="H51" s="143">
        <f ca="1">OFFSET(CalibData2!N$3,$U51+1,0)</f>
        <v>0.82302098709771365</v>
      </c>
      <c r="I51" s="143">
        <f ca="1">OFFSET(CalibData2!O$3,$U51+1,0)</f>
        <v>0.64961813588500472</v>
      </c>
      <c r="J51" s="136">
        <v>1</v>
      </c>
      <c r="K51" s="133">
        <f ca="1">E51*H51</f>
        <v>0</v>
      </c>
      <c r="L51" s="133">
        <f ca="1">F51*I51</f>
        <v>0</v>
      </c>
      <c r="M51" s="134">
        <f ca="1">OFFSET(CalibData2!$E$117,$V51,0)</f>
        <v>1</v>
      </c>
      <c r="N51" s="134">
        <f ca="1">OFFSET(CalibData2!$D$117,$V51,0)</f>
        <v>10</v>
      </c>
      <c r="O51" s="147">
        <f ca="1">K51/$M51</f>
        <v>0</v>
      </c>
      <c r="P51" s="147">
        <f ca="1">L51/$M51</f>
        <v>0</v>
      </c>
      <c r="Q51" s="96"/>
      <c r="R51" s="96"/>
      <c r="S51" s="147">
        <f t="shared" ca="1" si="25"/>
        <v>0</v>
      </c>
      <c r="U51" s="274">
        <f ca="1">IF(B50="*",MATCH(LEFT(B51,3),OFFSET(CalibData2!$C$3,1,0,200),0),U50)</f>
        <v>109</v>
      </c>
      <c r="V51" s="274">
        <f ca="1">IF(B50="*",MATCH(LEFT($B51,3),OFFSET(CalibData2!$B$117,1,0,10),0),V50)</f>
        <v>8</v>
      </c>
      <c r="W51" s="274">
        <v>0.5</v>
      </c>
      <c r="X51" s="274">
        <v>0</v>
      </c>
      <c r="Y51" s="276"/>
      <c r="Z51" s="276"/>
    </row>
    <row r="52" spans="2:26">
      <c r="B52" s="278" t="s">
        <v>470</v>
      </c>
      <c r="C52" s="150" t="str">
        <f>LEFT(B51,3)</f>
        <v>TRE</v>
      </c>
      <c r="D52" s="150"/>
      <c r="E52" s="151"/>
      <c r="F52" s="151"/>
      <c r="G52" s="150"/>
      <c r="H52" s="150"/>
      <c r="I52" s="150"/>
      <c r="J52" s="150"/>
      <c r="K52" s="151">
        <f ca="1">SUM(K50:K51)</f>
        <v>0</v>
      </c>
      <c r="L52" s="151">
        <f ca="1">SUM(L50:L51)</f>
        <v>0</v>
      </c>
      <c r="M52" s="150"/>
      <c r="N52" s="150"/>
      <c r="O52" s="151"/>
      <c r="P52" s="151"/>
      <c r="Q52" s="150"/>
      <c r="R52" s="151"/>
      <c r="S52" s="151"/>
      <c r="U52" s="275"/>
      <c r="V52" s="275"/>
      <c r="W52" s="275"/>
      <c r="X52" s="275"/>
      <c r="Y52" s="275"/>
      <c r="Z52" s="275"/>
    </row>
    <row r="57" spans="2:26" ht="18">
      <c r="B57" s="200" t="s">
        <v>289</v>
      </c>
      <c r="C57" s="138"/>
      <c r="D57" s="302" t="str">
        <f>"~FI_T: "&amp;Region</f>
        <v>~FI_T: FIM</v>
      </c>
      <c r="J57" t="s">
        <v>65</v>
      </c>
    </row>
    <row r="58" spans="2:26" ht="13.5" thickBot="1">
      <c r="B58" s="31" t="s">
        <v>292</v>
      </c>
      <c r="C58" s="31" t="s">
        <v>293</v>
      </c>
      <c r="D58" s="30" t="s">
        <v>61</v>
      </c>
      <c r="E58" s="102" t="s">
        <v>498</v>
      </c>
      <c r="F58" s="102" t="s">
        <v>344</v>
      </c>
      <c r="G58" s="102" t="str">
        <f ca="1">F58&amp;"~"&amp;AuxYear</f>
        <v>DEMAND~2017</v>
      </c>
      <c r="H58" s="271" t="s">
        <v>464</v>
      </c>
      <c r="I58" s="102" t="str">
        <f ca="1">H58&amp;"~"&amp;AuxYear</f>
        <v>COM_IE~2017</v>
      </c>
      <c r="J58" s="30"/>
      <c r="K58" s="30"/>
      <c r="M58" s="223" t="s">
        <v>475</v>
      </c>
      <c r="O58" s="223">
        <v>2010</v>
      </c>
      <c r="P58" s="223">
        <v>2017</v>
      </c>
      <c r="Q58" s="223">
        <v>2010</v>
      </c>
      <c r="R58" s="223">
        <v>2017</v>
      </c>
    </row>
    <row r="59" spans="2:26">
      <c r="B59" s="34" t="s">
        <v>179</v>
      </c>
      <c r="C59" s="17" t="s">
        <v>143</v>
      </c>
      <c r="D59" s="17" t="s">
        <v>518</v>
      </c>
      <c r="E59" s="310">
        <v>2</v>
      </c>
      <c r="F59" s="327"/>
      <c r="G59" s="327"/>
      <c r="H59" s="325">
        <f t="shared" ref="H59:H65" ca="1" si="26">IF(P59,O59/OFFSET(K$5,$M59,0),1)*I59</f>
        <v>1.6</v>
      </c>
      <c r="I59" s="325">
        <f ca="1">CalibData2!C118</f>
        <v>1.6</v>
      </c>
      <c r="J59" s="20"/>
      <c r="K59" s="20"/>
      <c r="M59" s="224">
        <f t="shared" ref="M59:M65" si="27">MATCH($B59,$C$6:$C$54,0)</f>
        <v>9</v>
      </c>
      <c r="O59" s="309">
        <f t="shared" ref="O59:P65" ca="1" si="28">OFFSET(K$5,$M59,0)</f>
        <v>4.8940276446879407</v>
      </c>
      <c r="P59" s="139">
        <f t="shared" ca="1" si="28"/>
        <v>5.151901333097185</v>
      </c>
      <c r="Q59" s="282">
        <f t="shared" ref="Q59:R65" ca="1" si="29">O59*H59</f>
        <v>7.8304442315007057</v>
      </c>
      <c r="R59" s="282">
        <f t="shared" ca="1" si="29"/>
        <v>8.2430421329554964</v>
      </c>
    </row>
    <row r="60" spans="2:26">
      <c r="B60" s="34" t="s">
        <v>51</v>
      </c>
      <c r="C60" s="17" t="s">
        <v>127</v>
      </c>
      <c r="D60" s="17" t="s">
        <v>518</v>
      </c>
      <c r="E60" s="310">
        <v>2</v>
      </c>
      <c r="F60" s="327"/>
      <c r="G60" s="327"/>
      <c r="H60" s="325">
        <f t="shared" ca="1" si="26"/>
        <v>13</v>
      </c>
      <c r="I60" s="325">
        <f ca="1">CalibData2!C120</f>
        <v>13</v>
      </c>
      <c r="J60" s="20"/>
      <c r="K60" s="20"/>
      <c r="M60" s="224">
        <f t="shared" si="27"/>
        <v>17</v>
      </c>
      <c r="O60" s="139">
        <f t="shared" ca="1" si="28"/>
        <v>0.13067584709587673</v>
      </c>
      <c r="P60" s="139">
        <f t="shared" ca="1" si="28"/>
        <v>9.9567428321033408E-2</v>
      </c>
      <c r="Q60" s="282">
        <f t="shared" ca="1" si="29"/>
        <v>1.6987860122463976</v>
      </c>
      <c r="R60" s="282">
        <f t="shared" ca="1" si="29"/>
        <v>1.2943765681734343</v>
      </c>
    </row>
    <row r="61" spans="2:26">
      <c r="B61" s="34" t="s">
        <v>50</v>
      </c>
      <c r="C61" s="234" t="s">
        <v>137</v>
      </c>
      <c r="D61" s="17" t="s">
        <v>518</v>
      </c>
      <c r="E61" s="310">
        <v>2</v>
      </c>
      <c r="F61" s="327"/>
      <c r="G61" s="327"/>
      <c r="H61" s="325">
        <f t="shared" ca="1" si="26"/>
        <v>0.2</v>
      </c>
      <c r="I61" s="325">
        <f ca="1">CalibData2!C119</f>
        <v>0.2</v>
      </c>
      <c r="J61" s="20"/>
      <c r="K61" s="20"/>
      <c r="M61" s="224">
        <f t="shared" si="27"/>
        <v>25</v>
      </c>
      <c r="O61" s="139">
        <f t="shared" ca="1" si="28"/>
        <v>0.60097520706961849</v>
      </c>
      <c r="P61" s="139">
        <f t="shared" ca="1" si="28"/>
        <v>0.71465402185408966</v>
      </c>
      <c r="Q61" s="282">
        <f t="shared" ca="1" si="29"/>
        <v>0.1201950414139237</v>
      </c>
      <c r="R61" s="282">
        <f t="shared" ca="1" si="29"/>
        <v>0.14293080437081793</v>
      </c>
    </row>
    <row r="62" spans="2:26">
      <c r="B62" s="34" t="s">
        <v>257</v>
      </c>
      <c r="C62" s="234" t="s">
        <v>266</v>
      </c>
      <c r="D62" s="17" t="s">
        <v>518</v>
      </c>
      <c r="E62" s="310">
        <v>2</v>
      </c>
      <c r="F62" s="327"/>
      <c r="G62" s="327"/>
      <c r="H62" s="325">
        <f t="shared" ca="1" si="26"/>
        <v>2.4</v>
      </c>
      <c r="I62" s="325">
        <f ca="1">CalibData2!C122</f>
        <v>2.4</v>
      </c>
      <c r="J62" s="20"/>
      <c r="K62" s="20"/>
      <c r="M62" s="224">
        <f t="shared" si="27"/>
        <v>33</v>
      </c>
      <c r="O62" s="139">
        <f t="shared" ca="1" si="28"/>
        <v>0.18350822879225692</v>
      </c>
      <c r="P62" s="139">
        <f t="shared" ca="1" si="28"/>
        <v>0.17224042052218538</v>
      </c>
      <c r="Q62" s="282">
        <f t="shared" ca="1" si="29"/>
        <v>0.44041974910141662</v>
      </c>
      <c r="R62" s="282">
        <f t="shared" ca="1" si="29"/>
        <v>0.41337700925324489</v>
      </c>
    </row>
    <row r="63" spans="2:26">
      <c r="B63" s="34" t="s">
        <v>52</v>
      </c>
      <c r="C63" s="17" t="s">
        <v>139</v>
      </c>
      <c r="D63" s="17" t="s">
        <v>518</v>
      </c>
      <c r="E63" s="310">
        <v>2</v>
      </c>
      <c r="F63" s="327"/>
      <c r="G63" s="327"/>
      <c r="H63" s="325">
        <f t="shared" ca="1" si="26"/>
        <v>12.2</v>
      </c>
      <c r="I63" s="325">
        <f ca="1">CalibData2!C121</f>
        <v>12.2</v>
      </c>
      <c r="J63" s="20"/>
      <c r="K63" s="20"/>
      <c r="M63" s="224">
        <f t="shared" si="27"/>
        <v>40</v>
      </c>
      <c r="O63" s="139">
        <f t="shared" ca="1" si="28"/>
        <v>0.11486368192622852</v>
      </c>
      <c r="P63" s="139">
        <f t="shared" ca="1" si="28"/>
        <v>0.10287583835875609</v>
      </c>
      <c r="Q63" s="282">
        <f t="shared" ca="1" si="29"/>
        <v>1.4013369194999878</v>
      </c>
      <c r="R63" s="282">
        <f t="shared" ca="1" si="29"/>
        <v>1.2550852279768243</v>
      </c>
    </row>
    <row r="64" spans="2:26">
      <c r="B64" s="34" t="s">
        <v>140</v>
      </c>
      <c r="C64" s="17" t="s">
        <v>205</v>
      </c>
      <c r="D64" s="17" t="s">
        <v>518</v>
      </c>
      <c r="E64" s="310">
        <v>2</v>
      </c>
      <c r="F64" s="327"/>
      <c r="G64" s="327"/>
      <c r="H64" s="325">
        <f t="shared" ca="1" si="26"/>
        <v>1</v>
      </c>
      <c r="I64" s="325">
        <f ca="1">CalibData2!C124</f>
        <v>1</v>
      </c>
      <c r="J64" s="20"/>
      <c r="K64" s="20"/>
      <c r="M64" s="224">
        <f t="shared" si="27"/>
        <v>44</v>
      </c>
      <c r="O64" s="139">
        <f t="shared" ca="1" si="28"/>
        <v>0.4038764809587147</v>
      </c>
      <c r="P64" s="139">
        <f t="shared" ca="1" si="28"/>
        <v>0.32742070338699514</v>
      </c>
      <c r="Q64" s="282">
        <f t="shared" ca="1" si="29"/>
        <v>0.4038764809587147</v>
      </c>
      <c r="R64" s="282">
        <f t="shared" ca="1" si="29"/>
        <v>0.32742070338699514</v>
      </c>
    </row>
    <row r="65" spans="2:18">
      <c r="B65" s="6" t="s">
        <v>202</v>
      </c>
      <c r="C65" s="5" t="s">
        <v>210</v>
      </c>
      <c r="D65" s="5" t="s">
        <v>518</v>
      </c>
      <c r="E65" s="4">
        <v>2</v>
      </c>
      <c r="F65" s="3"/>
      <c r="G65" s="3"/>
      <c r="H65" s="2">
        <f t="shared" ca="1" si="26"/>
        <v>1</v>
      </c>
      <c r="I65" s="2">
        <f ca="1">CalibData2!C125</f>
        <v>1</v>
      </c>
      <c r="J65" s="1"/>
      <c r="K65" s="1"/>
      <c r="M65" s="224">
        <f t="shared" si="27"/>
        <v>47</v>
      </c>
      <c r="O65" s="139">
        <f t="shared" ca="1" si="28"/>
        <v>0</v>
      </c>
      <c r="P65" s="139">
        <f t="shared" ca="1" si="28"/>
        <v>0</v>
      </c>
      <c r="Q65" s="282">
        <f t="shared" ca="1" si="29"/>
        <v>0</v>
      </c>
      <c r="R65" s="282">
        <f t="shared" ca="1" si="29"/>
        <v>0</v>
      </c>
    </row>
    <row r="66" spans="2:18">
      <c r="B66" s="7" t="s">
        <v>533</v>
      </c>
      <c r="C66" s="17" t="s">
        <v>143</v>
      </c>
      <c r="D66" s="17" t="s">
        <v>519</v>
      </c>
      <c r="E66" s="310"/>
      <c r="F66" s="310">
        <v>1</v>
      </c>
      <c r="G66" s="310">
        <v>1</v>
      </c>
      <c r="H66" s="326">
        <f t="shared" ref="H66:H71" ca="1" si="30">IF(Q59,1/Q59,1)</f>
        <v>0.12770667543702688</v>
      </c>
      <c r="I66" s="326">
        <f t="shared" ref="I66:I71" ca="1" si="31">IF(R59,1/R59,1)</f>
        <v>0.12131443511637804</v>
      </c>
      <c r="J66" s="20"/>
      <c r="K66" s="20"/>
    </row>
    <row r="67" spans="2:18">
      <c r="B67" s="7" t="s">
        <v>502</v>
      </c>
      <c r="C67" s="17" t="s">
        <v>127</v>
      </c>
      <c r="D67" s="17" t="s">
        <v>519</v>
      </c>
      <c r="E67" s="310"/>
      <c r="F67" s="310">
        <v>1</v>
      </c>
      <c r="G67" s="310">
        <v>1</v>
      </c>
      <c r="H67" s="326">
        <f t="shared" ca="1" si="30"/>
        <v>0.58865565927143781</v>
      </c>
      <c r="I67" s="326">
        <f t="shared" ca="1" si="31"/>
        <v>0.77257269993009436</v>
      </c>
      <c r="J67" s="20"/>
      <c r="K67" s="20"/>
    </row>
    <row r="68" spans="2:18">
      <c r="B68" s="7" t="s">
        <v>536</v>
      </c>
      <c r="C68" s="17" t="s">
        <v>137</v>
      </c>
      <c r="D68" s="17" t="s">
        <v>520</v>
      </c>
      <c r="E68" s="310"/>
      <c r="F68" s="310">
        <v>1</v>
      </c>
      <c r="G68" s="310">
        <v>1</v>
      </c>
      <c r="H68" s="326">
        <f t="shared" ca="1" si="30"/>
        <v>8.3198107695327721</v>
      </c>
      <c r="I68" s="326">
        <f t="shared" ca="1" si="31"/>
        <v>6.9963924459951423</v>
      </c>
      <c r="J68" s="20"/>
      <c r="K68" s="20"/>
    </row>
    <row r="69" spans="2:18">
      <c r="B69" s="7" t="s">
        <v>505</v>
      </c>
      <c r="C69" s="17" t="s">
        <v>266</v>
      </c>
      <c r="D69" s="17" t="s">
        <v>520</v>
      </c>
      <c r="E69" s="310"/>
      <c r="F69" s="310">
        <v>1</v>
      </c>
      <c r="G69" s="310">
        <v>1</v>
      </c>
      <c r="H69" s="326">
        <f t="shared" ca="1" si="30"/>
        <v>2.2705612135702102</v>
      </c>
      <c r="I69" s="326">
        <f t="shared" ca="1" si="31"/>
        <v>2.4190992184264788</v>
      </c>
      <c r="J69" s="20"/>
      <c r="K69" s="20"/>
    </row>
    <row r="70" spans="2:18">
      <c r="B70" s="7" t="s">
        <v>506</v>
      </c>
      <c r="C70" s="17" t="s">
        <v>139</v>
      </c>
      <c r="D70" s="17" t="s">
        <v>520</v>
      </c>
      <c r="E70" s="310"/>
      <c r="F70" s="310">
        <v>1</v>
      </c>
      <c r="G70" s="310">
        <v>1</v>
      </c>
      <c r="H70" s="326">
        <f t="shared" ca="1" si="30"/>
        <v>0.71360426324656512</v>
      </c>
      <c r="I70" s="326">
        <f t="shared" ca="1" si="31"/>
        <v>0.79675864053629464</v>
      </c>
      <c r="J70" s="20"/>
      <c r="K70" s="20"/>
    </row>
    <row r="71" spans="2:18">
      <c r="B71" s="7" t="s">
        <v>503</v>
      </c>
      <c r="C71" s="17" t="s">
        <v>205</v>
      </c>
      <c r="D71" s="17" t="s">
        <v>519</v>
      </c>
      <c r="E71" s="310"/>
      <c r="F71" s="310">
        <v>1</v>
      </c>
      <c r="G71" s="310">
        <v>1</v>
      </c>
      <c r="H71" s="326">
        <f t="shared" ca="1" si="30"/>
        <v>2.4760045388783669</v>
      </c>
      <c r="I71" s="326">
        <f t="shared" ca="1" si="31"/>
        <v>3.0541746128315204</v>
      </c>
      <c r="J71" s="20"/>
      <c r="K71" s="20"/>
    </row>
  </sheetData>
  <phoneticPr fontId="35" type="noConversion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9"/>
  <dimension ref="A3:X34"/>
  <sheetViews>
    <sheetView zoomScale="80" workbookViewId="0">
      <selection activeCell="E13" sqref="E13"/>
    </sheetView>
  </sheetViews>
  <sheetFormatPr defaultRowHeight="12.75"/>
  <cols>
    <col min="3" max="3" width="33.140625" customWidth="1"/>
    <col min="4" max="4" width="11" customWidth="1"/>
    <col min="15" max="15" width="9" customWidth="1"/>
  </cols>
  <sheetData>
    <row r="3" spans="1:24" ht="18">
      <c r="A3" s="14" t="s">
        <v>66</v>
      </c>
      <c r="B3" s="14"/>
      <c r="C3" s="14"/>
      <c r="P3" s="324">
        <f ca="1">CEILING(AuxYear+7,5)</f>
        <v>2025</v>
      </c>
      <c r="Q3" s="324">
        <f ca="1">CEILING(AuxYear+17,5)</f>
        <v>2035</v>
      </c>
      <c r="R3" s="324">
        <f ca="1">CEILING(AuxYear+32,5)</f>
        <v>2050</v>
      </c>
      <c r="S3" s="324">
        <f ca="1">CEILING(AuxYear+52,5)</f>
        <v>2070</v>
      </c>
      <c r="T3" s="324">
        <f ca="1">CEILING(AuxYear+82,5)</f>
        <v>2100</v>
      </c>
      <c r="U3" s="324"/>
      <c r="V3" s="324">
        <f ca="1">AuxYear</f>
        <v>2017</v>
      </c>
      <c r="W3" s="324">
        <f ca="1">CEILING(AuxYear+32,5)</f>
        <v>2050</v>
      </c>
      <c r="X3" s="324">
        <f ca="1">CEILING(AuxYear+82,5)</f>
        <v>2100</v>
      </c>
    </row>
    <row r="4" spans="1:24" ht="18">
      <c r="A4" s="14" t="s">
        <v>149</v>
      </c>
      <c r="D4" s="193"/>
      <c r="G4" s="16"/>
    </row>
    <row r="5" spans="1:24" ht="18">
      <c r="A5" s="14"/>
      <c r="B5" s="18"/>
      <c r="C5" s="19"/>
      <c r="D5" s="193"/>
    </row>
    <row r="6" spans="1:24" ht="18">
      <c r="A6" s="14"/>
      <c r="B6" s="100" t="s">
        <v>288</v>
      </c>
      <c r="C6" s="128"/>
      <c r="D6" s="302" t="str">
        <f>"~FI_T: "&amp;Region</f>
        <v>~FI_T: FIM</v>
      </c>
      <c r="E6" s="60"/>
    </row>
    <row r="7" spans="1:24" ht="39" thickBot="1">
      <c r="A7" s="15"/>
      <c r="B7" s="48" t="s">
        <v>297</v>
      </c>
      <c r="C7" s="48" t="s">
        <v>298</v>
      </c>
      <c r="D7" s="48" t="s">
        <v>296</v>
      </c>
      <c r="E7" s="56" t="str">
        <f ca="1">CONCATENATE("\I:",IEAData2!$D$2," final energy")</f>
        <v>\I:2010 final energy</v>
      </c>
      <c r="F7" s="56" t="str">
        <f ca="1">CONCATENATE("\I:",AuxYear," final energy")</f>
        <v>\I:2017 final energy</v>
      </c>
      <c r="G7" s="48" t="s">
        <v>390</v>
      </c>
      <c r="H7" s="56" t="str">
        <f ca="1">"CEFF~"&amp;AuxYear</f>
        <v>CEFF~2017</v>
      </c>
      <c r="I7" s="48" t="s">
        <v>304</v>
      </c>
      <c r="J7" s="48" t="str">
        <f ca="1">"Share~FX~"&amp;AuxYear</f>
        <v>Share~FX~2017</v>
      </c>
      <c r="K7" s="56" t="str">
        <f ca="1">CONCATENATE("\I:",IEAData2!$D$2," Service Demand")</f>
        <v>\I:2010 Service Demand</v>
      </c>
      <c r="L7" s="56" t="str">
        <f ca="1">CONCATENATE("\I:",AuxYear," Service Demand")</f>
        <v>\I:2017 Service Demand</v>
      </c>
      <c r="M7" s="48" t="s">
        <v>313</v>
      </c>
      <c r="N7" s="48" t="s">
        <v>314</v>
      </c>
      <c r="O7" s="48" t="s">
        <v>305</v>
      </c>
      <c r="P7" s="48" t="str">
        <f>"CEFF~"&amp;P$3</f>
        <v>CEFF~2025</v>
      </c>
      <c r="Q7" s="48" t="str">
        <f>"CEFF~"&amp;Q$3</f>
        <v>CEFF~2035</v>
      </c>
      <c r="R7" s="48" t="str">
        <f>"CEFF~"&amp;R$3</f>
        <v>CEFF~2050</v>
      </c>
      <c r="S7" s="48" t="str">
        <f>"CEFF~"&amp;S$3</f>
        <v>CEFF~2070</v>
      </c>
      <c r="T7" s="48" t="str">
        <f>"CEFF~"&amp;T$3</f>
        <v>CEFF~2100</v>
      </c>
      <c r="U7" s="48" t="s">
        <v>308</v>
      </c>
      <c r="V7" s="48" t="str">
        <f>"EFF~"&amp;V$3</f>
        <v>EFF~2017</v>
      </c>
      <c r="W7" s="48" t="str">
        <f>"EFF~"&amp;W$3</f>
        <v>EFF~2050</v>
      </c>
      <c r="X7" s="48" t="str">
        <f>"EFF~"&amp;X$3</f>
        <v>EFF~2100</v>
      </c>
    </row>
    <row r="8" spans="1:24" ht="18.75" customHeight="1">
      <c r="B8" s="201" t="s">
        <v>154</v>
      </c>
      <c r="C8" s="29" t="s">
        <v>153</v>
      </c>
      <c r="D8" s="17" t="str">
        <f ca="1">IEAData2!$H$51</f>
        <v>TRAGSL</v>
      </c>
      <c r="E8" s="32">
        <f ca="1">IEAData2!$H88</f>
        <v>0</v>
      </c>
      <c r="F8" s="32">
        <f ca="1">AuxData2!$H88</f>
        <v>0</v>
      </c>
      <c r="G8" s="11">
        <v>0.35</v>
      </c>
      <c r="I8" s="66">
        <f ca="1">IF($N$29=0,0,E8/$E$12)</f>
        <v>0</v>
      </c>
      <c r="J8" s="66">
        <f ca="1">IF($N$29=0,0,F8/F$12)</f>
        <v>0</v>
      </c>
      <c r="K8" s="92">
        <f t="shared" ref="K8:L11" ca="1" si="0">E8*$G8*U$9</f>
        <v>0</v>
      </c>
      <c r="L8" s="92">
        <f t="shared" ca="1" si="0"/>
        <v>0</v>
      </c>
      <c r="M8" s="96"/>
      <c r="N8" s="96"/>
      <c r="P8" s="20"/>
      <c r="Q8" s="20"/>
      <c r="R8" s="96"/>
      <c r="S8" s="96"/>
      <c r="T8" s="96"/>
      <c r="U8" s="96"/>
      <c r="V8" s="96"/>
      <c r="W8" s="96"/>
      <c r="X8" s="96"/>
    </row>
    <row r="9" spans="1:24">
      <c r="B9" s="17"/>
      <c r="C9" s="29"/>
      <c r="D9" s="17" t="str">
        <f ca="1">RAIL2!$D$16</f>
        <v>TRADSO</v>
      </c>
      <c r="E9" s="32">
        <f ca="1">IEAData2!$K$88</f>
        <v>1.0223851590000001E-2</v>
      </c>
      <c r="F9" s="32">
        <f ca="1">AuxData2!$K$88</f>
        <v>4.6860065999999997E-3</v>
      </c>
      <c r="G9" s="11">
        <v>0.4</v>
      </c>
      <c r="I9" s="66">
        <f ca="1">IF($E$12=0,0,E9/$E$12)</f>
        <v>4.7369101273289763E-2</v>
      </c>
      <c r="J9" s="66">
        <f ca="1">IF($N$29=0,0,F9/F$12)</f>
        <v>1.6850614167858716E-2</v>
      </c>
      <c r="K9" s="92">
        <f t="shared" ca="1" si="0"/>
        <v>4.0895406360000009E-3</v>
      </c>
      <c r="L9" s="92">
        <f t="shared" ca="1" si="0"/>
        <v>1.9409990354233183E-3</v>
      </c>
      <c r="M9" s="92">
        <f ca="1">J9*0.6</f>
        <v>1.0110368500715229E-2</v>
      </c>
      <c r="N9" s="92">
        <f ca="1">M9*0.67</f>
        <v>6.7739468954792041E-3</v>
      </c>
      <c r="P9" s="20"/>
      <c r="Q9" s="20"/>
      <c r="R9" s="96">
        <v>0.45</v>
      </c>
      <c r="S9" s="96"/>
      <c r="T9" s="96">
        <v>0.49</v>
      </c>
      <c r="U9" s="280">
        <v>1</v>
      </c>
      <c r="V9" s="96">
        <f ca="1">U9*1.005^(AuxYear-BaseYear)</f>
        <v>1.0355293969407333</v>
      </c>
      <c r="W9" s="96">
        <f ca="1">V9*1.005^(W$3-AuxYear)</f>
        <v>1.2207942364867914</v>
      </c>
      <c r="X9" s="96">
        <f>W9*1.005^50</f>
        <v>1.5665546789841538</v>
      </c>
    </row>
    <row r="10" spans="1:24">
      <c r="A10" s="68"/>
      <c r="B10" s="35"/>
      <c r="C10" s="250"/>
      <c r="D10" s="35" t="str">
        <f ca="1">IEAData2!$L$51</f>
        <v>TRAHFO</v>
      </c>
      <c r="E10" s="70">
        <f ca="1">IEAData2!$L88</f>
        <v>0</v>
      </c>
      <c r="F10" s="70">
        <f ca="1">AuxData2!$L88</f>
        <v>0</v>
      </c>
      <c r="G10" s="65">
        <v>0.4</v>
      </c>
      <c r="H10" s="68"/>
      <c r="I10" s="66">
        <f ca="1">IF($N$29=0,0,E10/$E$12)</f>
        <v>0</v>
      </c>
      <c r="J10" s="66">
        <f ca="1">IF($N$29=0,0,F10/F$12)</f>
        <v>0</v>
      </c>
      <c r="K10" s="92">
        <f t="shared" si="0"/>
        <v>0</v>
      </c>
      <c r="L10" s="92">
        <f t="shared" si="0"/>
        <v>0</v>
      </c>
      <c r="M10" s="92"/>
      <c r="N10" s="92"/>
      <c r="O10" s="68"/>
      <c r="P10" s="92"/>
      <c r="Q10" s="92"/>
      <c r="R10" s="92"/>
      <c r="S10" s="92"/>
      <c r="T10" s="92"/>
      <c r="U10" s="92"/>
      <c r="V10" s="92"/>
      <c r="W10" s="92"/>
      <c r="X10" s="92"/>
    </row>
    <row r="11" spans="1:24" ht="13.5" thickBot="1">
      <c r="A11" s="68"/>
      <c r="B11" s="64"/>
      <c r="C11" s="64"/>
      <c r="D11" s="64" t="str">
        <f ca="1">COMM2!$C$31</f>
        <v>TTRELC</v>
      </c>
      <c r="E11" s="33">
        <f ca="1">IEAData2!$M$88-E13</f>
        <v>0.20560991589093325</v>
      </c>
      <c r="F11" s="33">
        <f ca="1">AuxData2!$M$88-F13</f>
        <v>0.27340513911848696</v>
      </c>
      <c r="G11" s="21">
        <v>1</v>
      </c>
      <c r="H11" s="21"/>
      <c r="I11" s="95"/>
      <c r="J11" s="21"/>
      <c r="K11" s="91">
        <f t="shared" ca="1" si="0"/>
        <v>0.20560991589093325</v>
      </c>
      <c r="L11" s="91">
        <f t="shared" ca="1" si="0"/>
        <v>0.28311905883186411</v>
      </c>
      <c r="M11" s="91"/>
      <c r="N11" s="91"/>
      <c r="O11" s="21"/>
      <c r="P11" s="91"/>
      <c r="Q11" s="91"/>
      <c r="R11" s="91"/>
      <c r="S11" s="91"/>
      <c r="T11" s="91"/>
      <c r="U11" s="91"/>
      <c r="V11" s="91"/>
      <c r="W11" s="91"/>
      <c r="X11" s="91"/>
    </row>
    <row r="12" spans="1:24">
      <c r="B12" s="321" t="s">
        <v>470</v>
      </c>
      <c r="C12" s="322"/>
      <c r="D12" s="322"/>
      <c r="E12" s="323">
        <f ca="1">SUM(E8:E11)</f>
        <v>0.21583376748093325</v>
      </c>
      <c r="F12" s="323">
        <f ca="1">SUM(F8:F11)</f>
        <v>0.27809114571848698</v>
      </c>
      <c r="G12" s="322"/>
      <c r="H12" s="322"/>
      <c r="I12" s="322" t="s">
        <v>65</v>
      </c>
      <c r="J12" s="322"/>
      <c r="K12" s="323">
        <f ca="1">SUM(K8:K11)</f>
        <v>0.20969945652693325</v>
      </c>
      <c r="L12" s="323">
        <f ca="1">SUM(L8:L11)</f>
        <v>0.28506005786728744</v>
      </c>
      <c r="M12" s="323"/>
      <c r="N12" s="322"/>
      <c r="O12" s="322"/>
      <c r="P12" s="322"/>
      <c r="Q12" s="322"/>
      <c r="R12" s="322"/>
      <c r="S12" s="322"/>
      <c r="T12" s="322"/>
      <c r="U12" s="322"/>
      <c r="V12" s="322"/>
      <c r="W12" s="322"/>
      <c r="X12" s="322"/>
    </row>
    <row r="13" spans="1:24">
      <c r="B13" s="35" t="s">
        <v>537</v>
      </c>
      <c r="C13" s="35" t="s">
        <v>512</v>
      </c>
      <c r="D13" s="252" t="s">
        <v>420</v>
      </c>
      <c r="E13" s="70">
        <f ca="1">MAX(0.005,IEAData2!$M$88*CalibData2!N$114)</f>
        <v>0.25130100831114072</v>
      </c>
      <c r="F13" s="70">
        <f ca="1">AuxData2!$M$88*CalibData2!O$114</f>
        <v>0.33416183670037303</v>
      </c>
      <c r="G13" s="65">
        <v>1</v>
      </c>
      <c r="H13" s="11">
        <v>1</v>
      </c>
      <c r="I13" s="66"/>
      <c r="J13" s="92"/>
      <c r="K13" s="92">
        <f ca="1">E13*$G13</f>
        <v>0.25130100831114072</v>
      </c>
      <c r="L13" s="92">
        <f ca="1">F13*$G13</f>
        <v>0.33416183670037303</v>
      </c>
      <c r="M13" s="92"/>
      <c r="N13" s="92"/>
      <c r="O13" s="318">
        <v>1</v>
      </c>
      <c r="P13" s="92">
        <f ca="1">$H13*1.004^(P$3-AuxYear)</f>
        <v>1.032451601977459</v>
      </c>
      <c r="Q13" s="92">
        <f ca="1">$H13*1.004^(Q$3-AuxYear)</f>
        <v>1.0745010162101949</v>
      </c>
      <c r="R13" s="92">
        <f ca="1">$H13*1.004^(R$3-AuxYear)</f>
        <v>1.1408079071595767</v>
      </c>
      <c r="S13" s="92"/>
      <c r="T13" s="92"/>
      <c r="U13" s="92"/>
      <c r="V13" s="92"/>
      <c r="W13" s="92"/>
      <c r="X13" s="92"/>
    </row>
    <row r="14" spans="1:24" ht="15" customHeight="1">
      <c r="B14" s="278" t="s">
        <v>470</v>
      </c>
      <c r="C14" s="150"/>
      <c r="D14" s="150"/>
      <c r="E14" s="151">
        <f ca="1">SUM(E13:E13)</f>
        <v>0.25130100831114072</v>
      </c>
      <c r="F14" s="151">
        <f ca="1">SUM(F13:F13)</f>
        <v>0.33416183670037303</v>
      </c>
      <c r="G14" s="150"/>
      <c r="H14" s="150"/>
      <c r="I14" s="150" t="s">
        <v>65</v>
      </c>
      <c r="J14" s="150"/>
      <c r="K14" s="151">
        <f ca="1">SUM(K13:K13)</f>
        <v>0.25130100831114072</v>
      </c>
      <c r="L14" s="151">
        <f ca="1">SUM(L13:L13)</f>
        <v>0.33416183670037303</v>
      </c>
      <c r="M14" s="151"/>
      <c r="N14" s="150"/>
      <c r="O14" s="150"/>
      <c r="P14" s="150"/>
      <c r="Q14" s="150"/>
      <c r="R14" s="150"/>
      <c r="S14" s="150"/>
      <c r="T14" s="150"/>
      <c r="U14" s="150"/>
      <c r="V14" s="150"/>
      <c r="W14" s="150"/>
      <c r="X14" s="150"/>
    </row>
    <row r="15" spans="1:24">
      <c r="B15" s="201" t="s">
        <v>150</v>
      </c>
      <c r="C15" s="29" t="s">
        <v>152</v>
      </c>
      <c r="D15" s="17" t="str">
        <f ca="1">IEAData2!$H$51</f>
        <v>TRAGSL</v>
      </c>
      <c r="E15" s="32">
        <f ca="1">IEAData2!$H87</f>
        <v>0</v>
      </c>
      <c r="F15" s="32">
        <f ca="1">AuxData2!$H87</f>
        <v>0</v>
      </c>
      <c r="G15" s="11">
        <v>0.35</v>
      </c>
      <c r="H15" s="11">
        <f>G15*1.02</f>
        <v>0.35699999999999998</v>
      </c>
      <c r="I15" s="66">
        <f ca="1">IF($N$31=0,0,E15/$E$19)</f>
        <v>0</v>
      </c>
      <c r="J15" s="66">
        <f ca="1">IF($N$31=0,0,F15/F$19)</f>
        <v>0</v>
      </c>
      <c r="K15" s="92">
        <f t="shared" ref="K15:L18" ca="1" si="1">G15*E15</f>
        <v>0</v>
      </c>
      <c r="L15" s="92">
        <f t="shared" ca="1" si="1"/>
        <v>0</v>
      </c>
      <c r="M15" s="96"/>
      <c r="N15" s="96"/>
      <c r="O15" s="11"/>
      <c r="P15" s="96"/>
      <c r="Q15" s="96"/>
      <c r="R15" s="96"/>
      <c r="S15" s="96"/>
      <c r="T15" s="96"/>
      <c r="U15" s="92"/>
      <c r="V15" s="92"/>
      <c r="W15" s="92"/>
      <c r="X15" s="92"/>
    </row>
    <row r="16" spans="1:24">
      <c r="B16" s="17"/>
      <c r="C16" s="29"/>
      <c r="D16" s="17" t="s">
        <v>426</v>
      </c>
      <c r="E16" s="32">
        <f ca="1">IEAData2!$K$87</f>
        <v>5.7935159010000001E-2</v>
      </c>
      <c r="F16" s="32">
        <f ca="1">AuxData2!$K$87</f>
        <v>3.7914053400000002E-2</v>
      </c>
      <c r="G16" s="11">
        <v>0.4</v>
      </c>
      <c r="H16" s="11">
        <f>G16*1.02</f>
        <v>0.40800000000000003</v>
      </c>
      <c r="I16" s="66">
        <f ca="1">IF($N$31=0,0,E16/$E$19)</f>
        <v>0.53296724073951107</v>
      </c>
      <c r="J16" s="66">
        <f ca="1">IF($N$31=0,0,F16/F$19)</f>
        <v>0.35964253156628023</v>
      </c>
      <c r="K16" s="92">
        <f t="shared" ca="1" si="1"/>
        <v>2.3174063604000001E-2</v>
      </c>
      <c r="L16" s="92">
        <f t="shared" ca="1" si="1"/>
        <v>1.5468933787200002E-2</v>
      </c>
      <c r="M16" s="92"/>
      <c r="N16" s="92"/>
      <c r="O16" s="65"/>
      <c r="P16" s="67">
        <f ca="1">H16*1.003^(P$3-AuxYear)</f>
        <v>0.41789543521492001</v>
      </c>
      <c r="Q16" s="96"/>
      <c r="R16" s="67">
        <f ca="1">P16*1.003^(R$3-P$3)</f>
        <v>0.45039229548387405</v>
      </c>
      <c r="S16" s="96"/>
      <c r="T16" s="67">
        <f>R16*1.002^(T$3-R$3)</f>
        <v>0.49771075939820791</v>
      </c>
      <c r="U16" s="92"/>
      <c r="V16" s="92"/>
      <c r="W16" s="92"/>
      <c r="X16" s="92"/>
    </row>
    <row r="17" spans="2:24">
      <c r="B17" s="35"/>
      <c r="C17" s="35"/>
      <c r="D17" s="17" t="str">
        <f ca="1">IEAData2!$L$51</f>
        <v>TRAHFO</v>
      </c>
      <c r="E17" s="32">
        <f ca="1">IEAData2!$L87</f>
        <v>0</v>
      </c>
      <c r="F17" s="32">
        <f ca="1">AuxData2!$L87</f>
        <v>0</v>
      </c>
      <c r="G17" s="11">
        <v>0.4</v>
      </c>
      <c r="H17" s="11">
        <f>G17*1.02</f>
        <v>0.40800000000000003</v>
      </c>
      <c r="I17" s="66">
        <f ca="1">IF($N$31=0,0,E17/$E$19)</f>
        <v>0</v>
      </c>
      <c r="J17" s="66">
        <f ca="1">IF($N$31=0,0,F17/F$19)</f>
        <v>0</v>
      </c>
      <c r="K17" s="92">
        <f t="shared" si="1"/>
        <v>0</v>
      </c>
      <c r="L17" s="92">
        <f t="shared" si="1"/>
        <v>0</v>
      </c>
      <c r="M17" s="92"/>
      <c r="N17" s="92"/>
      <c r="O17" s="65"/>
      <c r="P17" s="92"/>
      <c r="Q17" s="92"/>
      <c r="R17" s="92"/>
      <c r="S17" s="92"/>
      <c r="T17" s="92"/>
      <c r="U17" s="92"/>
      <c r="V17" s="92"/>
      <c r="W17" s="92"/>
      <c r="X17" s="92"/>
    </row>
    <row r="18" spans="2:24" ht="13.5" thickBot="1">
      <c r="B18" s="64"/>
      <c r="C18" s="64"/>
      <c r="D18" s="64" t="str">
        <f ca="1">COMM2!$C$31</f>
        <v>TTRELC</v>
      </c>
      <c r="E18" s="33">
        <f ca="1">IEAData2!$M$87</f>
        <v>5.0767880466897113E-2</v>
      </c>
      <c r="F18" s="33">
        <f ca="1">AuxData2!$M$87</f>
        <v>6.750744175765111E-2</v>
      </c>
      <c r="G18" s="21">
        <v>1</v>
      </c>
      <c r="H18" s="21">
        <v>1</v>
      </c>
      <c r="I18" s="95"/>
      <c r="J18" s="21"/>
      <c r="K18" s="91">
        <f t="shared" ca="1" si="1"/>
        <v>5.0767880466897113E-2</v>
      </c>
      <c r="L18" s="91">
        <f t="shared" ca="1" si="1"/>
        <v>6.750744175765111E-2</v>
      </c>
      <c r="M18" s="91"/>
      <c r="N18" s="91"/>
      <c r="O18" s="21"/>
      <c r="P18" s="91"/>
      <c r="Q18" s="91"/>
      <c r="R18" s="91"/>
      <c r="S18" s="91"/>
      <c r="T18" s="91"/>
      <c r="U18" s="91"/>
      <c r="V18" s="91"/>
      <c r="W18" s="91"/>
      <c r="X18" s="91"/>
    </row>
    <row r="19" spans="2:24">
      <c r="B19" s="278" t="s">
        <v>470</v>
      </c>
      <c r="C19" s="150"/>
      <c r="D19" s="150"/>
      <c r="E19" s="151">
        <f ca="1">SUM(E15:E18)</f>
        <v>0.10870303947689711</v>
      </c>
      <c r="F19" s="151">
        <f ca="1">SUM(F15:F18)</f>
        <v>0.10542149515765112</v>
      </c>
      <c r="G19" s="150"/>
      <c r="H19" s="150"/>
      <c r="I19" s="150" t="s">
        <v>65</v>
      </c>
      <c r="J19" s="150"/>
      <c r="K19" s="151">
        <f ca="1">SUM(K15:K18)</f>
        <v>7.3941944070897117E-2</v>
      </c>
      <c r="L19" s="151">
        <f ca="1">SUM(L15:L18)</f>
        <v>8.2976375544851114E-2</v>
      </c>
      <c r="M19" s="151"/>
      <c r="N19" s="150"/>
      <c r="O19" s="150"/>
      <c r="P19" s="150"/>
      <c r="Q19" s="150"/>
      <c r="R19" s="150"/>
      <c r="S19" s="150"/>
      <c r="T19" s="150"/>
      <c r="U19" s="150"/>
      <c r="V19" s="150"/>
      <c r="W19" s="150"/>
      <c r="X19" s="150"/>
    </row>
    <row r="26" spans="2:24">
      <c r="C26" s="140"/>
      <c r="D26" s="188"/>
      <c r="E26" s="11"/>
      <c r="J26" s="11"/>
    </row>
    <row r="27" spans="2:24" ht="18">
      <c r="B27" s="200" t="s">
        <v>289</v>
      </c>
      <c r="C27" s="138"/>
      <c r="D27" s="302" t="str">
        <f>"~FI_T: "&amp;Region</f>
        <v>~FI_T: FIM</v>
      </c>
      <c r="F27" s="16"/>
      <c r="G27" s="16"/>
      <c r="H27" s="16"/>
      <c r="I27" s="16"/>
    </row>
    <row r="28" spans="2:24" ht="13.5" thickBot="1">
      <c r="B28" s="31" t="s">
        <v>292</v>
      </c>
      <c r="C28" s="31" t="s">
        <v>293</v>
      </c>
      <c r="D28" s="30" t="s">
        <v>61</v>
      </c>
      <c r="E28" s="102" t="s">
        <v>498</v>
      </c>
      <c r="F28" s="102" t="s">
        <v>344</v>
      </c>
      <c r="G28" s="102" t="str">
        <f ca="1">F28&amp;"~"&amp;AuxYear</f>
        <v>DEMAND~2017</v>
      </c>
      <c r="H28" s="271" t="s">
        <v>464</v>
      </c>
      <c r="I28" s="102" t="str">
        <f ca="1">H28&amp;"~"&amp;AuxYear</f>
        <v>COM_IE~2017</v>
      </c>
      <c r="J28" s="30"/>
      <c r="K28" s="30"/>
      <c r="N28" s="223">
        <v>2010</v>
      </c>
      <c r="O28" s="223">
        <v>2017</v>
      </c>
      <c r="P28" s="223">
        <v>2010</v>
      </c>
      <c r="Q28" s="223">
        <v>2017</v>
      </c>
    </row>
    <row r="29" spans="2:24" ht="12.95" customHeight="1">
      <c r="B29" s="34" t="s">
        <v>155</v>
      </c>
      <c r="C29" s="73" t="s">
        <v>157</v>
      </c>
      <c r="D29" s="73" t="s">
        <v>64</v>
      </c>
      <c r="E29" s="310">
        <v>2</v>
      </c>
      <c r="F29" s="327"/>
      <c r="G29" s="327"/>
      <c r="H29" s="325">
        <v>2.6756366688288153</v>
      </c>
      <c r="I29" s="325">
        <v>2.6914378184777412</v>
      </c>
      <c r="J29" s="20"/>
      <c r="K29" s="20"/>
      <c r="N29" s="139">
        <f ca="1">K12</f>
        <v>0.20969945652693325</v>
      </c>
      <c r="O29" s="139">
        <f ca="1">L12</f>
        <v>0.28506005786728744</v>
      </c>
      <c r="P29" s="319">
        <f t="shared" ref="P29:Q31" ca="1" si="2">N29*H29</f>
        <v>0.56107955531693665</v>
      </c>
      <c r="Q29" s="319">
        <f t="shared" ca="1" si="2"/>
        <v>0.76722142028147078</v>
      </c>
    </row>
    <row r="30" spans="2:24" ht="12.95" customHeight="1">
      <c r="B30" s="34" t="s">
        <v>513</v>
      </c>
      <c r="C30" s="73" t="s">
        <v>514</v>
      </c>
      <c r="D30" s="73" t="s">
        <v>64</v>
      </c>
      <c r="E30" s="310">
        <v>2</v>
      </c>
      <c r="F30" s="327"/>
      <c r="G30" s="327"/>
      <c r="H30" s="325">
        <v>1.9541043565466183</v>
      </c>
      <c r="I30" s="325">
        <v>1.5548555201889394</v>
      </c>
      <c r="J30" s="20"/>
      <c r="K30" s="20"/>
      <c r="N30" s="139">
        <f ca="1">K14</f>
        <v>0.25130100831114072</v>
      </c>
      <c r="O30" s="139">
        <f ca="1">L14</f>
        <v>0.33416183670037303</v>
      </c>
      <c r="P30" s="319">
        <f t="shared" ca="1" si="2"/>
        <v>0.49106839514535799</v>
      </c>
      <c r="Q30" s="319">
        <f t="shared" ca="1" si="2"/>
        <v>0.51957337643004986</v>
      </c>
    </row>
    <row r="31" spans="2:24" ht="12.95" customHeight="1">
      <c r="B31" s="34" t="s">
        <v>151</v>
      </c>
      <c r="C31" s="73" t="s">
        <v>156</v>
      </c>
      <c r="D31" s="73" t="s">
        <v>64</v>
      </c>
      <c r="E31" s="310">
        <v>2</v>
      </c>
      <c r="F31" s="327"/>
      <c r="G31" s="327"/>
      <c r="H31" s="325">
        <v>7.0549999999999997</v>
      </c>
      <c r="I31" s="325">
        <f ca="1">1.06277*H31*N31/O31</f>
        <v>6.6814805546240317</v>
      </c>
      <c r="J31" s="20"/>
      <c r="K31" s="20"/>
      <c r="N31" s="139">
        <f ca="1">K19</f>
        <v>7.3941944070897117E-2</v>
      </c>
      <c r="O31" s="139">
        <f ca="1">L19</f>
        <v>8.2976375544851114E-2</v>
      </c>
      <c r="P31" s="319">
        <f t="shared" ca="1" si="2"/>
        <v>0.52166041542017916</v>
      </c>
      <c r="Q31" s="319">
        <f t="shared" ca="1" si="2"/>
        <v>0.55440503969610377</v>
      </c>
    </row>
    <row r="32" spans="2:24" ht="12.95" customHeight="1">
      <c r="B32" s="34" t="s">
        <v>530</v>
      </c>
      <c r="C32" s="73" t="s">
        <v>157</v>
      </c>
      <c r="D32" s="73" t="s">
        <v>64</v>
      </c>
      <c r="E32" s="310"/>
      <c r="F32" s="310">
        <v>1</v>
      </c>
      <c r="G32" s="310">
        <v>1</v>
      </c>
      <c r="H32" s="325">
        <f t="shared" ref="H32:I34" ca="1" si="3">IF(P29,1/P29,1)</f>
        <v>1.7822784496846096</v>
      </c>
      <c r="I32" s="325">
        <f t="shared" ca="1" si="3"/>
        <v>1.3034046933063075</v>
      </c>
      <c r="J32" s="20"/>
      <c r="K32" s="20"/>
    </row>
    <row r="33" spans="2:11" ht="12.95" customHeight="1">
      <c r="B33" s="34" t="s">
        <v>531</v>
      </c>
      <c r="C33" s="73" t="s">
        <v>514</v>
      </c>
      <c r="D33" s="73" t="s">
        <v>64</v>
      </c>
      <c r="E33" s="310"/>
      <c r="F33" s="310">
        <v>1</v>
      </c>
      <c r="G33" s="310">
        <v>1</v>
      </c>
      <c r="H33" s="325">
        <f t="shared" ca="1" si="3"/>
        <v>2.0363762153823735</v>
      </c>
      <c r="I33" s="325">
        <f t="shared" ca="1" si="3"/>
        <v>1.9246559684619058</v>
      </c>
      <c r="J33" s="20"/>
      <c r="K33" s="20"/>
    </row>
    <row r="34" spans="2:11" ht="12.95" customHeight="1">
      <c r="B34" s="34" t="s">
        <v>532</v>
      </c>
      <c r="C34" s="73" t="s">
        <v>156</v>
      </c>
      <c r="D34" s="73" t="s">
        <v>64</v>
      </c>
      <c r="E34" s="310"/>
      <c r="F34" s="310">
        <v>1</v>
      </c>
      <c r="G34" s="310">
        <v>1</v>
      </c>
      <c r="H34" s="325">
        <f t="shared" ca="1" si="3"/>
        <v>1.9169558786524661</v>
      </c>
      <c r="I34" s="325">
        <f t="shared" ca="1" si="3"/>
        <v>1.8037354071459171</v>
      </c>
      <c r="J34" s="20"/>
      <c r="K34" s="20"/>
    </row>
  </sheetData>
  <phoneticPr fontId="35" type="noConversion"/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10"/>
  <dimension ref="A1:V17"/>
  <sheetViews>
    <sheetView zoomScale="80" workbookViewId="0">
      <selection activeCell="I1" sqref="I1"/>
    </sheetView>
  </sheetViews>
  <sheetFormatPr defaultRowHeight="12.75"/>
  <cols>
    <col min="3" max="3" width="36" customWidth="1"/>
  </cols>
  <sheetData>
    <row r="1" spans="1:22" ht="18">
      <c r="A1" s="14" t="s">
        <v>128</v>
      </c>
      <c r="B1" s="14"/>
      <c r="C1" s="14"/>
      <c r="Q1">
        <f ca="1">CEILING(AuxYear+7,5)</f>
        <v>2025</v>
      </c>
      <c r="R1">
        <f ca="1">CEILING(AuxYear+17,5)</f>
        <v>2035</v>
      </c>
      <c r="S1">
        <f ca="1">CEILING(AuxYear+32,5)</f>
        <v>2050</v>
      </c>
      <c r="T1">
        <f ca="1">CEILING(AuxYear+47,5)</f>
        <v>2065</v>
      </c>
      <c r="U1">
        <f ca="1">CEILING(AuxYear+62,5)</f>
        <v>2080</v>
      </c>
      <c r="V1">
        <f ca="1">CEILING(AuxYear+82,5)</f>
        <v>2100</v>
      </c>
    </row>
    <row r="2" spans="1:22" ht="18">
      <c r="A2" s="14" t="s">
        <v>147</v>
      </c>
      <c r="D2" s="193"/>
      <c r="G2" s="16"/>
    </row>
    <row r="3" spans="1:22" ht="18">
      <c r="A3" s="14"/>
      <c r="B3" s="18"/>
      <c r="C3" s="19"/>
      <c r="D3" s="193"/>
    </row>
    <row r="4" spans="1:22" ht="18">
      <c r="A4" s="14"/>
      <c r="B4" s="100" t="s">
        <v>288</v>
      </c>
      <c r="C4" s="128"/>
      <c r="D4" s="302" t="str">
        <f>"~FI_T: "&amp;Region</f>
        <v>~FI_T: FIM</v>
      </c>
      <c r="E4" s="60"/>
    </row>
    <row r="5" spans="1:22" ht="39" thickBot="1">
      <c r="A5" s="15"/>
      <c r="B5" s="48" t="s">
        <v>297</v>
      </c>
      <c r="C5" s="48" t="s">
        <v>298</v>
      </c>
      <c r="D5" s="48" t="s">
        <v>296</v>
      </c>
      <c r="E5" s="56" t="str">
        <f ca="1">CONCATENATE("\I:",IEAData2!$D$2," final energy")</f>
        <v>\I:2010 final energy</v>
      </c>
      <c r="F5" s="56" t="str">
        <f ca="1">CONCATENATE("\I:",AuxYear," final energy")</f>
        <v>\I:2017 final energy</v>
      </c>
      <c r="G5" s="48" t="s">
        <v>304</v>
      </c>
      <c r="H5" s="56" t="s">
        <v>308</v>
      </c>
      <c r="I5" s="56" t="str">
        <f ca="1">"EFF~"&amp;AuxYear</f>
        <v>EFF~2017</v>
      </c>
      <c r="J5" s="48" t="s">
        <v>55</v>
      </c>
      <c r="K5" s="56" t="str">
        <f ca="1">CONCATENATE("\I:",IEAData2!$D$2," Service Demand")</f>
        <v>\I:2010 Service Demand</v>
      </c>
      <c r="L5" s="56" t="str">
        <f ca="1">CONCATENATE("\I:",AuxYear," Service Demand")</f>
        <v>\I:2017 Service Demand</v>
      </c>
      <c r="M5" s="48" t="s">
        <v>312</v>
      </c>
      <c r="N5" s="48" t="s">
        <v>465</v>
      </c>
      <c r="O5" s="48" t="s">
        <v>314</v>
      </c>
      <c r="P5" s="48" t="s">
        <v>305</v>
      </c>
      <c r="Q5" s="48" t="str">
        <f t="shared" ref="Q5:V5" si="0">"EFF~"&amp;Q$1</f>
        <v>EFF~2025</v>
      </c>
      <c r="R5" s="48" t="str">
        <f t="shared" si="0"/>
        <v>EFF~2035</v>
      </c>
      <c r="S5" s="48" t="str">
        <f t="shared" si="0"/>
        <v>EFF~2050</v>
      </c>
      <c r="T5" s="48" t="str">
        <f t="shared" si="0"/>
        <v>EFF~2065</v>
      </c>
      <c r="U5" s="48" t="str">
        <f t="shared" si="0"/>
        <v>EFF~2080</v>
      </c>
      <c r="V5" s="48" t="str">
        <f t="shared" si="0"/>
        <v>EFF~2100</v>
      </c>
    </row>
    <row r="6" spans="1:22" ht="19.5" customHeight="1">
      <c r="B6" s="201" t="s">
        <v>525</v>
      </c>
      <c r="C6" s="29" t="s">
        <v>129</v>
      </c>
      <c r="D6" s="17" t="s">
        <v>440</v>
      </c>
      <c r="E6" s="32">
        <f ca="1">IEAData2!$J75</f>
        <v>20.201381175600005</v>
      </c>
      <c r="F6" s="32">
        <f ca="1">AuxData2!$J75</f>
        <v>25.464600720000004</v>
      </c>
      <c r="H6" s="11">
        <v>1</v>
      </c>
      <c r="I6" s="12">
        <f ca="1">H6*1.007^(AuxYear-BaseYear)</f>
        <v>1.0500410893887704</v>
      </c>
      <c r="J6" s="11">
        <v>1</v>
      </c>
      <c r="K6" s="145">
        <f ca="1">E6*H6</f>
        <v>20.201381175600005</v>
      </c>
      <c r="L6" s="145">
        <f ca="1">F6*I6</f>
        <v>26.738877080878872</v>
      </c>
      <c r="M6" s="145"/>
      <c r="N6" s="146"/>
      <c r="O6" s="135"/>
      <c r="P6" s="11">
        <v>1</v>
      </c>
      <c r="Q6" s="20">
        <f ca="1">I6*1.008^(Q$1-AuxYear)</f>
        <v>1.1191558025222916</v>
      </c>
      <c r="R6" s="20">
        <f>Q6*1.008^(R$1-Q$1)</f>
        <v>1.2119811683242634</v>
      </c>
      <c r="S6" s="20">
        <f>R6*1.008^(S$1-R$1)</f>
        <v>1.3658526622108624</v>
      </c>
      <c r="T6" s="20">
        <f>S6*1.01^(T$1-S$1)</f>
        <v>1.5857125384362762</v>
      </c>
      <c r="U6" s="20">
        <f>T6*1.01^(U$1-T$1)</f>
        <v>1.8409630292654722</v>
      </c>
      <c r="V6" s="20">
        <f>U6*1.01^(V$1-U$1)</f>
        <v>2.2463247522221668</v>
      </c>
    </row>
    <row r="7" spans="1:22" ht="13.5" thickBot="1">
      <c r="B7" s="278" t="s">
        <v>470</v>
      </c>
      <c r="C7" s="150"/>
      <c r="D7" s="150"/>
      <c r="E7" s="151"/>
      <c r="F7" s="150"/>
      <c r="G7" s="150" t="s">
        <v>65</v>
      </c>
      <c r="H7" s="150" t="s">
        <v>65</v>
      </c>
      <c r="I7" s="150" t="s">
        <v>65</v>
      </c>
      <c r="J7" s="150"/>
      <c r="K7" s="151">
        <f ca="1">SUM(K6)</f>
        <v>20.201381175600005</v>
      </c>
      <c r="L7" s="151">
        <f ca="1">SUM(L6)</f>
        <v>26.738877080878872</v>
      </c>
      <c r="M7" s="150"/>
      <c r="N7" s="150"/>
      <c r="O7" s="151"/>
      <c r="P7" s="150"/>
      <c r="Q7" s="150"/>
      <c r="R7" s="150"/>
      <c r="S7" s="150"/>
      <c r="T7" s="150"/>
      <c r="U7" s="150"/>
      <c r="V7" s="150"/>
    </row>
    <row r="8" spans="1:22" ht="14.25" customHeight="1">
      <c r="B8" s="201" t="s">
        <v>526</v>
      </c>
      <c r="C8" s="29" t="s">
        <v>148</v>
      </c>
      <c r="D8" s="17" t="str">
        <f ca="1">IEAData2!J51</f>
        <v>TRAJTK</v>
      </c>
      <c r="E8" s="32">
        <f ca="1">IEAData2!$J76</f>
        <v>2.3219992800000004</v>
      </c>
      <c r="F8" s="32">
        <f ca="1">AuxData2!$J76</f>
        <v>1.8919998400000002</v>
      </c>
      <c r="G8" s="12">
        <f ca="1">IF($E$10=0,1,E8/$E$10)</f>
        <v>0.98506593156757982</v>
      </c>
      <c r="H8" s="11">
        <v>1</v>
      </c>
      <c r="I8" s="12">
        <f ca="1">H8*1.007^(AuxYear-BaseYear)</f>
        <v>1.0500410893887704</v>
      </c>
      <c r="J8" s="11">
        <v>1</v>
      </c>
      <c r="K8" s="145">
        <f ca="1">E8*H8</f>
        <v>2.3219992800000004</v>
      </c>
      <c r="L8" s="145">
        <f ca="1">F8*I8</f>
        <v>1.9866775731169795</v>
      </c>
      <c r="M8" s="146">
        <f>IF(F10,F8/F10,1)</f>
        <v>0.99078359614970146</v>
      </c>
      <c r="N8" s="135"/>
      <c r="O8" s="135">
        <f>M8</f>
        <v>0.99078359614970146</v>
      </c>
      <c r="P8" s="11">
        <v>1</v>
      </c>
      <c r="Q8" s="20">
        <f ca="1">I8*1.008^(Q$1-AuxYear)</f>
        <v>1.1191558025222916</v>
      </c>
      <c r="R8" s="20">
        <f>Q8*1.008^(R$1-Q$1)</f>
        <v>1.2119811683242634</v>
      </c>
      <c r="S8" s="20">
        <f>R8*1.008^(S$1-R$1)</f>
        <v>1.3658526622108624</v>
      </c>
      <c r="T8" s="20">
        <f>S8*1.01^(T$1-S$1)</f>
        <v>1.5857125384362762</v>
      </c>
      <c r="U8" s="20">
        <f>T8*1.01^(U$1-T$1)</f>
        <v>1.8409630292654722</v>
      </c>
      <c r="V8" s="20">
        <f>U8*1.01^(V$1-U$1)</f>
        <v>2.2463247522221668</v>
      </c>
    </row>
    <row r="9" spans="1:22" ht="13.5" thickBot="1">
      <c r="B9" s="28"/>
      <c r="C9" s="28"/>
      <c r="D9" s="28" t="str">
        <f ca="1">IEAData2!I51</f>
        <v>TRAAVG</v>
      </c>
      <c r="E9" s="33">
        <f ca="1">IEAData2!$I76</f>
        <v>3.5202614399999999E-2</v>
      </c>
      <c r="F9" s="33">
        <f ca="1">AuxData2!$I76</f>
        <v>1.759964E-2</v>
      </c>
      <c r="G9" s="95"/>
      <c r="H9" s="21"/>
      <c r="I9" s="21"/>
      <c r="J9" s="21"/>
      <c r="K9" s="91">
        <f>E9*H8</f>
        <v>3.5202614399999999E-2</v>
      </c>
      <c r="L9" s="91">
        <f>F9*I8</f>
        <v>1.8480345158450179E-2</v>
      </c>
      <c r="M9" s="54"/>
      <c r="N9" s="53"/>
      <c r="O9" s="53"/>
      <c r="P9" s="21"/>
      <c r="Q9" s="53"/>
      <c r="R9" s="53"/>
      <c r="S9" s="53"/>
      <c r="T9" s="53"/>
      <c r="U9" s="53"/>
      <c r="V9" s="53"/>
    </row>
    <row r="10" spans="1:22">
      <c r="B10" s="278" t="s">
        <v>470</v>
      </c>
      <c r="C10" s="150"/>
      <c r="D10" s="150"/>
      <c r="E10" s="151">
        <f>SUM(E8:E9)</f>
        <v>2.3572018944000006</v>
      </c>
      <c r="F10" s="151">
        <f>SUM(F8:F9)</f>
        <v>1.9095994800000002</v>
      </c>
      <c r="G10" s="150" t="s">
        <v>65</v>
      </c>
      <c r="H10" s="150"/>
      <c r="I10" s="150"/>
      <c r="J10" s="150"/>
      <c r="K10" s="151">
        <f>SUM(K8:K9)</f>
        <v>2.3572018944000006</v>
      </c>
      <c r="L10" s="151">
        <f>SUM(L8:L9)</f>
        <v>2.0051579182754296</v>
      </c>
      <c r="M10" s="150"/>
      <c r="N10" s="151"/>
      <c r="O10" s="150"/>
      <c r="P10" s="150"/>
      <c r="Q10" s="150"/>
      <c r="R10" s="150"/>
      <c r="S10" s="150"/>
      <c r="T10" s="150"/>
      <c r="U10" s="150"/>
      <c r="V10" s="150"/>
    </row>
    <row r="13" spans="1:22">
      <c r="C13" s="140"/>
      <c r="D13" s="188"/>
      <c r="E13" s="11"/>
      <c r="J13" s="11"/>
    </row>
    <row r="14" spans="1:22" ht="18">
      <c r="B14" s="200" t="s">
        <v>289</v>
      </c>
      <c r="C14" s="138"/>
      <c r="D14" s="302" t="str">
        <f>"~FI_T: "&amp;Region</f>
        <v>~FI_T: FIM</v>
      </c>
      <c r="F14" s="16"/>
      <c r="G14" s="16"/>
      <c r="H14" s="16"/>
      <c r="I14" s="16"/>
    </row>
    <row r="15" spans="1:22" ht="13.5" thickBot="1">
      <c r="B15" s="31" t="s">
        <v>292</v>
      </c>
      <c r="C15" s="31" t="s">
        <v>293</v>
      </c>
      <c r="D15" s="30" t="s">
        <v>61</v>
      </c>
      <c r="E15" s="102" t="s">
        <v>344</v>
      </c>
      <c r="F15" s="102" t="str">
        <f ca="1">E15&amp;"~"&amp;AuxYear</f>
        <v>DEMAND~2017</v>
      </c>
      <c r="G15" s="271" t="s">
        <v>464</v>
      </c>
      <c r="H15" s="102" t="str">
        <f ca="1">G15&amp;"~"&amp;AuxYear</f>
        <v>COM_IE~2017</v>
      </c>
      <c r="I15" s="30"/>
      <c r="J15" s="30"/>
      <c r="M15" s="223">
        <v>2010</v>
      </c>
      <c r="N15" s="223">
        <v>2017</v>
      </c>
    </row>
    <row r="16" spans="1:22" ht="13.5" customHeight="1">
      <c r="B16" s="34" t="s">
        <v>524</v>
      </c>
      <c r="C16" s="73" t="s">
        <v>128</v>
      </c>
      <c r="D16" s="73" t="s">
        <v>64</v>
      </c>
      <c r="E16" s="325">
        <f>M16*G16</f>
        <v>1</v>
      </c>
      <c r="F16" s="325">
        <f>N16*H16</f>
        <v>1</v>
      </c>
      <c r="G16" s="325">
        <f>IF(M16,1/M16,1)</f>
        <v>4.9501565824015929E-2</v>
      </c>
      <c r="H16" s="325">
        <f>IF(N16,1/N16,1)</f>
        <v>3.7398728337589983E-2</v>
      </c>
      <c r="I16" s="20"/>
      <c r="J16" s="20"/>
      <c r="M16" s="139">
        <f>K7</f>
        <v>20.201381175600005</v>
      </c>
      <c r="N16" s="139">
        <f>L7</f>
        <v>26.738877080878872</v>
      </c>
    </row>
    <row r="17" spans="2:14" ht="13.5" customHeight="1">
      <c r="B17" s="34" t="s">
        <v>523</v>
      </c>
      <c r="C17" s="73" t="s">
        <v>147</v>
      </c>
      <c r="D17" s="73" t="s">
        <v>64</v>
      </c>
      <c r="E17" s="325">
        <f>M17*G17</f>
        <v>1</v>
      </c>
      <c r="F17" s="325">
        <f>N17*H17</f>
        <v>1</v>
      </c>
      <c r="G17" s="325">
        <f>IF(M17,1/M17,1)</f>
        <v>0.42423179888650941</v>
      </c>
      <c r="H17" s="325">
        <f>IF(N17,1/N17,1)</f>
        <v>0.49871383739195324</v>
      </c>
      <c r="I17" s="20"/>
      <c r="J17" s="20"/>
      <c r="M17" s="139">
        <f>K10</f>
        <v>2.3572018944000006</v>
      </c>
      <c r="N17" s="139">
        <f>L10</f>
        <v>2.0051579182754296</v>
      </c>
    </row>
  </sheetData>
  <phoneticPr fontId="35" type="noConversion"/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11"/>
  <dimension ref="A1:T22"/>
  <sheetViews>
    <sheetView zoomScale="80" workbookViewId="0">
      <selection activeCell="M10" sqref="M10"/>
    </sheetView>
  </sheetViews>
  <sheetFormatPr defaultRowHeight="12.75"/>
  <cols>
    <col min="2" max="2" width="11.7109375" customWidth="1"/>
    <col min="3" max="3" width="41.28515625" customWidth="1"/>
  </cols>
  <sheetData>
    <row r="1" spans="1:20" ht="18">
      <c r="A1" s="14" t="s">
        <v>170</v>
      </c>
      <c r="B1" s="14"/>
      <c r="C1" s="14"/>
    </row>
    <row r="2" spans="1:20" ht="18">
      <c r="A2" s="14" t="s">
        <v>186</v>
      </c>
      <c r="D2" s="193"/>
      <c r="G2" s="16"/>
    </row>
    <row r="3" spans="1:20" ht="18">
      <c r="A3" s="14" t="s">
        <v>46</v>
      </c>
      <c r="D3" s="193"/>
      <c r="G3" s="16"/>
    </row>
    <row r="4" spans="1:20" ht="18">
      <c r="A4" s="14"/>
      <c r="B4" s="18"/>
      <c r="C4" s="19"/>
      <c r="D4" s="193"/>
    </row>
    <row r="5" spans="1:20" ht="18">
      <c r="A5" s="14"/>
      <c r="B5" s="100" t="s">
        <v>288</v>
      </c>
      <c r="C5" s="128"/>
      <c r="D5" s="302" t="str">
        <f>"~FI_T: "&amp;Region</f>
        <v>~FI_T: FIM</v>
      </c>
      <c r="E5" s="60"/>
    </row>
    <row r="6" spans="1:20" ht="39" thickBot="1">
      <c r="A6" s="15"/>
      <c r="B6" s="48" t="s">
        <v>297</v>
      </c>
      <c r="C6" s="48" t="s">
        <v>298</v>
      </c>
      <c r="D6" s="48" t="s">
        <v>296</v>
      </c>
      <c r="E6" s="56" t="str">
        <f ca="1">CONCATENATE("\I:",IEAData2!$D$2," final energy")</f>
        <v>\I:2010 final energy</v>
      </c>
      <c r="F6" s="56" t="str">
        <f ca="1">CONCATENATE("\I:",AuxYear," final energy")</f>
        <v>\I:2017 final energy</v>
      </c>
      <c r="G6" s="48" t="s">
        <v>308</v>
      </c>
      <c r="H6" s="48" t="s">
        <v>304</v>
      </c>
      <c r="I6" s="48" t="str">
        <f ca="1">"Share~FX~"&amp;AuxYear</f>
        <v>Share~FX~2017</v>
      </c>
      <c r="J6" s="48" t="s">
        <v>55</v>
      </c>
      <c r="K6" s="48" t="s">
        <v>305</v>
      </c>
      <c r="L6" s="56" t="str">
        <f ca="1">CONCATENATE("\I:",IEAData2!$D$2," Service Demand")</f>
        <v>\I:2010 Service Demand</v>
      </c>
      <c r="M6" s="56" t="str">
        <f ca="1">CONCATENATE("\I:",AuxYear," Service Demand")</f>
        <v>\I:2017 Service Demand</v>
      </c>
      <c r="N6" s="48" t="str">
        <f ca="1">"EFF~"&amp;CEILING(AuxYear+10,5)</f>
        <v>EFF~2030</v>
      </c>
      <c r="O6" s="48" t="s">
        <v>300</v>
      </c>
      <c r="P6" s="48" t="s">
        <v>301</v>
      </c>
      <c r="Q6" s="48" t="s">
        <v>302</v>
      </c>
      <c r="R6" s="48" t="s">
        <v>303</v>
      </c>
      <c r="S6" s="255" t="s">
        <v>59</v>
      </c>
      <c r="T6" s="253" t="s">
        <v>444</v>
      </c>
    </row>
    <row r="7" spans="1:20" ht="21.75" customHeight="1">
      <c r="B7" s="201" t="s">
        <v>527</v>
      </c>
      <c r="C7" s="29" t="s">
        <v>185</v>
      </c>
      <c r="D7" s="35" t="str">
        <f ca="1">RAIL2!$D$16</f>
        <v>TRADSO</v>
      </c>
      <c r="E7" s="32">
        <f ca="1">IEAData2!$K90</f>
        <v>0.10088010864000001</v>
      </c>
      <c r="F7" s="32">
        <f ca="1">AuxData2!$K90</f>
        <v>0.10730977799999999</v>
      </c>
      <c r="G7" s="74">
        <v>1</v>
      </c>
      <c r="H7" s="216">
        <f>IF(M$20=0,0,E7/E$10)</f>
        <v>0.44091151137193335</v>
      </c>
      <c r="I7" s="216">
        <f>IF(N$20=0,0,F7/F$10)</f>
        <v>0.66474586863397656</v>
      </c>
      <c r="J7" s="74">
        <v>1</v>
      </c>
      <c r="K7" s="74">
        <v>1</v>
      </c>
      <c r="L7" s="146"/>
      <c r="M7" s="145"/>
      <c r="N7" s="20">
        <f ca="1">G7*1.008^(RIGHT(N$6,4)-AuxYear)</f>
        <v>1.109141403265876</v>
      </c>
      <c r="O7" s="20">
        <f>N7*1.008^(2050-RIGHT(N$6,4))</f>
        <v>1.3007611568857043</v>
      </c>
      <c r="P7" s="20">
        <f>$O$7*1.01^15</f>
        <v>1.5101433214954667</v>
      </c>
      <c r="Q7" s="20">
        <f>$P$7*1.01^15</f>
        <v>1.7532295144155716</v>
      </c>
      <c r="R7" s="20">
        <f>$Q$7*1.01^20</f>
        <v>2.1392731912326912</v>
      </c>
      <c r="S7" s="256"/>
      <c r="T7" s="145"/>
    </row>
    <row r="8" spans="1:20">
      <c r="B8" s="35"/>
      <c r="C8" s="35"/>
      <c r="D8" s="35" t="str">
        <f ca="1">IEAData2!L51</f>
        <v>TRAHFO</v>
      </c>
      <c r="E8" s="70">
        <f ca="1">IEAData2!$L90</f>
        <v>6.7199396039999998E-2</v>
      </c>
      <c r="F8" s="70">
        <f ca="1">AuxData2!$L90</f>
        <v>1.3199975999999999E-2</v>
      </c>
      <c r="G8" s="141"/>
      <c r="H8" s="216">
        <f>IF(M$20=0,0,E8/E$10)</f>
        <v>0.29370495007109176</v>
      </c>
      <c r="I8" s="216">
        <f>IF(N$20=0,0,F8/F$10)</f>
        <v>8.1769151661721287E-2</v>
      </c>
      <c r="J8" s="141"/>
      <c r="K8" s="141"/>
      <c r="L8" s="67"/>
      <c r="M8" s="96"/>
      <c r="N8" s="96"/>
      <c r="O8" s="96"/>
      <c r="P8" s="96"/>
      <c r="Q8" s="96"/>
      <c r="R8" s="96"/>
      <c r="S8" s="256"/>
      <c r="T8" s="96"/>
    </row>
    <row r="9" spans="1:20" ht="13.5" thickBot="1">
      <c r="B9" s="28"/>
      <c r="C9" s="28"/>
      <c r="D9" s="28" t="str">
        <f ca="1">IEAData2!H51</f>
        <v>TRAGSL</v>
      </c>
      <c r="E9" s="33">
        <f ca="1">IEAData2!$H90</f>
        <v>6.0719485679999997E-2</v>
      </c>
      <c r="F9" s="33">
        <f ca="1">AuxData2!$H90</f>
        <v>4.0920023999999992E-2</v>
      </c>
      <c r="G9" s="303"/>
      <c r="H9" s="303"/>
      <c r="I9" s="303"/>
      <c r="J9" s="303"/>
      <c r="K9" s="303"/>
      <c r="L9" s="54"/>
      <c r="M9" s="53"/>
      <c r="N9" s="53"/>
      <c r="O9" s="53"/>
      <c r="P9" s="53"/>
      <c r="Q9" s="53"/>
      <c r="R9" s="53"/>
      <c r="S9" s="256"/>
      <c r="T9" s="53"/>
    </row>
    <row r="10" spans="1:20">
      <c r="B10" s="278" t="s">
        <v>470</v>
      </c>
      <c r="C10" s="150" t="str">
        <f>LEFT(B7,3)</f>
        <v>TFS</v>
      </c>
      <c r="D10" s="150"/>
      <c r="E10" s="151">
        <f ca="1">SUM(E7:E9)</f>
        <v>0.22879899035999998</v>
      </c>
      <c r="F10" s="151">
        <f ca="1">SUM(F7:F9)</f>
        <v>0.161429778</v>
      </c>
      <c r="G10" s="150"/>
      <c r="H10" s="150" t="s">
        <v>65</v>
      </c>
      <c r="I10" s="150" t="s">
        <v>65</v>
      </c>
      <c r="J10" s="150"/>
      <c r="K10" s="150"/>
      <c r="L10" s="151">
        <f>E10</f>
        <v>0.22879899035999998</v>
      </c>
      <c r="M10" s="151">
        <f ca="1">F10*(N7^((AuxYear-BaseYear)/(RIGHT(N$6,4)-BaseYear)))</f>
        <v>0.16738983089411191</v>
      </c>
      <c r="N10" s="150"/>
      <c r="O10" s="150"/>
      <c r="P10" s="150"/>
      <c r="Q10" s="150"/>
      <c r="R10" s="150"/>
      <c r="S10" s="150"/>
      <c r="T10" s="150"/>
    </row>
    <row r="11" spans="1:20" ht="20.25" customHeight="1">
      <c r="B11" s="201" t="s">
        <v>528</v>
      </c>
      <c r="C11" s="29" t="s">
        <v>496</v>
      </c>
      <c r="D11" s="35" t="str">
        <f ca="1">TRA_Fuels2!$E$74</f>
        <v>TRAOIL</v>
      </c>
      <c r="E11" s="32">
        <f ca="1">SUM(IEAData2!$F94:$L94)</f>
        <v>1.5421490499765027</v>
      </c>
      <c r="F11" s="32">
        <f ca="1">SUM(AuxData2!$F94:$L94)</f>
        <v>1.1291052857248567</v>
      </c>
      <c r="G11" s="74">
        <v>1</v>
      </c>
      <c r="H11" s="17"/>
      <c r="I11" s="17"/>
      <c r="J11" s="74">
        <v>1</v>
      </c>
      <c r="K11" s="74">
        <v>1</v>
      </c>
      <c r="L11" s="20"/>
      <c r="M11" s="20"/>
      <c r="N11" s="20">
        <f ca="1">G11*1.008^(RIGHT(N$6,4)-AuxYear)</f>
        <v>1.109141403265876</v>
      </c>
      <c r="O11" s="20">
        <f>N11*1.008^(2050-RIGHT(N$6,4))</f>
        <v>1.3007611568857043</v>
      </c>
      <c r="P11" s="20">
        <f>$O$11*1.01^15</f>
        <v>1.5101433214954667</v>
      </c>
      <c r="Q11" s="20">
        <f>$P$11*1.01^15</f>
        <v>1.7532295144155716</v>
      </c>
      <c r="R11" s="20">
        <f>$Q$11*1.01^20</f>
        <v>2.1392731912326912</v>
      </c>
      <c r="S11" s="256">
        <v>5</v>
      </c>
      <c r="T11" s="254"/>
    </row>
    <row r="12" spans="1:20">
      <c r="B12" s="278" t="s">
        <v>470</v>
      </c>
      <c r="C12" s="150" t="str">
        <f>LEFT(B11,3)</f>
        <v>TFS</v>
      </c>
      <c r="D12" s="150"/>
      <c r="E12" s="151">
        <f ca="1">SUM(E11:E11)</f>
        <v>1.5421490499765027</v>
      </c>
      <c r="F12" s="151">
        <f ca="1">SUM(F11:F11)</f>
        <v>1.1291052857248567</v>
      </c>
      <c r="G12" s="150"/>
      <c r="H12" s="150"/>
      <c r="I12" s="150"/>
      <c r="J12" s="150"/>
      <c r="K12" s="150"/>
      <c r="L12" s="151">
        <f>E12</f>
        <v>1.5421490499765027</v>
      </c>
      <c r="M12" s="151">
        <f ca="1">F12*(N11^((AuxYear-BaseYear)/(RIGHT(N$6,4)-BaseYear)))</f>
        <v>1.1707923109398792</v>
      </c>
      <c r="N12" s="150"/>
      <c r="O12" s="150"/>
      <c r="P12" s="150"/>
      <c r="Q12" s="150"/>
      <c r="R12" s="150"/>
      <c r="S12" s="150"/>
      <c r="T12" s="150"/>
    </row>
    <row r="13" spans="1:20" ht="20.25" customHeight="1">
      <c r="B13" s="201" t="s">
        <v>47</v>
      </c>
      <c r="C13" s="29" t="s">
        <v>46</v>
      </c>
      <c r="D13" s="35" t="str">
        <f ca="1">IEAData2!$W$102</f>
        <v>OILLUB</v>
      </c>
      <c r="E13" s="32">
        <f ca="1">IEAData2!$W101</f>
        <v>0</v>
      </c>
      <c r="F13" s="32">
        <f ca="1">AuxData2!$W101</f>
        <v>0</v>
      </c>
      <c r="G13" s="74">
        <v>1</v>
      </c>
      <c r="H13" s="17"/>
      <c r="I13" s="17"/>
      <c r="J13" s="74">
        <v>1</v>
      </c>
      <c r="K13" s="74">
        <v>1</v>
      </c>
      <c r="L13" s="20"/>
      <c r="M13" s="20"/>
      <c r="N13" s="20"/>
      <c r="O13" s="20"/>
      <c r="P13" s="20"/>
      <c r="Q13" s="20"/>
      <c r="R13" s="20"/>
      <c r="S13" s="256"/>
      <c r="T13" s="254"/>
    </row>
    <row r="14" spans="1:20">
      <c r="B14" s="278" t="s">
        <v>470</v>
      </c>
      <c r="C14" s="150" t="s">
        <v>48</v>
      </c>
      <c r="D14" s="150"/>
      <c r="E14" s="151">
        <f>SUM(E13:E13)</f>
        <v>0</v>
      </c>
      <c r="F14" s="151">
        <f>SUM(F13:F13)</f>
        <v>0</v>
      </c>
      <c r="G14" s="150"/>
      <c r="H14" s="150"/>
      <c r="I14" s="150"/>
      <c r="J14" s="150"/>
      <c r="K14" s="150"/>
      <c r="L14" s="151">
        <f>E13*$G13</f>
        <v>0</v>
      </c>
      <c r="M14" s="151">
        <f>F13*$G13</f>
        <v>0</v>
      </c>
      <c r="N14" s="150"/>
      <c r="O14" s="150"/>
      <c r="P14" s="150"/>
      <c r="Q14" s="150"/>
      <c r="R14" s="150"/>
      <c r="S14" s="150"/>
      <c r="T14" s="150"/>
    </row>
    <row r="17" spans="2:14">
      <c r="C17" s="140"/>
      <c r="D17" s="188"/>
      <c r="E17" s="11"/>
      <c r="K17" s="11"/>
    </row>
    <row r="18" spans="2:14" ht="18">
      <c r="B18" s="200" t="s">
        <v>289</v>
      </c>
      <c r="C18" s="138"/>
      <c r="D18" s="302" t="str">
        <f>"~FI_T: "&amp;Region</f>
        <v>~FI_T: FIM</v>
      </c>
      <c r="F18" s="16"/>
      <c r="G18" s="16"/>
      <c r="H18" s="16"/>
      <c r="I18" s="16"/>
    </row>
    <row r="19" spans="2:14" ht="13.5" thickBot="1">
      <c r="B19" s="31" t="s">
        <v>292</v>
      </c>
      <c r="C19" s="31" t="s">
        <v>293</v>
      </c>
      <c r="D19" s="30" t="s">
        <v>61</v>
      </c>
      <c r="E19" s="102" t="s">
        <v>344</v>
      </c>
      <c r="F19" s="102" t="str">
        <f ca="1">E19&amp;"~"&amp;AuxYear</f>
        <v>DEMAND~2017</v>
      </c>
      <c r="G19" s="271" t="s">
        <v>464</v>
      </c>
      <c r="H19" s="102" t="str">
        <f ca="1">G19&amp;"~"&amp;AuxYear</f>
        <v>COM_IE~2017</v>
      </c>
      <c r="I19" s="30"/>
      <c r="J19" s="30"/>
      <c r="K19" s="30"/>
      <c r="M19" s="223">
        <v>2010</v>
      </c>
      <c r="N19" s="223">
        <v>2017</v>
      </c>
    </row>
    <row r="20" spans="2:14">
      <c r="B20" s="34" t="s">
        <v>521</v>
      </c>
      <c r="C20" s="73" t="s">
        <v>230</v>
      </c>
      <c r="D20" s="73" t="s">
        <v>64</v>
      </c>
      <c r="E20" s="325">
        <f t="shared" ref="E20:F22" si="0">M20*G20</f>
        <v>0.99999999999999989</v>
      </c>
      <c r="F20" s="325">
        <f t="shared" si="0"/>
        <v>1</v>
      </c>
      <c r="G20" s="325">
        <f t="shared" ref="G20:H22" si="1">IF(M20,1/M20,1)</f>
        <v>4.3706486572627199</v>
      </c>
      <c r="H20" s="325">
        <f t="shared" si="1"/>
        <v>5.9740785605583397</v>
      </c>
      <c r="I20" s="20"/>
      <c r="J20" s="20"/>
      <c r="K20" s="20"/>
      <c r="M20" s="139">
        <f>L10</f>
        <v>0.22879899035999998</v>
      </c>
      <c r="N20" s="139">
        <f>M10</f>
        <v>0.16738983089411191</v>
      </c>
    </row>
    <row r="21" spans="2:14">
      <c r="B21" s="34" t="s">
        <v>522</v>
      </c>
      <c r="C21" s="73" t="s">
        <v>158</v>
      </c>
      <c r="D21" s="73" t="s">
        <v>64</v>
      </c>
      <c r="E21" s="325">
        <f t="shared" si="0"/>
        <v>1</v>
      </c>
      <c r="F21" s="325">
        <f t="shared" si="0"/>
        <v>1</v>
      </c>
      <c r="G21" s="325">
        <f t="shared" si="1"/>
        <v>0.64844575173537</v>
      </c>
      <c r="H21" s="325">
        <f t="shared" si="1"/>
        <v>0.85412245251015362</v>
      </c>
      <c r="I21" s="20"/>
      <c r="J21" s="20"/>
      <c r="K21" s="20"/>
      <c r="M21" s="139">
        <f>L12</f>
        <v>1.5421490499765027</v>
      </c>
      <c r="N21" s="139">
        <f>M12</f>
        <v>1.1707923109398792</v>
      </c>
    </row>
    <row r="22" spans="2:14">
      <c r="B22" s="34" t="s">
        <v>48</v>
      </c>
      <c r="C22" s="29" t="s">
        <v>46</v>
      </c>
      <c r="D22" s="73" t="s">
        <v>64</v>
      </c>
      <c r="E22" s="325">
        <f t="shared" si="0"/>
        <v>0</v>
      </c>
      <c r="F22" s="325">
        <f t="shared" si="0"/>
        <v>0</v>
      </c>
      <c r="G22" s="325">
        <f t="shared" si="1"/>
        <v>1</v>
      </c>
      <c r="H22" s="325">
        <f t="shared" si="1"/>
        <v>1</v>
      </c>
      <c r="I22" s="20"/>
      <c r="J22" s="20"/>
      <c r="K22" s="20"/>
      <c r="M22" s="139">
        <f>L14</f>
        <v>0</v>
      </c>
      <c r="N22" s="139">
        <f>M14</f>
        <v>0</v>
      </c>
    </row>
  </sheetData>
  <phoneticPr fontId="35" type="noConversion"/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12"/>
  <dimension ref="A1:Z71"/>
  <sheetViews>
    <sheetView topLeftCell="A17" zoomScale="75" workbookViewId="0">
      <selection activeCell="A17" sqref="A17"/>
    </sheetView>
  </sheetViews>
  <sheetFormatPr defaultRowHeight="12.75"/>
  <cols>
    <col min="1" max="1" width="9.28515625" customWidth="1"/>
    <col min="2" max="2" width="14.7109375" customWidth="1"/>
    <col min="3" max="3" width="25.28515625" customWidth="1"/>
    <col min="4" max="4" width="11.7109375" customWidth="1"/>
    <col min="5" max="5" width="12.42578125" customWidth="1"/>
    <col min="6" max="14" width="9.7109375" customWidth="1"/>
  </cols>
  <sheetData>
    <row r="1" spans="1:22" ht="15">
      <c r="B1" s="211" t="s">
        <v>499</v>
      </c>
      <c r="C1" s="212"/>
      <c r="D1" s="213"/>
      <c r="E1" s="212"/>
      <c r="F1" s="212"/>
      <c r="G1" s="213"/>
      <c r="H1" s="212"/>
      <c r="I1" s="212"/>
      <c r="J1" s="213"/>
      <c r="K1" s="212"/>
      <c r="L1" s="212"/>
      <c r="M1" s="213"/>
      <c r="N1" s="212"/>
    </row>
    <row r="2" spans="1:22">
      <c r="B2" s="273"/>
      <c r="C2" s="224">
        <v>1</v>
      </c>
      <c r="D2" s="224">
        <v>2</v>
      </c>
      <c r="E2" s="224">
        <v>3</v>
      </c>
      <c r="F2" s="224">
        <v>4</v>
      </c>
      <c r="G2" s="224">
        <v>5</v>
      </c>
      <c r="H2" s="224">
        <v>6</v>
      </c>
    </row>
    <row r="3" spans="1:22">
      <c r="A3" s="98"/>
      <c r="B3" s="279" t="s">
        <v>412</v>
      </c>
      <c r="C3" s="224">
        <v>1</v>
      </c>
      <c r="D3" s="224">
        <f ca="1">$C3+OFFSET(ROAD2!$M$58,C$2,0)-1</f>
        <v>9</v>
      </c>
      <c r="E3" s="224">
        <f ca="1">$C3+OFFSET(ROAD2!$M$58,D$2,0)-1</f>
        <v>17</v>
      </c>
      <c r="F3" s="224">
        <f ca="1">$C3+OFFSET(ROAD2!$M$58,E$2,0)-1</f>
        <v>25</v>
      </c>
      <c r="G3" s="224">
        <f ca="1">$C3+OFFSET(ROAD2!$M$58,F$2,0)-1</f>
        <v>33</v>
      </c>
      <c r="H3" s="224">
        <f ca="1">$C3+OFFSET(ROAD2!$M$58,G$2,0)-1</f>
        <v>40</v>
      </c>
      <c r="U3" s="22"/>
      <c r="V3" s="22"/>
    </row>
    <row r="4" spans="1:22">
      <c r="A4" s="98"/>
      <c r="B4" s="279" t="s">
        <v>476</v>
      </c>
      <c r="C4" s="224">
        <f ca="1">D3-C3-1</f>
        <v>7</v>
      </c>
      <c r="D4" s="224">
        <f ca="1">E3-D3-1</f>
        <v>7</v>
      </c>
      <c r="E4" s="224">
        <f ca="1">F3-E3-1</f>
        <v>7</v>
      </c>
      <c r="F4" s="224">
        <f ca="1">G3-F3-1</f>
        <v>7</v>
      </c>
      <c r="G4" s="224">
        <f ca="1">H3-G3-1</f>
        <v>6</v>
      </c>
      <c r="H4" s="224">
        <f ca="1">$C3+OFFSET(ROAD2!$M$58,H$2,0)-1-H3-1</f>
        <v>3</v>
      </c>
      <c r="U4" s="22"/>
      <c r="V4" s="22"/>
    </row>
    <row r="5" spans="1:22">
      <c r="A5" s="98"/>
      <c r="U5" s="22"/>
      <c r="V5" s="22"/>
    </row>
    <row r="6" spans="1:22">
      <c r="A6" s="98"/>
      <c r="B6" s="13" t="s">
        <v>413</v>
      </c>
      <c r="C6" s="281" t="s">
        <v>179</v>
      </c>
      <c r="D6" s="281" t="s">
        <v>51</v>
      </c>
      <c r="E6" s="281" t="s">
        <v>50</v>
      </c>
      <c r="F6" s="281" t="s">
        <v>257</v>
      </c>
      <c r="G6" s="281" t="s">
        <v>52</v>
      </c>
      <c r="H6" s="281" t="s">
        <v>140</v>
      </c>
      <c r="U6" s="22"/>
      <c r="V6" s="22"/>
    </row>
    <row r="7" spans="1:22">
      <c r="A7" s="98"/>
      <c r="B7" s="201" t="s">
        <v>172</v>
      </c>
      <c r="C7" s="282">
        <f ca="1">SUMIF(OFFSET(ROAD2!$D$6,C$3,0,C$4),$B7,OFFSET(ROAD2!$L$6,C$3,0,C$4))</f>
        <v>3.3922696655395255</v>
      </c>
      <c r="D7" s="282">
        <f ca="1">SUMIF(OFFSET(ROAD2!$D$6,D$3,0,D$4),$B7,OFFSET(ROAD2!$L$6,D$3,0,D$4))</f>
        <v>0</v>
      </c>
      <c r="E7" s="282">
        <f ca="1">SUMIF(OFFSET(ROAD2!$D$6,E$3,0,E$4),$B7,OFFSET(ROAD2!$L$6,E$3,0,E$4))</f>
        <v>6.3319645838641456E-2</v>
      </c>
      <c r="F7" s="282">
        <f ca="1">SUMIF(OFFSET(ROAD2!$D$6,F$3,0,F$4),$B7,OFFSET(ROAD2!$L$6,F$3,0,F$4))</f>
        <v>0</v>
      </c>
      <c r="G7" s="282">
        <f ca="1">SUMIF(OFFSET(ROAD2!$D$6,G$3,0,G$4),$B7,OFFSET(ROAD2!$L$6,G$3,0,G$4))</f>
        <v>0</v>
      </c>
      <c r="H7" s="282">
        <f ca="1">SUMIF(OFFSET(ROAD2!$D$6,H$3,0,H$4),$B7,OFFSET(ROAD2!$L$6,H$3,0,H$4))</f>
        <v>0.32742070338699514</v>
      </c>
      <c r="U7" s="22"/>
      <c r="V7" s="22"/>
    </row>
    <row r="8" spans="1:22">
      <c r="A8" s="98"/>
      <c r="B8" s="201" t="s">
        <v>104</v>
      </c>
      <c r="C8" s="282">
        <f ca="1">SUMIF(OFFSET(ROAD2!$D$6,C$3,0,C$4),$B8,OFFSET(ROAD2!$L$6,C$3,0,C$4))</f>
        <v>1.6833986647975425</v>
      </c>
      <c r="D8" s="282">
        <f ca="1">SUMIF(OFFSET(ROAD2!$D$6,D$3,0,D$4),$B8,OFFSET(ROAD2!$L$6,D$3,0,D$4))</f>
        <v>9.8225399136635458E-2</v>
      </c>
      <c r="E8" s="282">
        <f ca="1">SUMIF(OFFSET(ROAD2!$D$6,E$3,0,E$4),$B8,OFFSET(ROAD2!$L$6,E$3,0,E$4))</f>
        <v>0.64543975543783993</v>
      </c>
      <c r="F8" s="282">
        <f ca="1">SUMIF(OFFSET(ROAD2!$D$6,F$3,0,F$4),$B8,OFFSET(ROAD2!$L$6,F$3,0,F$4))</f>
        <v>0.17218740664761994</v>
      </c>
      <c r="G8" s="282">
        <f ca="1">SUMIF(OFFSET(ROAD2!$D$6,G$3,0,G$4),$B8,OFFSET(ROAD2!$L$6,G$3,0,G$4))</f>
        <v>0.10287583835875609</v>
      </c>
      <c r="H8" s="282">
        <f ca="1">SUMIF(OFFSET(ROAD2!$D$6,H$3,0,H$4),$B8,OFFSET(ROAD2!$L$6,H$3,0,H$4))</f>
        <v>0</v>
      </c>
      <c r="U8" s="22"/>
      <c r="V8" s="22"/>
    </row>
    <row r="9" spans="1:22">
      <c r="A9" s="98"/>
      <c r="B9" s="201" t="s">
        <v>101</v>
      </c>
      <c r="C9" s="282">
        <f ca="1">SUMIF(OFFSET(ROAD2!$D$6,C$3,0,C$4),$B9,OFFSET(ROAD2!$L$6,C$3,0,C$4))</f>
        <v>0</v>
      </c>
      <c r="D9" s="282">
        <f ca="1">SUMIF(OFFSET(ROAD2!$D$6,D$3,0,D$4),$B9,OFFSET(ROAD2!$L$6,D$3,0,D$4))</f>
        <v>0</v>
      </c>
      <c r="E9" s="282">
        <f ca="1">SUMIF(OFFSET(ROAD2!$D$6,E$3,0,E$4),$B9,OFFSET(ROAD2!$L$6,E$3,0,E$4))</f>
        <v>0</v>
      </c>
      <c r="F9" s="282">
        <f ca="1">SUMIF(OFFSET(ROAD2!$D$6,F$3,0,F$4),$B9,OFFSET(ROAD2!$L$6,F$3,0,F$4))</f>
        <v>0</v>
      </c>
      <c r="G9" s="282">
        <f ca="1">SUMIF(OFFSET(ROAD2!$D$6,G$3,0,G$4),$B9,OFFSET(ROAD2!$L$6,G$3,0,G$4))</f>
        <v>0</v>
      </c>
      <c r="H9" s="282">
        <f ca="1">SUMIF(OFFSET(ROAD2!$D$6,H$3,0,H$4),$B9,OFFSET(ROAD2!$L$6,H$3,0,H$4))</f>
        <v>0</v>
      </c>
      <c r="U9" s="22"/>
      <c r="V9" s="22"/>
    </row>
    <row r="10" spans="1:22">
      <c r="A10" s="98"/>
      <c r="B10" s="201" t="s">
        <v>100</v>
      </c>
      <c r="C10" s="282">
        <f ca="1">SUMIF(OFFSET(ROAD2!$D$6,C$3,0,C$4),$B10,OFFSET(ROAD2!$L$6,C$3,0,C$4))</f>
        <v>2.457808737945575E-3</v>
      </c>
      <c r="D10" s="282">
        <f ca="1">SUMIF(OFFSET(ROAD2!$D$6,D$3,0,D$4),$B10,OFFSET(ROAD2!$L$6,D$3,0,D$4))</f>
        <v>1.2679996834799318E-3</v>
      </c>
      <c r="E10" s="282">
        <f ca="1">SUMIF(OFFSET(ROAD2!$D$6,E$3,0,E$4),$B10,OFFSET(ROAD2!$L$6,E$3,0,E$4))</f>
        <v>3.3853206224547072E-4</v>
      </c>
      <c r="F10" s="282">
        <f ca="1">SUMIF(OFFSET(ROAD2!$D$6,F$3,0,F$4),$B10,OFFSET(ROAD2!$L$6,F$3,0,F$4))</f>
        <v>9.8604164045920568E-6</v>
      </c>
      <c r="G10" s="282">
        <f ca="1">SUMIF(OFFSET(ROAD2!$D$6,G$3,0,G$4),$B10,OFFSET(ROAD2!$L$6,G$3,0,G$4))</f>
        <v>0</v>
      </c>
      <c r="H10" s="282">
        <f ca="1">SUMIF(OFFSET(ROAD2!$D$6,H$3,0,H$4),$B10,OFFSET(ROAD2!$L$6,H$3,0,H$4))</f>
        <v>0</v>
      </c>
      <c r="U10" s="22"/>
      <c r="V10" s="22"/>
    </row>
    <row r="11" spans="1:22">
      <c r="A11" s="98"/>
      <c r="B11" s="201" t="s">
        <v>397</v>
      </c>
      <c r="C11" s="282">
        <f ca="1">SUMIF(OFFSET(ROAD2!$D$6,C$3,0,C$4),$B11,OFFSET(ROAD2!$L$6,C$3,0,C$4))</f>
        <v>8.8300852185562318E-3</v>
      </c>
      <c r="D11" s="282">
        <f ca="1">SUMIF(OFFSET(ROAD2!$D$6,D$3,0,D$4),$B11,OFFSET(ROAD2!$L$6,D$3,0,D$4))</f>
        <v>7.4029500918021708E-5</v>
      </c>
      <c r="E11" s="282">
        <f ca="1">SUMIF(OFFSET(ROAD2!$D$6,E$3,0,E$4),$B11,OFFSET(ROAD2!$L$6,E$3,0,E$4))</f>
        <v>1.0937018221871674E-3</v>
      </c>
      <c r="F11" s="282">
        <f ca="1">SUMIF(OFFSET(ROAD2!$D$6,F$3,0,F$4),$B11,OFFSET(ROAD2!$L$6,F$3,0,F$4))</f>
        <v>4.3153458160827817E-5</v>
      </c>
      <c r="G11" s="282">
        <f ca="1">SUMIF(OFFSET(ROAD2!$D$6,G$3,0,G$4),$B11,OFFSET(ROAD2!$L$6,G$3,0,G$4))</f>
        <v>0</v>
      </c>
      <c r="H11" s="282">
        <f ca="1">SUMIF(OFFSET(ROAD2!$D$6,H$3,0,H$4),$B11,OFFSET(ROAD2!$L$6,H$3,0,H$4))</f>
        <v>5.5951448892144922E-4</v>
      </c>
      <c r="U11" s="22"/>
      <c r="V11" s="22"/>
    </row>
    <row r="12" spans="1:22">
      <c r="A12" s="98"/>
      <c r="B12" s="201" t="s">
        <v>162</v>
      </c>
      <c r="C12" s="282">
        <f ca="1">SUMIF(OFFSET(ROAD2!$D$6,C$3,0,C$4),$B12,OFFSET(ROAD2!$L$6,C$3,0,C$4))</f>
        <v>0</v>
      </c>
      <c r="D12" s="282">
        <f ca="1">SUMIF(OFFSET(ROAD2!$D$6,D$3,0,D$4),$B12,OFFSET(ROAD2!$L$6,D$3,0,D$4))</f>
        <v>0</v>
      </c>
      <c r="E12" s="282">
        <f ca="1">SUMIF(OFFSET(ROAD2!$D$6,E$3,0,E$4),$B12,OFFSET(ROAD2!$L$6,E$3,0,E$4))</f>
        <v>0</v>
      </c>
      <c r="F12" s="282">
        <f ca="1">SUMIF(OFFSET(ROAD2!$D$6,F$3,0,F$4),$B12,OFFSET(ROAD2!$L$6,F$3,0,F$4))</f>
        <v>0</v>
      </c>
      <c r="G12" s="282">
        <f ca="1">SUMIF(OFFSET(ROAD2!$D$6,G$3,0,G$4),$B12,OFFSET(ROAD2!$L$6,G$3,0,G$4))</f>
        <v>0</v>
      </c>
      <c r="H12" s="282">
        <f ca="1">SUMIF(OFFSET(ROAD2!$D$6,H$3,0,H$4),$B12,OFFSET(ROAD2!$L$6,H$3,0,H$4))</f>
        <v>0</v>
      </c>
      <c r="U12" s="22"/>
      <c r="V12" s="22"/>
    </row>
    <row r="13" spans="1:22">
      <c r="A13" s="98"/>
      <c r="B13" s="201" t="s">
        <v>163</v>
      </c>
      <c r="C13" s="282">
        <f ca="1">SUMIF(OFFSET(ROAD2!$D$6,C$3,0,C$4),$B13,OFFSET(ROAD2!$L$6,C$3,0,C$4))</f>
        <v>6.4945108803614635E-2</v>
      </c>
      <c r="D13" s="282">
        <f ca="1">SUMIF(OFFSET(ROAD2!$D$6,D$3,0,D$4),$B13,OFFSET(ROAD2!$L$6,D$3,0,D$4))</f>
        <v>0</v>
      </c>
      <c r="E13" s="282">
        <f ca="1">SUMIF(OFFSET(ROAD2!$D$6,E$3,0,E$4),$B13,OFFSET(ROAD2!$L$6,E$3,0,E$4))</f>
        <v>4.462386693175638E-3</v>
      </c>
      <c r="F13" s="282">
        <f ca="1">SUMIF(OFFSET(ROAD2!$D$6,F$3,0,F$4),$B13,OFFSET(ROAD2!$L$6,F$3,0,F$4))</f>
        <v>0</v>
      </c>
      <c r="G13" s="282">
        <f ca="1">SUMIF(OFFSET(ROAD2!$D$6,G$3,0,G$4),$B13,OFFSET(ROAD2!$L$6,G$3,0,G$4))</f>
        <v>0</v>
      </c>
      <c r="H13" s="282">
        <f ca="1">SUMIF(OFFSET(ROAD2!$D$6,H$3,0,H$4),$B13,OFFSET(ROAD2!$L$6,H$3,0,H$4))</f>
        <v>0</v>
      </c>
      <c r="U13" s="22"/>
      <c r="V13" s="22"/>
    </row>
    <row r="14" spans="1:22">
      <c r="A14" s="98"/>
      <c r="C14" s="283">
        <f t="shared" ref="C14:H14" ca="1" si="0">SUM(C7:C13)</f>
        <v>5.151901333097185</v>
      </c>
      <c r="D14" s="283">
        <f t="shared" ca="1" si="0"/>
        <v>9.9567428321033408E-2</v>
      </c>
      <c r="E14" s="283">
        <f t="shared" ca="1" si="0"/>
        <v>0.71465402185408966</v>
      </c>
      <c r="F14" s="283">
        <f t="shared" ca="1" si="0"/>
        <v>0.17224042052218538</v>
      </c>
      <c r="G14" s="283">
        <f t="shared" ca="1" si="0"/>
        <v>0.10287583835875609</v>
      </c>
      <c r="H14" s="283">
        <f t="shared" ca="1" si="0"/>
        <v>0.32798021787591658</v>
      </c>
      <c r="U14" s="22"/>
      <c r="V14" s="22"/>
    </row>
    <row r="15" spans="1:22">
      <c r="A15" s="98"/>
      <c r="U15" s="22"/>
      <c r="V15" s="22"/>
    </row>
    <row r="16" spans="1:22">
      <c r="A16" s="98"/>
      <c r="U16" s="22"/>
      <c r="V16" s="22"/>
    </row>
    <row r="17" spans="1:26">
      <c r="A17" s="98"/>
      <c r="U17" s="22"/>
      <c r="V17" s="22"/>
    </row>
    <row r="18" spans="1:26">
      <c r="A18" s="98"/>
      <c r="U18" s="22"/>
      <c r="V18" s="22"/>
    </row>
    <row r="19" spans="1:26" ht="18">
      <c r="B19" s="123" t="s">
        <v>404</v>
      </c>
      <c r="C19" s="100"/>
      <c r="D19" s="188" t="str">
        <f>"~FI_T: FLO_MARK~"&amp;Region</f>
        <v>~FI_T: FLO_MARK~FIM</v>
      </c>
    </row>
    <row r="20" spans="1:26">
      <c r="A20" s="140"/>
      <c r="B20" s="312" t="s">
        <v>297</v>
      </c>
      <c r="C20" s="312" t="s">
        <v>292</v>
      </c>
      <c r="D20" s="9" t="s">
        <v>405</v>
      </c>
      <c r="E20" s="313">
        <v>0</v>
      </c>
      <c r="F20" s="312">
        <f ca="1">AuxYear</f>
        <v>2017</v>
      </c>
      <c r="G20" s="312">
        <f ca="1">BaseYear-5</f>
        <v>2005</v>
      </c>
      <c r="H20" s="312">
        <f ca="1">CEILING(AuxYear+7,5)</f>
        <v>2025</v>
      </c>
      <c r="I20" s="312">
        <f ca="1">CEILING(AuxYear+12,5)</f>
        <v>2030</v>
      </c>
      <c r="J20" s="312">
        <f ca="1">CEILING(AuxYear+22,5)</f>
        <v>2040</v>
      </c>
      <c r="K20" s="312">
        <v>2050</v>
      </c>
      <c r="L20" s="312">
        <v>2070</v>
      </c>
      <c r="M20" s="312">
        <v>2100</v>
      </c>
      <c r="N20" s="315" t="s">
        <v>406</v>
      </c>
      <c r="O20" s="315" t="s">
        <v>407</v>
      </c>
      <c r="P20" s="315" t="s">
        <v>408</v>
      </c>
      <c r="Q20" s="315" t="s">
        <v>409</v>
      </c>
      <c r="R20" s="314" t="s">
        <v>410</v>
      </c>
      <c r="Z20" s="97"/>
    </row>
    <row r="21" spans="1:26">
      <c r="A21" s="140"/>
      <c r="B21" s="235" t="s">
        <v>414</v>
      </c>
      <c r="C21" s="235"/>
      <c r="D21" s="235"/>
      <c r="E21" s="236">
        <v>0</v>
      </c>
      <c r="F21" s="237">
        <f>RIGHT(F20,4)*1</f>
        <v>2017</v>
      </c>
      <c r="G21" s="237">
        <f>RIGHT(G20,4)*1</f>
        <v>2005</v>
      </c>
      <c r="H21" s="237">
        <f t="shared" ref="H21:M21" si="1">RIGHT(H20,4)*1</f>
        <v>2025</v>
      </c>
      <c r="I21" s="237">
        <f t="shared" si="1"/>
        <v>2030</v>
      </c>
      <c r="J21" s="237">
        <f t="shared" si="1"/>
        <v>2040</v>
      </c>
      <c r="K21" s="237">
        <f t="shared" si="1"/>
        <v>2050</v>
      </c>
      <c r="L21" s="237">
        <f t="shared" si="1"/>
        <v>2070</v>
      </c>
      <c r="M21" s="237">
        <f t="shared" si="1"/>
        <v>2100</v>
      </c>
      <c r="N21" s="238"/>
      <c r="O21" s="235"/>
      <c r="P21" s="235"/>
      <c r="Q21" s="235"/>
      <c r="R21" s="235"/>
    </row>
    <row r="22" spans="1:26">
      <c r="A22" s="140"/>
      <c r="B22" s="17" t="s">
        <v>180</v>
      </c>
      <c r="C22" s="17" t="s">
        <v>179</v>
      </c>
      <c r="D22" s="304" t="s">
        <v>411</v>
      </c>
      <c r="E22" s="305">
        <f ca="1">BaseYear</f>
        <v>2010</v>
      </c>
      <c r="F22" s="306">
        <f ca="1">MAX(0,N22-0.001)</f>
        <v>0.65745004517976358</v>
      </c>
      <c r="G22" s="35">
        <v>0</v>
      </c>
      <c r="H22" s="306">
        <f>-O22</f>
        <v>-3.5000000000000003E-2</v>
      </c>
      <c r="I22" s="306">
        <f>-($O22*2/3+$Q22*1/3)</f>
        <v>-4.6666666666666669E-2</v>
      </c>
      <c r="J22" s="306">
        <f>-($O22*1/3+$Q22*2/3)</f>
        <v>-5.8333333333333334E-2</v>
      </c>
      <c r="K22" s="306">
        <f>-Q22</f>
        <v>-7.0000000000000007E-2</v>
      </c>
      <c r="L22" s="306">
        <v>-1</v>
      </c>
      <c r="M22" s="306"/>
      <c r="N22" s="307">
        <f ca="1">IF(C7&gt;0,C7/C$14)</f>
        <v>0.65845004517976358</v>
      </c>
      <c r="O22" s="17">
        <v>3.5000000000000003E-2</v>
      </c>
      <c r="P22" s="304"/>
      <c r="Q22" s="304">
        <v>7.0000000000000007E-2</v>
      </c>
      <c r="R22" s="17" t="s">
        <v>415</v>
      </c>
      <c r="S22" s="22"/>
      <c r="V22" s="22"/>
    </row>
    <row r="23" spans="1:26">
      <c r="A23" s="140"/>
      <c r="B23" s="17" t="s">
        <v>173</v>
      </c>
      <c r="C23" s="17" t="s">
        <v>179</v>
      </c>
      <c r="D23" s="304" t="s">
        <v>411</v>
      </c>
      <c r="E23" s="305">
        <f ca="1">BaseYear</f>
        <v>2010</v>
      </c>
      <c r="F23" s="306">
        <f ca="1">MAX(0,N23-0.001)</f>
        <v>0.32575289295292625</v>
      </c>
      <c r="G23" s="17">
        <v>0</v>
      </c>
      <c r="H23" s="306">
        <f>-O23</f>
        <v>-2.5000000000000001E-2</v>
      </c>
      <c r="I23" s="306">
        <f>-($O23*2/3+$Q23*1/3)</f>
        <v>-3.3333333333333333E-2</v>
      </c>
      <c r="J23" s="306">
        <f>-($O23*1/3+$Q23*2/3)</f>
        <v>-4.1666666666666664E-2</v>
      </c>
      <c r="K23" s="306">
        <f>-Q23</f>
        <v>-0.05</v>
      </c>
      <c r="L23" s="306">
        <v>-1</v>
      </c>
      <c r="M23" s="306"/>
      <c r="N23" s="307">
        <f ca="1">IF(C8&gt;0,C8/C$14)</f>
        <v>0.32675289295292625</v>
      </c>
      <c r="O23" s="17">
        <v>2.5000000000000001E-2</v>
      </c>
      <c r="P23" s="304"/>
      <c r="Q23" s="304">
        <v>0.05</v>
      </c>
      <c r="R23" s="17" t="s">
        <v>416</v>
      </c>
      <c r="S23" s="22"/>
      <c r="V23" s="22"/>
    </row>
    <row r="24" spans="1:26">
      <c r="A24" s="140"/>
      <c r="B24" s="235" t="s">
        <v>417</v>
      </c>
      <c r="C24" s="235"/>
      <c r="D24" s="284"/>
      <c r="E24" s="236"/>
      <c r="F24" s="235"/>
      <c r="G24" s="235"/>
      <c r="H24" s="235"/>
      <c r="I24" s="235"/>
      <c r="J24" s="235"/>
      <c r="K24" s="235"/>
      <c r="L24" s="235"/>
      <c r="M24" s="235"/>
      <c r="N24" s="238"/>
      <c r="O24" s="235"/>
      <c r="P24" s="235"/>
      <c r="Q24" s="235"/>
      <c r="R24" s="235"/>
      <c r="S24" s="22"/>
      <c r="V24" s="22"/>
    </row>
    <row r="25" spans="1:26">
      <c r="A25" s="140"/>
      <c r="B25" s="17" t="s">
        <v>136</v>
      </c>
      <c r="C25" s="17" t="s">
        <v>50</v>
      </c>
      <c r="D25" s="304" t="s">
        <v>411</v>
      </c>
      <c r="E25" s="305">
        <f ca="1">BaseYear</f>
        <v>2010</v>
      </c>
      <c r="F25" s="306">
        <f ca="1">MAX(0,N25-0.001)</f>
        <v>8.7601818365711764E-2</v>
      </c>
      <c r="G25" s="35">
        <v>0</v>
      </c>
      <c r="H25" s="306">
        <f>-O25</f>
        <v>-1.4999999999999999E-2</v>
      </c>
      <c r="I25" s="306">
        <f>-($O25*2/3+$Q25*1/3)</f>
        <v>-0.03</v>
      </c>
      <c r="J25" s="306">
        <f>-($O25*1/3+$Q25*2/3)</f>
        <v>-4.4999999999999998E-2</v>
      </c>
      <c r="K25" s="306">
        <f>-Q25</f>
        <v>-0.06</v>
      </c>
      <c r="L25" s="306">
        <v>-1</v>
      </c>
      <c r="M25" s="306"/>
      <c r="N25" s="307">
        <f ca="1">IF(E7&gt;0,E7/E$14)</f>
        <v>8.8601818365711765E-2</v>
      </c>
      <c r="O25" s="17">
        <v>1.4999999999999999E-2</v>
      </c>
      <c r="P25" s="304"/>
      <c r="Q25" s="304">
        <v>0.06</v>
      </c>
      <c r="R25" s="17" t="s">
        <v>415</v>
      </c>
      <c r="S25" s="22"/>
      <c r="V25" s="22"/>
    </row>
    <row r="26" spans="1:26">
      <c r="A26" s="140"/>
      <c r="B26" s="17" t="s">
        <v>144</v>
      </c>
      <c r="C26" s="17" t="s">
        <v>50</v>
      </c>
      <c r="D26" s="304" t="s">
        <v>411</v>
      </c>
      <c r="E26" s="305">
        <f ca="1">BaseYear</f>
        <v>2010</v>
      </c>
      <c r="F26" s="306">
        <f ca="1">MAX(0,N26-0.001)</f>
        <v>0.90214996585805107</v>
      </c>
      <c r="G26" s="17">
        <v>0</v>
      </c>
      <c r="H26" s="306">
        <f>-O26</f>
        <v>-1.4999999999999999E-2</v>
      </c>
      <c r="I26" s="306">
        <f>-($O26*2/3+$Q26*1/3)</f>
        <v>-2.5000000000000001E-2</v>
      </c>
      <c r="J26" s="306">
        <f>-($O26*1/3+$Q26*2/3)</f>
        <v>-3.4999999999999996E-2</v>
      </c>
      <c r="K26" s="306">
        <f>-Q26</f>
        <v>-4.4999999999999998E-2</v>
      </c>
      <c r="L26" s="306">
        <v>-1</v>
      </c>
      <c r="M26" s="306"/>
      <c r="N26" s="307">
        <f ca="1">IF(E8&gt;0,E8/E$14)</f>
        <v>0.90314996585805107</v>
      </c>
      <c r="O26" s="17">
        <v>1.4999999999999999E-2</v>
      </c>
      <c r="P26" s="304"/>
      <c r="Q26" s="304">
        <v>4.4999999999999998E-2</v>
      </c>
      <c r="R26" s="17" t="s">
        <v>416</v>
      </c>
      <c r="S26" s="22"/>
      <c r="V26" s="22"/>
    </row>
    <row r="27" spans="1:26">
      <c r="A27" s="140"/>
      <c r="B27" s="235" t="s">
        <v>418</v>
      </c>
      <c r="C27" s="235"/>
      <c r="D27" s="284"/>
      <c r="E27" s="236"/>
      <c r="F27" s="235"/>
      <c r="G27" s="235"/>
      <c r="H27" s="235"/>
      <c r="I27" s="235"/>
      <c r="J27" s="235"/>
      <c r="K27" s="235"/>
      <c r="L27" s="235"/>
      <c r="M27" s="235"/>
      <c r="N27" s="238"/>
      <c r="O27" s="235"/>
      <c r="P27" s="235"/>
      <c r="Q27" s="235"/>
      <c r="R27" s="235"/>
      <c r="S27" s="22"/>
      <c r="V27" s="22"/>
    </row>
    <row r="28" spans="1:26">
      <c r="A28" s="140"/>
      <c r="B28" s="17" t="s">
        <v>120</v>
      </c>
      <c r="C28" s="17" t="s">
        <v>51</v>
      </c>
      <c r="D28" s="304" t="s">
        <v>411</v>
      </c>
      <c r="E28" s="305">
        <f ca="1">BaseYear</f>
        <v>2010</v>
      </c>
      <c r="F28" s="306">
        <f ca="1">MAX(0,N28-0.001)</f>
        <v>0.98552140356512097</v>
      </c>
      <c r="G28" s="35">
        <v>0</v>
      </c>
      <c r="H28" s="306">
        <f>-O28</f>
        <v>-1.4999999999999999E-2</v>
      </c>
      <c r="I28" s="306">
        <f>-($O28*2/3+$Q28*1/3)</f>
        <v>-2.6666666666666665E-2</v>
      </c>
      <c r="J28" s="306">
        <f>-($O28*1/3+$Q28*2/3)</f>
        <v>-3.833333333333333E-2</v>
      </c>
      <c r="K28" s="306">
        <f>-Q28</f>
        <v>-0.05</v>
      </c>
      <c r="L28" s="306">
        <v>-1</v>
      </c>
      <c r="M28" s="306"/>
      <c r="N28" s="307">
        <f ca="1">IF(D$8&gt;0,D$8/D$14)</f>
        <v>0.98652140356512097</v>
      </c>
      <c r="O28" s="17">
        <v>1.4999999999999999E-2</v>
      </c>
      <c r="P28" s="304"/>
      <c r="Q28" s="304">
        <v>0.05</v>
      </c>
      <c r="R28" s="17" t="s">
        <v>416</v>
      </c>
      <c r="S28" s="22"/>
      <c r="V28" s="22"/>
    </row>
    <row r="29" spans="1:26">
      <c r="A29" s="140"/>
      <c r="B29" s="17" t="s">
        <v>138</v>
      </c>
      <c r="C29" s="17" t="s">
        <v>52</v>
      </c>
      <c r="D29" s="304" t="s">
        <v>411</v>
      </c>
      <c r="E29" s="305">
        <f ca="1">BaseYear</f>
        <v>2010</v>
      </c>
      <c r="F29" s="306">
        <f ca="1">MAX(0,N29-0.001)</f>
        <v>0.999</v>
      </c>
      <c r="G29" s="17">
        <v>0</v>
      </c>
      <c r="H29" s="306">
        <f>-O29</f>
        <v>-1.4999999999999999E-2</v>
      </c>
      <c r="I29" s="306">
        <f>-($O29*2/3+$Q29*1/3)</f>
        <v>-2.6666666666666665E-2</v>
      </c>
      <c r="J29" s="306">
        <f>-($O29*1/3+$Q29*2/3)</f>
        <v>-3.833333333333333E-2</v>
      </c>
      <c r="K29" s="306">
        <f>-Q29</f>
        <v>-0.05</v>
      </c>
      <c r="L29" s="306">
        <v>-1</v>
      </c>
      <c r="M29" s="306"/>
      <c r="N29" s="307">
        <f ca="1">IF(G$8&gt;0,G$8/G$14)</f>
        <v>1</v>
      </c>
      <c r="O29" s="17">
        <v>1.4999999999999999E-2</v>
      </c>
      <c r="P29" s="304"/>
      <c r="Q29" s="304">
        <v>0.05</v>
      </c>
      <c r="R29" s="17" t="s">
        <v>416</v>
      </c>
      <c r="S29" s="22"/>
      <c r="V29" s="22"/>
    </row>
    <row r="30" spans="1:26">
      <c r="A30" s="140"/>
      <c r="B30" s="17" t="s">
        <v>261</v>
      </c>
      <c r="C30" s="17" t="s">
        <v>257</v>
      </c>
      <c r="D30" s="304" t="s">
        <v>411</v>
      </c>
      <c r="E30" s="305">
        <f ca="1">BaseYear</f>
        <v>2010</v>
      </c>
      <c r="F30" s="306">
        <f ca="1">MAX(0,N30-0.001)</f>
        <v>0.99869221002593522</v>
      </c>
      <c r="G30" s="17">
        <v>0</v>
      </c>
      <c r="H30" s="306">
        <f>-O30</f>
        <v>-1.4999999999999999E-2</v>
      </c>
      <c r="I30" s="306">
        <f>-($O30*2/3+$Q30*1/3)</f>
        <v>-2.6666666666666665E-2</v>
      </c>
      <c r="J30" s="306">
        <f>-($O30*1/3+$Q30*2/3)</f>
        <v>-3.833333333333333E-2</v>
      </c>
      <c r="K30" s="306">
        <f>-Q30</f>
        <v>-0.05</v>
      </c>
      <c r="L30" s="306">
        <v>-1</v>
      </c>
      <c r="M30" s="306"/>
      <c r="N30" s="307">
        <f ca="1">IF(F$8&gt;0,F$8/F$14)</f>
        <v>0.99969221002593522</v>
      </c>
      <c r="O30" s="17">
        <v>1.4999999999999999E-2</v>
      </c>
      <c r="P30" s="304"/>
      <c r="Q30" s="304">
        <v>0.05</v>
      </c>
      <c r="R30" s="17" t="s">
        <v>416</v>
      </c>
      <c r="S30" s="22"/>
      <c r="V30" s="22"/>
    </row>
    <row r="31" spans="1:26">
      <c r="A31" s="140"/>
      <c r="B31" s="235" t="s">
        <v>488</v>
      </c>
      <c r="C31" s="235"/>
      <c r="D31" s="284"/>
      <c r="E31" s="236"/>
      <c r="F31" s="235"/>
      <c r="G31" s="235"/>
      <c r="H31" s="235"/>
      <c r="I31" s="235"/>
      <c r="J31" s="235"/>
      <c r="K31" s="235"/>
      <c r="L31" s="235"/>
      <c r="M31" s="235"/>
      <c r="N31" s="238"/>
      <c r="O31" s="235"/>
      <c r="P31" s="235"/>
      <c r="Q31" s="235"/>
      <c r="R31" s="235"/>
      <c r="S31" s="22"/>
      <c r="V31" s="22"/>
    </row>
    <row r="32" spans="1:26">
      <c r="A32" s="140"/>
      <c r="B32" s="17" t="s">
        <v>184</v>
      </c>
      <c r="C32" s="17" t="s">
        <v>140</v>
      </c>
      <c r="D32" s="304" t="s">
        <v>411</v>
      </c>
      <c r="E32" s="305">
        <f ca="1">BaseYear</f>
        <v>2010</v>
      </c>
      <c r="F32" s="306">
        <f ca="1">MAX(0,N32-0.001)</f>
        <v>0.99729406025599654</v>
      </c>
      <c r="G32" s="17">
        <v>0</v>
      </c>
      <c r="H32" s="306">
        <f>-O32</f>
        <v>-5.0000000000000001E-3</v>
      </c>
      <c r="I32" s="306">
        <f>-($O32*2/3+$Q32*1/3)</f>
        <v>-0.02</v>
      </c>
      <c r="J32" s="306">
        <f>-($O32*1/3+$Q32*2/3)</f>
        <v>-3.4999999999999996E-2</v>
      </c>
      <c r="K32" s="306">
        <f>-Q32</f>
        <v>-0.05</v>
      </c>
      <c r="L32" s="306">
        <v>-1</v>
      </c>
      <c r="M32" s="306"/>
      <c r="N32" s="307">
        <f ca="1">IF(H$7&gt;0,H$7/H$14)</f>
        <v>0.99829406025599654</v>
      </c>
      <c r="O32" s="17">
        <v>5.0000000000000001E-3</v>
      </c>
      <c r="P32" s="304"/>
      <c r="Q32" s="304">
        <v>0.05</v>
      </c>
      <c r="R32" s="17" t="s">
        <v>489</v>
      </c>
      <c r="S32" s="22"/>
      <c r="V32" s="22"/>
    </row>
    <row r="33" spans="1:23">
      <c r="A33" s="140"/>
      <c r="B33" s="235" t="s">
        <v>435</v>
      </c>
      <c r="C33" s="235"/>
      <c r="D33" s="284"/>
      <c r="E33" s="236"/>
      <c r="F33" s="235"/>
      <c r="G33" s="235"/>
      <c r="H33" s="235"/>
      <c r="I33" s="235"/>
      <c r="J33" s="235"/>
      <c r="K33" s="235"/>
      <c r="L33" s="235"/>
      <c r="M33" s="235"/>
      <c r="N33" s="238"/>
      <c r="O33" s="235"/>
      <c r="P33" s="235"/>
      <c r="Q33" s="235"/>
      <c r="R33" s="235"/>
      <c r="S33" s="22"/>
      <c r="V33" s="22"/>
    </row>
    <row r="34" spans="1:23">
      <c r="A34" s="140"/>
      <c r="B34" s="17" t="s">
        <v>527</v>
      </c>
      <c r="C34" s="17" t="s">
        <v>521</v>
      </c>
      <c r="D34" s="304" t="s">
        <v>411</v>
      </c>
      <c r="E34" s="304">
        <v>1</v>
      </c>
      <c r="F34" s="17"/>
      <c r="G34" s="17"/>
      <c r="H34" s="17">
        <v>0.9</v>
      </c>
      <c r="I34" s="17">
        <v>0.85</v>
      </c>
      <c r="J34" s="17">
        <v>0.35</v>
      </c>
      <c r="K34" s="17">
        <v>0.05</v>
      </c>
      <c r="L34" s="17"/>
      <c r="M34" s="17"/>
      <c r="N34" s="308"/>
      <c r="O34" s="17"/>
      <c r="P34" s="17"/>
      <c r="Q34" s="17"/>
      <c r="R34" s="17"/>
      <c r="S34" s="22"/>
      <c r="V34" s="22"/>
    </row>
    <row r="35" spans="1:23">
      <c r="A35" s="140"/>
      <c r="B35" s="17" t="s">
        <v>528</v>
      </c>
      <c r="C35" s="17" t="s">
        <v>522</v>
      </c>
      <c r="D35" s="304" t="s">
        <v>411</v>
      </c>
      <c r="E35" s="304">
        <v>1</v>
      </c>
      <c r="F35" s="17"/>
      <c r="G35" s="17"/>
      <c r="H35" s="17">
        <v>0.9</v>
      </c>
      <c r="I35" s="17">
        <v>0.85</v>
      </c>
      <c r="J35" s="17">
        <v>0.35</v>
      </c>
      <c r="K35" s="17">
        <v>0.05</v>
      </c>
      <c r="L35" s="17"/>
      <c r="M35" s="17"/>
      <c r="N35" s="308"/>
      <c r="O35" s="17"/>
      <c r="P35" s="17"/>
      <c r="Q35" s="17"/>
      <c r="R35" s="17"/>
      <c r="S35" s="22"/>
      <c r="V35" s="22"/>
    </row>
    <row r="36" spans="1:23">
      <c r="A36" s="140"/>
      <c r="B36" s="17" t="s">
        <v>525</v>
      </c>
      <c r="C36" s="17" t="s">
        <v>524</v>
      </c>
      <c r="D36" s="304" t="s">
        <v>411</v>
      </c>
      <c r="E36" s="304">
        <v>1</v>
      </c>
      <c r="F36" s="17"/>
      <c r="G36" s="17"/>
      <c r="H36" s="17">
        <v>0.9</v>
      </c>
      <c r="I36" s="17">
        <v>0.8</v>
      </c>
      <c r="J36" s="17">
        <v>0.28000000000000003</v>
      </c>
      <c r="K36" s="17">
        <v>0.05</v>
      </c>
      <c r="L36" s="17"/>
      <c r="M36" s="17"/>
      <c r="N36" s="308"/>
      <c r="O36" s="17"/>
      <c r="P36" s="17"/>
      <c r="Q36" s="17"/>
      <c r="R36" s="17"/>
      <c r="S36" s="22"/>
      <c r="V36" s="22"/>
    </row>
    <row r="37" spans="1:23">
      <c r="A37" s="140"/>
      <c r="B37" s="17" t="s">
        <v>526</v>
      </c>
      <c r="C37" s="17" t="s">
        <v>523</v>
      </c>
      <c r="D37" s="304" t="s">
        <v>411</v>
      </c>
      <c r="E37" s="304">
        <v>1</v>
      </c>
      <c r="F37" s="17"/>
      <c r="G37" s="17"/>
      <c r="H37" s="17">
        <v>0.9</v>
      </c>
      <c r="I37" s="17">
        <v>0.8</v>
      </c>
      <c r="J37" s="17">
        <v>0.28000000000000003</v>
      </c>
      <c r="K37" s="17">
        <v>0.05</v>
      </c>
      <c r="L37" s="17"/>
      <c r="M37" s="17"/>
      <c r="N37" s="308"/>
      <c r="O37" s="17"/>
      <c r="P37" s="17"/>
      <c r="Q37" s="17"/>
      <c r="R37" s="17"/>
      <c r="S37" s="22"/>
      <c r="V37" s="22"/>
    </row>
    <row r="38" spans="1:23">
      <c r="A38" s="140"/>
      <c r="S38" s="22"/>
      <c r="V38" s="22"/>
    </row>
    <row r="39" spans="1:23">
      <c r="A39" s="140"/>
      <c r="U39" s="22"/>
      <c r="V39" s="22"/>
    </row>
    <row r="40" spans="1:23">
      <c r="A40" s="140"/>
      <c r="H40" t="s">
        <v>419</v>
      </c>
      <c r="U40" s="22"/>
      <c r="V40" s="22"/>
    </row>
    <row r="41" spans="1:23">
      <c r="A41" s="140"/>
      <c r="H41" s="10">
        <f ca="1">N22</f>
        <v>0.65845004517976358</v>
      </c>
      <c r="I41" s="12">
        <f ca="1">H41*(1+H22)^(H$20-F$20)</f>
        <v>0.49515519348675752</v>
      </c>
      <c r="J41" s="12">
        <f t="shared" ref="J41:L42" ca="1" si="2">I41*(1+I22)^(I$20-H$20)</f>
        <v>0.38991076936454172</v>
      </c>
      <c r="K41" s="12">
        <f t="shared" ca="1" si="2"/>
        <v>0.21376529819260645</v>
      </c>
      <c r="L41" s="12">
        <f t="shared" ca="1" si="2"/>
        <v>0.10345862221412719</v>
      </c>
      <c r="N41" t="s">
        <v>180</v>
      </c>
      <c r="U41" s="22"/>
      <c r="V41" s="22"/>
    </row>
    <row r="42" spans="1:23">
      <c r="A42" s="140"/>
      <c r="H42" s="10">
        <f ca="1">N23</f>
        <v>0.32675289295292625</v>
      </c>
      <c r="I42" s="12">
        <f ca="1">H42*(1+H23)^(H$20-G$20)</f>
        <v>0.19692994305867909</v>
      </c>
      <c r="J42" s="12">
        <f t="shared" ca="1" si="2"/>
        <v>0.16622466685753426</v>
      </c>
      <c r="K42" s="12">
        <f t="shared" ca="1" si="2"/>
        <v>0.10860789946389698</v>
      </c>
      <c r="L42" s="12">
        <f t="shared" ca="1" si="2"/>
        <v>6.5027561302123255E-2</v>
      </c>
      <c r="N42" t="s">
        <v>173</v>
      </c>
      <c r="U42" s="22"/>
      <c r="V42" s="22"/>
    </row>
    <row r="43" spans="1:23">
      <c r="A43" s="140"/>
      <c r="U43" s="22"/>
      <c r="V43" s="22"/>
    </row>
    <row r="44" spans="1:23">
      <c r="A44" s="140"/>
      <c r="U44" s="22"/>
      <c r="V44" s="22"/>
    </row>
    <row r="45" spans="1:23" ht="18">
      <c r="A45" s="140"/>
      <c r="B45" s="123" t="s">
        <v>534</v>
      </c>
      <c r="C45" s="100"/>
      <c r="F45" s="8" t="str">
        <f>"~FI_T: "&amp;Region</f>
        <v>~FI_T: FIM</v>
      </c>
      <c r="U45" s="22"/>
      <c r="V45" s="22"/>
    </row>
    <row r="46" spans="1:23" ht="13.5" thickBot="1">
      <c r="A46" s="140"/>
      <c r="B46" s="55" t="s">
        <v>297</v>
      </c>
      <c r="C46" s="55" t="s">
        <v>298</v>
      </c>
      <c r="D46" s="55" t="s">
        <v>296</v>
      </c>
      <c r="E46" s="55" t="s">
        <v>299</v>
      </c>
      <c r="F46" s="55" t="s">
        <v>389</v>
      </c>
      <c r="G46" s="55" t="s">
        <v>500</v>
      </c>
      <c r="J46" s="317" t="s">
        <v>511</v>
      </c>
      <c r="L46" s="31" t="s">
        <v>516</v>
      </c>
      <c r="M46" s="311">
        <v>2010</v>
      </c>
      <c r="N46" s="311">
        <v>2017</v>
      </c>
      <c r="P46" s="31" t="s">
        <v>516</v>
      </c>
      <c r="Q46" s="311">
        <v>2010</v>
      </c>
      <c r="R46" s="311">
        <v>2017</v>
      </c>
      <c r="U46" s="31"/>
      <c r="V46" s="311">
        <v>2010</v>
      </c>
      <c r="W46" s="311">
        <v>2017</v>
      </c>
    </row>
    <row r="47" spans="1:23">
      <c r="A47" s="140"/>
      <c r="B47" s="17" t="s">
        <v>501</v>
      </c>
      <c r="C47" s="17" t="s">
        <v>509</v>
      </c>
      <c r="D47" s="17" t="str">
        <f ca="1">ROAD2!B59</f>
        <v>TRT</v>
      </c>
      <c r="E47" s="17" t="s">
        <v>533</v>
      </c>
      <c r="F47" s="17" t="str">
        <f>D47</f>
        <v>TRT</v>
      </c>
      <c r="G47" s="304">
        <v>1</v>
      </c>
      <c r="J47" s="316" t="s">
        <v>507</v>
      </c>
      <c r="L47" s="17" t="str">
        <f>D47</f>
        <v>TRT</v>
      </c>
      <c r="M47" s="320">
        <f ca="1">ROAD2!O59</f>
        <v>4.8940276446879407</v>
      </c>
      <c r="N47" s="320">
        <f ca="1">ROAD2!P59</f>
        <v>5.151901333097185</v>
      </c>
      <c r="P47" s="17" t="str">
        <f ca="1">E47</f>
        <v>TPRC</v>
      </c>
      <c r="Q47" s="295">
        <f ca="1">ROAD2!Q59</f>
        <v>7.8304442315007057</v>
      </c>
      <c r="R47" s="295">
        <f ca="1">ROAD2!R59</f>
        <v>8.2430421329554964</v>
      </c>
      <c r="U47" s="17" t="s">
        <v>523</v>
      </c>
      <c r="V47" s="295">
        <v>0.18649229879050955</v>
      </c>
      <c r="W47" s="295">
        <v>0.24397080925214354</v>
      </c>
    </row>
    <row r="48" spans="1:23">
      <c r="A48" s="140"/>
      <c r="B48" s="17"/>
      <c r="C48" s="17"/>
      <c r="D48" s="17" t="str">
        <f ca="1">ROAD2!B60</f>
        <v>TRB</v>
      </c>
      <c r="E48" s="17" t="str">
        <f>"T"&amp;J48&amp;MID(D48,2,2)</f>
        <v>TPRB</v>
      </c>
      <c r="F48" s="17" t="str">
        <f t="shared" ref="F48:F55" si="3">D48</f>
        <v>TRB</v>
      </c>
      <c r="G48" s="304">
        <v>1</v>
      </c>
      <c r="J48" s="316" t="s">
        <v>507</v>
      </c>
      <c r="L48" s="17" t="str">
        <f>D48</f>
        <v>TRB</v>
      </c>
      <c r="M48" s="320">
        <f ca="1">ROAD2!O60</f>
        <v>0.13067584709587673</v>
      </c>
      <c r="N48" s="320">
        <f ca="1">ROAD2!P60</f>
        <v>9.9567428321033408E-2</v>
      </c>
      <c r="P48" s="17" t="str">
        <f ca="1">E48</f>
        <v>TPRB</v>
      </c>
      <c r="Q48" s="295">
        <f ca="1">ROAD2!Q60</f>
        <v>1.6987860122463976</v>
      </c>
      <c r="R48" s="295">
        <f ca="1">ROAD2!R60</f>
        <v>1.2943765681734343</v>
      </c>
      <c r="U48" s="17" t="s">
        <v>521</v>
      </c>
      <c r="V48" s="295">
        <v>0.51136589289973822</v>
      </c>
      <c r="W48" s="295">
        <v>0.51078371692773805</v>
      </c>
    </row>
    <row r="49" spans="1:22">
      <c r="A49" s="140"/>
      <c r="B49" s="17"/>
      <c r="C49" s="17"/>
      <c r="D49" s="17" t="str">
        <f ca="1">ROAD2!B64</f>
        <v>TRW</v>
      </c>
      <c r="E49" s="17" t="str">
        <f>"T"&amp;J49&amp;MID(D49,2,2)</f>
        <v>TPRW</v>
      </c>
      <c r="F49" s="17" t="str">
        <f t="shared" si="3"/>
        <v>TRW</v>
      </c>
      <c r="G49" s="304">
        <v>1</v>
      </c>
      <c r="J49" s="316" t="s">
        <v>507</v>
      </c>
      <c r="L49" s="17" t="str">
        <f>D49</f>
        <v>TRW</v>
      </c>
      <c r="M49" s="320">
        <f ca="1">ROAD2!O64</f>
        <v>0.4038764809587147</v>
      </c>
      <c r="N49" s="320">
        <f ca="1">ROAD2!P64</f>
        <v>0.32742070338699514</v>
      </c>
      <c r="P49" s="17" t="str">
        <f ca="1">E49</f>
        <v>TPRW</v>
      </c>
      <c r="Q49" s="295">
        <f ca="1">ROAD2!Q64</f>
        <v>0.4038764809587147</v>
      </c>
      <c r="R49" s="295">
        <f ca="1">ROAD2!R64</f>
        <v>0.32742070338699514</v>
      </c>
    </row>
    <row r="50" spans="1:22">
      <c r="A50" s="140"/>
      <c r="B50" s="17"/>
      <c r="C50" s="17"/>
      <c r="D50" s="17" t="s">
        <v>155</v>
      </c>
      <c r="E50" s="17" t="s">
        <v>530</v>
      </c>
      <c r="F50" s="17" t="str">
        <f t="shared" si="3"/>
        <v>TTP</v>
      </c>
      <c r="G50" s="304">
        <v>1</v>
      </c>
      <c r="J50" s="316" t="s">
        <v>507</v>
      </c>
      <c r="L50" s="17" t="str">
        <f>D50</f>
        <v>TTP</v>
      </c>
      <c r="M50" s="17"/>
      <c r="N50" s="17"/>
      <c r="P50" s="17" t="str">
        <f>E50</f>
        <v>TPTN</v>
      </c>
      <c r="Q50" s="295">
        <f ca="1">RAIL2!P31</f>
        <v>0.52166041542017916</v>
      </c>
      <c r="R50" s="295">
        <f ca="1">RAIL2!Q31</f>
        <v>0.55440503969610377</v>
      </c>
      <c r="U50" s="22"/>
      <c r="V50" s="22"/>
    </row>
    <row r="51" spans="1:22">
      <c r="A51" s="140"/>
      <c r="B51" s="17"/>
      <c r="C51" s="17"/>
      <c r="D51" s="17" t="s">
        <v>513</v>
      </c>
      <c r="E51" s="17" t="s">
        <v>531</v>
      </c>
      <c r="F51" s="17" t="str">
        <f t="shared" si="3"/>
        <v>TTM</v>
      </c>
      <c r="G51" s="304">
        <v>1</v>
      </c>
      <c r="J51" s="316" t="s">
        <v>507</v>
      </c>
      <c r="L51" s="17" t="str">
        <f>D51</f>
        <v>TTM</v>
      </c>
      <c r="M51" s="17"/>
      <c r="N51" s="17"/>
      <c r="P51" s="17" t="str">
        <f>E51</f>
        <v>TPTM</v>
      </c>
      <c r="Q51" s="295">
        <f ca="1">RAIL2!P29</f>
        <v>0.56107955531693665</v>
      </c>
      <c r="R51" s="295">
        <f ca="1">RAIL2!Q29</f>
        <v>0.76722142028147078</v>
      </c>
      <c r="U51" s="22"/>
      <c r="V51" s="22"/>
    </row>
    <row r="52" spans="1:22">
      <c r="A52" s="140"/>
      <c r="B52" s="17" t="s">
        <v>504</v>
      </c>
      <c r="C52" s="17" t="s">
        <v>510</v>
      </c>
      <c r="D52" s="17" t="str">
        <f ca="1">ROAD2!B61</f>
        <v>TRL</v>
      </c>
      <c r="E52" s="17" t="str">
        <f>"T"&amp;J52&amp;MID(D52,2,2)</f>
        <v>TFRL</v>
      </c>
      <c r="F52" s="17" t="str">
        <f t="shared" si="3"/>
        <v>TRL</v>
      </c>
      <c r="G52" s="304">
        <v>1</v>
      </c>
      <c r="J52" s="316" t="s">
        <v>508</v>
      </c>
      <c r="L52" s="219" t="s">
        <v>516</v>
      </c>
      <c r="M52" s="219"/>
      <c r="N52" s="219"/>
      <c r="P52" s="219" t="s">
        <v>517</v>
      </c>
      <c r="Q52" s="219"/>
      <c r="R52" s="219"/>
      <c r="U52" s="22"/>
      <c r="V52" s="22"/>
    </row>
    <row r="53" spans="1:22">
      <c r="A53" s="140"/>
      <c r="B53" s="17"/>
      <c r="C53" s="17"/>
      <c r="D53" s="17" t="str">
        <f ca="1">ROAD2!B62</f>
        <v>TRM</v>
      </c>
      <c r="E53" s="17" t="str">
        <f>"T"&amp;J53&amp;MID(D53,2,2)</f>
        <v>TFRM</v>
      </c>
      <c r="F53" s="17" t="str">
        <f t="shared" si="3"/>
        <v>TRM</v>
      </c>
      <c r="G53" s="304">
        <v>1</v>
      </c>
      <c r="J53" s="316" t="s">
        <v>508</v>
      </c>
      <c r="L53" s="17" t="str">
        <f>D52</f>
        <v>TRL</v>
      </c>
      <c r="M53" s="320">
        <f ca="1">ROAD2!O61</f>
        <v>0.60097520706961849</v>
      </c>
      <c r="N53" s="320">
        <f ca="1">ROAD2!P61</f>
        <v>0.71465402185408966</v>
      </c>
      <c r="P53" s="17" t="str">
        <f ca="1">E52</f>
        <v>TFRL</v>
      </c>
      <c r="Q53" s="295">
        <f ca="1">ROAD2!Q61</f>
        <v>0.1201950414139237</v>
      </c>
      <c r="R53" s="295">
        <f ca="1">ROAD2!R61</f>
        <v>0.14293080437081793</v>
      </c>
      <c r="U53" s="22"/>
      <c r="V53" s="22"/>
    </row>
    <row r="54" spans="1:22">
      <c r="A54" s="140"/>
      <c r="B54" s="17"/>
      <c r="C54" s="17"/>
      <c r="D54" s="17" t="str">
        <f ca="1">ROAD2!B63</f>
        <v>TRH</v>
      </c>
      <c r="E54" s="17" t="str">
        <f>"T"&amp;J54&amp;MID(D54,2,2)</f>
        <v>TFRH</v>
      </c>
      <c r="F54" s="17" t="str">
        <f t="shared" si="3"/>
        <v>TRH</v>
      </c>
      <c r="G54" s="304">
        <v>1</v>
      </c>
      <c r="J54" s="316" t="s">
        <v>508</v>
      </c>
      <c r="L54" s="17" t="str">
        <f>D53</f>
        <v>TRM</v>
      </c>
      <c r="M54" s="320">
        <f ca="1">ROAD2!O62</f>
        <v>0.18350822879225692</v>
      </c>
      <c r="N54" s="320">
        <f ca="1">ROAD2!P62</f>
        <v>0.17224042052218538</v>
      </c>
      <c r="P54" s="17" t="str">
        <f ca="1">E53</f>
        <v>TFRM</v>
      </c>
      <c r="Q54" s="295">
        <f ca="1">ROAD2!Q62</f>
        <v>0.44041974910141662</v>
      </c>
      <c r="R54" s="295">
        <f ca="1">ROAD2!R62</f>
        <v>0.41337700925324489</v>
      </c>
      <c r="U54" s="22"/>
      <c r="V54" s="22"/>
    </row>
    <row r="55" spans="1:22">
      <c r="A55" s="140"/>
      <c r="B55" s="17"/>
      <c r="C55" s="17"/>
      <c r="D55" s="17" t="s">
        <v>151</v>
      </c>
      <c r="E55" s="17" t="s">
        <v>532</v>
      </c>
      <c r="F55" s="17" t="str">
        <f t="shared" si="3"/>
        <v>TTF</v>
      </c>
      <c r="G55" s="304">
        <v>1</v>
      </c>
      <c r="J55" s="316" t="s">
        <v>508</v>
      </c>
      <c r="L55" s="17" t="str">
        <f>D54</f>
        <v>TRH</v>
      </c>
      <c r="M55" s="320">
        <f ca="1">ROAD2!O63</f>
        <v>0.11486368192622852</v>
      </c>
      <c r="N55" s="320">
        <f ca="1">ROAD2!P63</f>
        <v>0.10287583835875609</v>
      </c>
      <c r="P55" s="17" t="str">
        <f ca="1">E54</f>
        <v>TFRH</v>
      </c>
      <c r="Q55" s="295">
        <f ca="1">ROAD2!Q63</f>
        <v>1.4013369194999878</v>
      </c>
      <c r="R55" s="295">
        <f ca="1">ROAD2!R63</f>
        <v>1.2550852279768243</v>
      </c>
      <c r="U55" s="22"/>
      <c r="V55" s="22"/>
    </row>
    <row r="56" spans="1:22">
      <c r="L56" s="17" t="str">
        <f>D55</f>
        <v>TTF</v>
      </c>
      <c r="M56" s="17"/>
      <c r="N56" s="17"/>
      <c r="P56" s="17" t="str">
        <f>E55</f>
        <v>TFTN</v>
      </c>
      <c r="Q56" s="295">
        <f ca="1">RAIL2!P31</f>
        <v>0.52166041542017916</v>
      </c>
      <c r="R56" s="295">
        <f ca="1">RAIL2!Q31</f>
        <v>0.55440503969610377</v>
      </c>
      <c r="U56" s="22"/>
      <c r="V56" s="22"/>
    </row>
    <row r="57" spans="1:22">
      <c r="A57" s="140"/>
      <c r="U57" s="22"/>
      <c r="V57" s="22"/>
    </row>
    <row r="58" spans="1:22">
      <c r="A58" s="140"/>
      <c r="U58" s="22"/>
      <c r="V58" s="22"/>
    </row>
    <row r="59" spans="1:22">
      <c r="A59" s="140"/>
      <c r="C59" s="188" t="str">
        <f>"~FI_T: VA_Attrib_TC~"&amp;Region</f>
        <v>~FI_T: VA_Attrib_TC~FIM</v>
      </c>
      <c r="U59" s="22"/>
      <c r="V59" s="22"/>
    </row>
    <row r="60" spans="1:22" ht="13.5" thickBot="1">
      <c r="A60" s="140"/>
      <c r="B60" s="55" t="s">
        <v>297</v>
      </c>
      <c r="C60" s="55" t="s">
        <v>292</v>
      </c>
      <c r="D60" s="55">
        <v>2010</v>
      </c>
      <c r="E60" s="55">
        <f ca="1">AuxYear</f>
        <v>2017</v>
      </c>
      <c r="U60" s="22"/>
      <c r="V60" s="22"/>
    </row>
    <row r="61" spans="1:22">
      <c r="A61" s="140"/>
      <c r="B61" s="17" t="s">
        <v>501</v>
      </c>
      <c r="C61" s="17" t="str">
        <f>D47</f>
        <v>TRT</v>
      </c>
      <c r="D61" s="74">
        <f ca="1">ROAD2!H59</f>
        <v>1.6</v>
      </c>
      <c r="E61" s="74">
        <f ca="1">ROAD2!I59</f>
        <v>1.6</v>
      </c>
      <c r="U61" s="22"/>
      <c r="V61" s="22"/>
    </row>
    <row r="62" spans="1:22">
      <c r="B62" s="17" t="s">
        <v>501</v>
      </c>
      <c r="C62" s="17" t="str">
        <f>D48</f>
        <v>TRB</v>
      </c>
      <c r="D62" s="74">
        <f ca="1">ROAD2!H60</f>
        <v>13</v>
      </c>
      <c r="E62" s="74">
        <f ca="1">ROAD2!I60</f>
        <v>13</v>
      </c>
    </row>
    <row r="63" spans="1:22">
      <c r="B63" s="17" t="s">
        <v>501</v>
      </c>
      <c r="C63" s="17" t="str">
        <f>D49</f>
        <v>TRW</v>
      </c>
      <c r="D63" s="74">
        <f ca="1">ROAD2!H64</f>
        <v>1</v>
      </c>
      <c r="E63" s="74">
        <f ca="1">ROAD2!I64</f>
        <v>1</v>
      </c>
    </row>
    <row r="64" spans="1:22">
      <c r="B64" s="17" t="s">
        <v>501</v>
      </c>
      <c r="C64" s="17" t="str">
        <f>D50</f>
        <v>TTP</v>
      </c>
      <c r="D64" s="74">
        <f ca="1">RAIL2!H29</f>
        <v>2.6756366688288153</v>
      </c>
      <c r="E64" s="74">
        <f ca="1">RAIL2!I29</f>
        <v>2.6914378184777412</v>
      </c>
    </row>
    <row r="65" spans="2:5">
      <c r="B65" s="17" t="s">
        <v>501</v>
      </c>
      <c r="C65" s="17" t="str">
        <f>D51</f>
        <v>TTM</v>
      </c>
      <c r="D65" s="74">
        <f ca="1">RAIL2!H30</f>
        <v>1.9541043565466183</v>
      </c>
      <c r="E65" s="74">
        <f ca="1">RAIL2!I30</f>
        <v>1.5548555201889394</v>
      </c>
    </row>
    <row r="66" spans="2:5">
      <c r="B66" s="5" t="s">
        <v>501</v>
      </c>
      <c r="C66" s="5" t="s">
        <v>523</v>
      </c>
      <c r="D66" s="381">
        <f>V47</f>
        <v>0.18649229879050955</v>
      </c>
      <c r="E66" s="381">
        <f>W47</f>
        <v>0.24397080925214354</v>
      </c>
    </row>
    <row r="67" spans="2:5">
      <c r="B67" s="17" t="s">
        <v>504</v>
      </c>
      <c r="C67" s="17" t="str">
        <f>D52</f>
        <v>TRL</v>
      </c>
      <c r="D67" s="74">
        <f ca="1">ROAD2!H61</f>
        <v>0.2</v>
      </c>
      <c r="E67" s="74">
        <f ca="1">ROAD2!I61</f>
        <v>0.2</v>
      </c>
    </row>
    <row r="68" spans="2:5">
      <c r="B68" s="17" t="s">
        <v>504</v>
      </c>
      <c r="C68" s="17" t="str">
        <f>D53</f>
        <v>TRM</v>
      </c>
      <c r="D68" s="74">
        <f ca="1">ROAD2!H62</f>
        <v>2.4</v>
      </c>
      <c r="E68" s="74">
        <f ca="1">ROAD2!I62</f>
        <v>2.4</v>
      </c>
    </row>
    <row r="69" spans="2:5">
      <c r="B69" s="17" t="s">
        <v>504</v>
      </c>
      <c r="C69" s="17" t="str">
        <f>D54</f>
        <v>TRH</v>
      </c>
      <c r="D69" s="74">
        <f ca="1">ROAD2!H63</f>
        <v>12.2</v>
      </c>
      <c r="E69" s="74">
        <f ca="1">ROAD2!I63</f>
        <v>12.2</v>
      </c>
    </row>
    <row r="70" spans="2:5">
      <c r="B70" s="17" t="s">
        <v>504</v>
      </c>
      <c r="C70" s="17" t="str">
        <f>D55</f>
        <v>TTF</v>
      </c>
      <c r="D70" s="74">
        <f ca="1">RAIL2!H31</f>
        <v>7.0549999999999997</v>
      </c>
      <c r="E70" s="74">
        <f ca="1">RAIL2!I31</f>
        <v>6.6814805546240317</v>
      </c>
    </row>
    <row r="71" spans="2:5">
      <c r="B71" s="17" t="s">
        <v>504</v>
      </c>
      <c r="C71" s="17" t="s">
        <v>521</v>
      </c>
      <c r="D71" s="295">
        <f>V48</f>
        <v>0.51136589289973822</v>
      </c>
      <c r="E71" s="295">
        <f>W48</f>
        <v>0.51078371692773805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7</vt:i4>
      </vt:variant>
    </vt:vector>
  </HeadingPairs>
  <TitlesOfParts>
    <vt:vector size="27" baseType="lpstr">
      <vt:lpstr>IEAData</vt:lpstr>
      <vt:lpstr>AuxData</vt:lpstr>
      <vt:lpstr>COMM</vt:lpstr>
      <vt:lpstr>Processes</vt:lpstr>
      <vt:lpstr>TRA_Fuels</vt:lpstr>
      <vt:lpstr>TRA_Emi</vt:lpstr>
      <vt:lpstr>ROAD</vt:lpstr>
      <vt:lpstr>RAIL</vt:lpstr>
      <vt:lpstr>AIR</vt:lpstr>
      <vt:lpstr>SHIP</vt:lpstr>
      <vt:lpstr>Market</vt:lpstr>
      <vt:lpstr>IEAData2</vt:lpstr>
      <vt:lpstr>AuxData2</vt:lpstr>
      <vt:lpstr>COMM2</vt:lpstr>
      <vt:lpstr>TRA_Fuels2</vt:lpstr>
      <vt:lpstr>ROAD2</vt:lpstr>
      <vt:lpstr>RAIL2</vt:lpstr>
      <vt:lpstr>AIR2</vt:lpstr>
      <vt:lpstr>SHIP2</vt:lpstr>
      <vt:lpstr>Market2</vt:lpstr>
      <vt:lpstr>AuxYear</vt:lpstr>
      <vt:lpstr>AuxData!BaseYear</vt:lpstr>
      <vt:lpstr>AuxData2!BaseYear</vt:lpstr>
      <vt:lpstr>BaseYear</vt:lpstr>
      <vt:lpstr>AuxData!Tiny</vt:lpstr>
      <vt:lpstr>AuxData2!Tiny</vt:lpstr>
      <vt:lpstr>Tiny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Kapilow-Cohen</dc:creator>
  <cp:lastModifiedBy>Antti-L</cp:lastModifiedBy>
  <cp:lastPrinted>2002-02-13T20:16:18Z</cp:lastPrinted>
  <dcterms:created xsi:type="dcterms:W3CDTF">1996-10-14T23:33:28Z</dcterms:created>
  <dcterms:modified xsi:type="dcterms:W3CDTF">2021-02-12T13:26:38Z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">
    <vt:lpwstr>TIAM</vt:lpwstr>
  </property>
  <property fmtid="{D5CDD505-2E9C-101B-9397-08002B2CF9AE}" pid="3" name="TmplVersion">
    <vt:lpwstr>Vrsn000001</vt:lpwstr>
  </property>
  <property fmtid="{D5CDD505-2E9C-101B-9397-08002B2CF9AE}" pid="4" name="Base_Yr_Bal">
    <vt:lpwstr>IEAStats.MDB</vt:lpwstr>
  </property>
  <property fmtid="{D5CDD505-2E9C-101B-9397-08002B2CF9AE}" pid="5" name="ImportCode:IEAStats.MDB">
    <vt:lpwstr>97389898986339.8</vt:lpwstr>
  </property>
  <property fmtid="{D5CDD505-2E9C-101B-9397-08002B2CF9AE}" pid="6" name="SaveCode">
    <vt:r8>64500629901885</vt:r8>
  </property>
</Properties>
</file>