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360" yWindow="270" windowWidth="27420" windowHeight="14250" activeTab="8"/>
  </bookViews>
  <sheets>
    <sheet name="IEAData" sheetId="8" r:id="rId1"/>
    <sheet name="AuxData" sheetId="9" r:id="rId2"/>
    <sheet name="CalibData" sheetId="10" state="veryHidden" r:id="rId3"/>
    <sheet name="COMM" sheetId="11" r:id="rId4"/>
    <sheet name="MIN" sheetId="12" r:id="rId5"/>
    <sheet name="RNW" sheetId="13" r:id="rId6"/>
    <sheet name="UPS_FUELS" sheetId="14" r:id="rId7"/>
    <sheet name="PRIM_PRD" sheetId="15" r:id="rId8"/>
    <sheet name="SCND_TRF" sheetId="16" r:id="rId9"/>
    <sheet name="Stock_stat" sheetId="17" r:id="rId10"/>
    <sheet name="TRADES" sheetId="18" r:id="rId11"/>
    <sheet name="UPS_Emi" sheetId="19" r:id="rId12"/>
    <sheet name="MiscPar" sheetId="20" r:id="rId13"/>
    <sheet name="Processes" sheetId="21" r:id="rId14"/>
    <sheet name="IEAData2" sheetId="1" r:id="rId15"/>
    <sheet name="AuxData2" sheetId="2" r:id="rId16"/>
    <sheet name="PPROD2" sheetId="4" r:id="rId17"/>
    <sheet name="UPS_FUELS2" sheetId="5" r:id="rId18"/>
    <sheet name="UPS_Emi2" sheetId="6" r:id="rId19"/>
    <sheet name="Processes2" sheetId="7" r:id="rId20"/>
  </sheets>
  <definedNames>
    <definedName name="Auxyear">AuxData2!$B$1</definedName>
    <definedName name="BaseYear">IEAData2!$B$1</definedName>
    <definedName name="NOPEC">CalibData!$G$1</definedName>
    <definedName name="OPEC">FALSE</definedName>
    <definedName name="RegIndex" localSheetId="1" hidden="1">3</definedName>
    <definedName name="RegIndex" localSheetId="2" hidden="1">3</definedName>
    <definedName name="RegIndex" localSheetId="3" hidden="1">3</definedName>
    <definedName name="RegIndex" localSheetId="0" hidden="1">3</definedName>
    <definedName name="RegIndex" localSheetId="4" hidden="1">3</definedName>
    <definedName name="RegIndex" localSheetId="12" hidden="1">3</definedName>
    <definedName name="RegIndex" localSheetId="7" hidden="1">3</definedName>
    <definedName name="RegIndex" localSheetId="13" hidden="1">3</definedName>
    <definedName name="RegIndex" localSheetId="5" hidden="1">3</definedName>
    <definedName name="RegIndex" localSheetId="8" hidden="1">3</definedName>
    <definedName name="RegIndex" localSheetId="9" hidden="1">3</definedName>
    <definedName name="RegIndex" localSheetId="10" hidden="1">3</definedName>
    <definedName name="RegIndex" localSheetId="11" hidden="1">3</definedName>
    <definedName name="RegIndex" localSheetId="6" hidden="1">3</definedName>
    <definedName name="RegIndex">3</definedName>
    <definedName name="Region" localSheetId="1" hidden="1">"FIN"</definedName>
    <definedName name="Region" localSheetId="2" hidden="1">"FIN"</definedName>
    <definedName name="Region" localSheetId="3" hidden="1">"FIN"</definedName>
    <definedName name="Region" localSheetId="0" hidden="1">"FIN"</definedName>
    <definedName name="Region" localSheetId="4" hidden="1">"FIN"</definedName>
    <definedName name="Region" localSheetId="12" hidden="1">"FIN"</definedName>
    <definedName name="Region" localSheetId="7" hidden="1">"FIN"</definedName>
    <definedName name="Region" localSheetId="13" hidden="1">"FIN"</definedName>
    <definedName name="Region" localSheetId="5" hidden="1">"FIN"</definedName>
    <definedName name="Region" localSheetId="8" hidden="1">"FIN"</definedName>
    <definedName name="Region" localSheetId="9" hidden="1">"FIN"</definedName>
    <definedName name="Region" localSheetId="10" hidden="1">"FIN"</definedName>
    <definedName name="Region" localSheetId="11" hidden="1">"FIN"</definedName>
    <definedName name="Region" localSheetId="6" hidden="1">"FIN"</definedName>
    <definedName name="Region">"FIM"</definedName>
    <definedName name="Tiny">IEAData2!$I$1</definedName>
  </definedNames>
  <calcPr calcId="114210" calcMode="manual"/>
</workbook>
</file>

<file path=xl/calcChain.xml><?xml version="1.0" encoding="utf-8"?>
<calcChain xmlns="http://schemas.openxmlformats.org/spreadsheetml/2006/main">
  <c r="J103" i="16"/>
  <c r="J104"/>
  <c r="J105"/>
  <c r="J106"/>
  <c r="J107"/>
  <c r="J108"/>
  <c r="J109"/>
  <c r="J110"/>
  <c r="J111"/>
  <c r="J112"/>
  <c r="J113"/>
  <c r="J114"/>
  <c r="J115"/>
  <c r="J116"/>
  <c r="J117"/>
  <c r="J118"/>
  <c r="J119"/>
  <c r="O45" i="9"/>
  <c r="I96" i="16"/>
  <c r="J120"/>
  <c r="K90"/>
  <c r="V96"/>
  <c r="Z96"/>
  <c r="AE96"/>
  <c r="AF96"/>
  <c r="O5" i="8"/>
  <c r="P7"/>
  <c r="H103" i="16"/>
  <c r="H104"/>
  <c r="H105"/>
  <c r="H106"/>
  <c r="H107"/>
  <c r="H108"/>
  <c r="H109"/>
  <c r="H110"/>
  <c r="H111"/>
  <c r="H112"/>
  <c r="H113"/>
  <c r="H114"/>
  <c r="H115"/>
  <c r="H116"/>
  <c r="H117"/>
  <c r="H118"/>
  <c r="H119"/>
  <c r="N45" i="8"/>
  <c r="O45"/>
  <c r="G96" i="16"/>
  <c r="H120"/>
  <c r="J90"/>
  <c r="O8" i="8"/>
  <c r="P8"/>
  <c r="C14"/>
  <c r="C15"/>
  <c r="C16"/>
  <c r="C17"/>
  <c r="C18"/>
  <c r="C20"/>
  <c r="C22"/>
  <c r="D22"/>
  <c r="E22"/>
  <c r="F22"/>
  <c r="H22"/>
  <c r="I22"/>
  <c r="J22"/>
  <c r="C23"/>
  <c r="E23"/>
  <c r="F23"/>
  <c r="I23"/>
  <c r="J23"/>
  <c r="F24"/>
  <c r="F25"/>
  <c r="F26"/>
  <c r="C31"/>
  <c r="C32"/>
  <c r="C36"/>
  <c r="D36"/>
  <c r="E36"/>
  <c r="F36"/>
  <c r="H36"/>
  <c r="I36"/>
  <c r="J36"/>
  <c r="C37"/>
  <c r="D37"/>
  <c r="E37"/>
  <c r="F37"/>
  <c r="G37"/>
  <c r="I37"/>
  <c r="J37"/>
  <c r="F38"/>
  <c r="G38"/>
  <c r="F39"/>
  <c r="G39"/>
  <c r="C40"/>
  <c r="D40"/>
  <c r="E40"/>
  <c r="F40"/>
  <c r="G40"/>
  <c r="H40"/>
  <c r="I40"/>
  <c r="J40"/>
  <c r="C41"/>
  <c r="D41"/>
  <c r="E41"/>
  <c r="F41"/>
  <c r="G41"/>
  <c r="H41"/>
  <c r="I41"/>
  <c r="J41"/>
  <c r="C42"/>
  <c r="D42"/>
  <c r="E42"/>
  <c r="F42"/>
  <c r="G42"/>
  <c r="H42"/>
  <c r="I42"/>
  <c r="J42"/>
  <c r="C43"/>
  <c r="D43"/>
  <c r="E43"/>
  <c r="F43"/>
  <c r="G43"/>
  <c r="H43"/>
  <c r="I43"/>
  <c r="J43"/>
  <c r="C44"/>
  <c r="D44"/>
  <c r="E44"/>
  <c r="F44"/>
  <c r="G44"/>
  <c r="H44"/>
  <c r="I44"/>
  <c r="J44"/>
  <c r="C46"/>
  <c r="D46"/>
  <c r="E46"/>
  <c r="F46"/>
  <c r="G46"/>
  <c r="H46"/>
  <c r="I46"/>
  <c r="J46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U98"/>
  <c r="A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U99"/>
  <c r="AV99"/>
  <c r="A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U101"/>
  <c r="AV101"/>
  <c r="A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U102"/>
  <c r="AV102"/>
  <c r="A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U103"/>
  <c r="AV103"/>
  <c r="A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U104"/>
  <c r="AV104"/>
  <c r="A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U105"/>
  <c r="AV105"/>
  <c r="A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U106"/>
  <c r="AV106"/>
  <c r="A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U107"/>
  <c r="AV107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131"/>
  <c r="C131"/>
  <c r="D131"/>
  <c r="E131"/>
  <c r="F131"/>
  <c r="G131"/>
  <c r="H131"/>
  <c r="I131"/>
  <c r="J131"/>
  <c r="A132"/>
  <c r="C132"/>
  <c r="D132"/>
  <c r="E132"/>
  <c r="F132"/>
  <c r="G132"/>
  <c r="H132"/>
  <c r="I132"/>
  <c r="J132"/>
  <c r="A133"/>
  <c r="C133"/>
  <c r="D133"/>
  <c r="E133"/>
  <c r="F133"/>
  <c r="G133"/>
  <c r="H133"/>
  <c r="I133"/>
  <c r="J133"/>
  <c r="A134"/>
  <c r="C134"/>
  <c r="D134"/>
  <c r="E134"/>
  <c r="F134"/>
  <c r="G134"/>
  <c r="H134"/>
  <c r="I134"/>
  <c r="J134"/>
  <c r="A135"/>
  <c r="C135"/>
  <c r="D135"/>
  <c r="E135"/>
  <c r="F135"/>
  <c r="G135"/>
  <c r="H135"/>
  <c r="I135"/>
  <c r="J135"/>
  <c r="A136"/>
  <c r="C136"/>
  <c r="D136"/>
  <c r="E136"/>
  <c r="F136"/>
  <c r="G136"/>
  <c r="H136"/>
  <c r="I136"/>
  <c r="J136"/>
  <c r="A137"/>
  <c r="C137"/>
  <c r="D137"/>
  <c r="E137"/>
  <c r="F137"/>
  <c r="G137"/>
  <c r="H137"/>
  <c r="I137"/>
  <c r="J137"/>
  <c r="A138"/>
  <c r="C138"/>
  <c r="D138"/>
  <c r="E138"/>
  <c r="F138"/>
  <c r="G138"/>
  <c r="H138"/>
  <c r="I138"/>
  <c r="J138"/>
  <c r="C139"/>
  <c r="D139"/>
  <c r="E139"/>
  <c r="F139"/>
  <c r="G139"/>
  <c r="H139"/>
  <c r="I139"/>
  <c r="J139"/>
  <c r="A140"/>
  <c r="C140"/>
  <c r="D140"/>
  <c r="E140"/>
  <c r="F140"/>
  <c r="G140"/>
  <c r="H140"/>
  <c r="I140"/>
  <c r="J140"/>
  <c r="L140"/>
  <c r="C141"/>
  <c r="D141"/>
  <c r="E141"/>
  <c r="F141"/>
  <c r="G141"/>
  <c r="H141"/>
  <c r="I141"/>
  <c r="J141"/>
  <c r="C145"/>
  <c r="D145"/>
  <c r="E145"/>
  <c r="F145"/>
  <c r="G145"/>
  <c r="H145"/>
  <c r="I145"/>
  <c r="J145"/>
  <c r="A146"/>
  <c r="C146"/>
  <c r="D146"/>
  <c r="E146"/>
  <c r="F146"/>
  <c r="G146"/>
  <c r="H146"/>
  <c r="I146"/>
  <c r="J146"/>
  <c r="A147"/>
  <c r="C147"/>
  <c r="D147"/>
  <c r="E147"/>
  <c r="F147"/>
  <c r="G147"/>
  <c r="H147"/>
  <c r="I147"/>
  <c r="J147"/>
  <c r="A148"/>
  <c r="C148"/>
  <c r="D148"/>
  <c r="E148"/>
  <c r="F148"/>
  <c r="G148"/>
  <c r="H148"/>
  <c r="I148"/>
  <c r="J148"/>
  <c r="A149"/>
  <c r="C149"/>
  <c r="D149"/>
  <c r="E149"/>
  <c r="F149"/>
  <c r="G149"/>
  <c r="H149"/>
  <c r="I149"/>
  <c r="J149"/>
  <c r="C150"/>
  <c r="D150"/>
  <c r="E150"/>
  <c r="F150"/>
  <c r="G150"/>
  <c r="H150"/>
  <c r="I150"/>
  <c r="J150"/>
  <c r="C151"/>
  <c r="D151"/>
  <c r="E151"/>
  <c r="F151"/>
  <c r="G151"/>
  <c r="H151"/>
  <c r="I151"/>
  <c r="J151"/>
  <c r="C152"/>
  <c r="D152"/>
  <c r="E152"/>
  <c r="F152"/>
  <c r="G152"/>
  <c r="H152"/>
  <c r="I152"/>
  <c r="J152"/>
  <c r="C153"/>
  <c r="D153"/>
  <c r="E153"/>
  <c r="F153"/>
  <c r="G153"/>
  <c r="H153"/>
  <c r="I153"/>
  <c r="J153"/>
  <c r="C154"/>
  <c r="D154"/>
  <c r="E154"/>
  <c r="F154"/>
  <c r="G154"/>
  <c r="H154"/>
  <c r="I154"/>
  <c r="J154"/>
  <c r="C155"/>
  <c r="D155"/>
  <c r="E155"/>
  <c r="F155"/>
  <c r="G155"/>
  <c r="H155"/>
  <c r="I155"/>
  <c r="J155"/>
  <c r="C156"/>
  <c r="D156"/>
  <c r="E156"/>
  <c r="F156"/>
  <c r="G156"/>
  <c r="H156"/>
  <c r="I156"/>
  <c r="J156"/>
  <c r="A157"/>
  <c r="C157"/>
  <c r="D157"/>
  <c r="E157"/>
  <c r="F157"/>
  <c r="G157"/>
  <c r="H157"/>
  <c r="I157"/>
  <c r="J157"/>
  <c r="A158"/>
  <c r="C158"/>
  <c r="D158"/>
  <c r="E158"/>
  <c r="F158"/>
  <c r="G158"/>
  <c r="H158"/>
  <c r="I158"/>
  <c r="J158"/>
  <c r="A159"/>
  <c r="C159"/>
  <c r="D159"/>
  <c r="E159"/>
  <c r="F159"/>
  <c r="G159"/>
  <c r="H159"/>
  <c r="I159"/>
  <c r="J159"/>
  <c r="A160"/>
  <c r="C160"/>
  <c r="D160"/>
  <c r="E160"/>
  <c r="F160"/>
  <c r="G160"/>
  <c r="H160"/>
  <c r="I160"/>
  <c r="J160"/>
  <c r="A161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L205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Q184"/>
  <c r="R180"/>
  <c r="S180"/>
  <c r="C161"/>
  <c r="R183"/>
  <c r="S183"/>
  <c r="D161"/>
  <c r="E161"/>
  <c r="R181"/>
  <c r="S181"/>
  <c r="F161"/>
  <c r="R182"/>
  <c r="S182"/>
  <c r="G161"/>
  <c r="H161"/>
  <c r="I161"/>
  <c r="J161"/>
  <c r="A162"/>
  <c r="C162"/>
  <c r="D162"/>
  <c r="E162"/>
  <c r="F162"/>
  <c r="G162"/>
  <c r="H162"/>
  <c r="I162"/>
  <c r="J162"/>
  <c r="A163"/>
  <c r="C163"/>
  <c r="D163"/>
  <c r="E163"/>
  <c r="F163"/>
  <c r="G163"/>
  <c r="H163"/>
  <c r="I163"/>
  <c r="J163"/>
  <c r="A164"/>
  <c r="C164"/>
  <c r="D164"/>
  <c r="E164"/>
  <c r="F164"/>
  <c r="G164"/>
  <c r="H164"/>
  <c r="I164"/>
  <c r="J164"/>
  <c r="A165"/>
  <c r="C165"/>
  <c r="D165"/>
  <c r="E165"/>
  <c r="F165"/>
  <c r="G165"/>
  <c r="H165"/>
  <c r="I165"/>
  <c r="J165"/>
  <c r="A166"/>
  <c r="C166"/>
  <c r="D166"/>
  <c r="E166"/>
  <c r="F166"/>
  <c r="G166"/>
  <c r="H166"/>
  <c r="I166"/>
  <c r="J166"/>
  <c r="J169"/>
  <c r="I172"/>
  <c r="J172"/>
  <c r="K172"/>
  <c r="L172"/>
  <c r="M172"/>
  <c r="I173"/>
  <c r="J173"/>
  <c r="K173"/>
  <c r="L173"/>
  <c r="M173"/>
  <c r="O173"/>
  <c r="I174"/>
  <c r="J174"/>
  <c r="K174"/>
  <c r="L174"/>
  <c r="M174"/>
  <c r="O174"/>
  <c r="I175"/>
  <c r="J175"/>
  <c r="K175"/>
  <c r="L175"/>
  <c r="M175"/>
  <c r="O175"/>
  <c r="I176"/>
  <c r="J176"/>
  <c r="K176"/>
  <c r="L176"/>
  <c r="M176"/>
  <c r="I177"/>
  <c r="J177"/>
  <c r="K177"/>
  <c r="L177"/>
  <c r="M177"/>
  <c r="I178"/>
  <c r="J178"/>
  <c r="K178"/>
  <c r="L178"/>
  <c r="M178"/>
  <c r="I179"/>
  <c r="J179"/>
  <c r="K179"/>
  <c r="L179"/>
  <c r="M179"/>
  <c r="I180"/>
  <c r="J180"/>
  <c r="K180"/>
  <c r="L180"/>
  <c r="M180"/>
  <c r="P180"/>
  <c r="I181"/>
  <c r="J181"/>
  <c r="K181"/>
  <c r="L181"/>
  <c r="M181"/>
  <c r="P181"/>
  <c r="I182"/>
  <c r="J182"/>
  <c r="K182"/>
  <c r="L182"/>
  <c r="M182"/>
  <c r="P182"/>
  <c r="I183"/>
  <c r="J183"/>
  <c r="K183"/>
  <c r="L183"/>
  <c r="M183"/>
  <c r="P183"/>
  <c r="I184"/>
  <c r="J184"/>
  <c r="K184"/>
  <c r="L184"/>
  <c r="M184"/>
  <c r="P184"/>
  <c r="R184"/>
  <c r="S184"/>
  <c r="I185"/>
  <c r="J185"/>
  <c r="K185"/>
  <c r="L185"/>
  <c r="M185"/>
  <c r="I186"/>
  <c r="J186"/>
  <c r="K186"/>
  <c r="L186"/>
  <c r="M186"/>
  <c r="I187"/>
  <c r="J187"/>
  <c r="K187"/>
  <c r="L187"/>
  <c r="M187"/>
  <c r="J188"/>
  <c r="J188" a="1"/>
  <c r="K188"/>
  <c r="K188" a="1"/>
  <c r="N189"/>
  <c r="J190"/>
  <c r="J191"/>
  <c r="J192"/>
  <c r="J193"/>
  <c r="J194"/>
  <c r="J195"/>
  <c r="J196"/>
  <c r="J197"/>
  <c r="J198"/>
  <c r="J199"/>
  <c r="J200"/>
  <c r="J201"/>
  <c r="J202"/>
  <c r="J203"/>
  <c r="J204"/>
  <c r="J205"/>
  <c r="L206"/>
  <c r="C208"/>
  <c r="D208"/>
  <c r="E208"/>
  <c r="G1" i="9"/>
  <c r="O5"/>
  <c r="P7"/>
  <c r="N45"/>
  <c r="O8"/>
  <c r="P8"/>
  <c r="C14"/>
  <c r="C15"/>
  <c r="C16"/>
  <c r="C17"/>
  <c r="C18"/>
  <c r="C20"/>
  <c r="C22"/>
  <c r="D22"/>
  <c r="E22"/>
  <c r="F22"/>
  <c r="H22"/>
  <c r="I22"/>
  <c r="J22"/>
  <c r="C23"/>
  <c r="E23"/>
  <c r="F23"/>
  <c r="I23"/>
  <c r="J23"/>
  <c r="F24"/>
  <c r="F25"/>
  <c r="F26"/>
  <c r="C31"/>
  <c r="C32"/>
  <c r="C36"/>
  <c r="D36"/>
  <c r="E36"/>
  <c r="F36"/>
  <c r="H36"/>
  <c r="I36"/>
  <c r="J36"/>
  <c r="C37"/>
  <c r="D37"/>
  <c r="E37"/>
  <c r="F37"/>
  <c r="G37"/>
  <c r="I37"/>
  <c r="J37"/>
  <c r="F38"/>
  <c r="G38"/>
  <c r="F39"/>
  <c r="G39"/>
  <c r="C40"/>
  <c r="D40"/>
  <c r="E40"/>
  <c r="F40"/>
  <c r="G40"/>
  <c r="H40"/>
  <c r="I40"/>
  <c r="J40"/>
  <c r="C41"/>
  <c r="D41"/>
  <c r="E41"/>
  <c r="F41"/>
  <c r="G41"/>
  <c r="H41"/>
  <c r="I41"/>
  <c r="J41"/>
  <c r="C42"/>
  <c r="D42"/>
  <c r="E42"/>
  <c r="F42"/>
  <c r="G42"/>
  <c r="H42"/>
  <c r="I42"/>
  <c r="J42"/>
  <c r="C43"/>
  <c r="D43"/>
  <c r="E43"/>
  <c r="F43"/>
  <c r="G43"/>
  <c r="H43"/>
  <c r="I43"/>
  <c r="J43"/>
  <c r="C44"/>
  <c r="D44"/>
  <c r="E44"/>
  <c r="F44"/>
  <c r="G44"/>
  <c r="H44"/>
  <c r="I44"/>
  <c r="J44"/>
  <c r="C46"/>
  <c r="D46"/>
  <c r="E46"/>
  <c r="F46"/>
  <c r="G46"/>
  <c r="H46"/>
  <c r="I46"/>
  <c r="J46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Y54"/>
  <c r="AZ55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U98"/>
  <c r="AV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U99"/>
  <c r="AV99"/>
  <c r="A101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U101"/>
  <c r="AV101"/>
  <c r="A102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U102"/>
  <c r="AV102"/>
  <c r="A103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U103"/>
  <c r="AV103"/>
  <c r="A104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U104"/>
  <c r="AV104"/>
  <c r="A105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U105"/>
  <c r="AV105"/>
  <c r="A106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U106"/>
  <c r="AV106"/>
  <c r="A107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U107"/>
  <c r="AV107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110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114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115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116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117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118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119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120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121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131"/>
  <c r="C131"/>
  <c r="D131"/>
  <c r="E131"/>
  <c r="F131"/>
  <c r="G131"/>
  <c r="H131"/>
  <c r="I131"/>
  <c r="J131"/>
  <c r="A132"/>
  <c r="C132"/>
  <c r="D132"/>
  <c r="E132"/>
  <c r="F132"/>
  <c r="G132"/>
  <c r="H132"/>
  <c r="I132"/>
  <c r="J132"/>
  <c r="A133"/>
  <c r="C133"/>
  <c r="D133"/>
  <c r="E133"/>
  <c r="F133"/>
  <c r="G133"/>
  <c r="H133"/>
  <c r="I133"/>
  <c r="J133"/>
  <c r="A134"/>
  <c r="C134"/>
  <c r="D134"/>
  <c r="E134"/>
  <c r="F134"/>
  <c r="G134"/>
  <c r="H134"/>
  <c r="I134"/>
  <c r="J134"/>
  <c r="A135"/>
  <c r="C135"/>
  <c r="D135"/>
  <c r="E135"/>
  <c r="F135"/>
  <c r="G135"/>
  <c r="H135"/>
  <c r="I135"/>
  <c r="J135"/>
  <c r="A136"/>
  <c r="C136"/>
  <c r="D136"/>
  <c r="E136"/>
  <c r="F136"/>
  <c r="G136"/>
  <c r="H136"/>
  <c r="I136"/>
  <c r="J136"/>
  <c r="A137"/>
  <c r="C137"/>
  <c r="D137"/>
  <c r="E137"/>
  <c r="F137"/>
  <c r="G137"/>
  <c r="H137"/>
  <c r="I137"/>
  <c r="J137"/>
  <c r="A138"/>
  <c r="C138"/>
  <c r="D138"/>
  <c r="E138"/>
  <c r="F138"/>
  <c r="G138"/>
  <c r="H138"/>
  <c r="I138"/>
  <c r="J138"/>
  <c r="C139"/>
  <c r="D139"/>
  <c r="E139"/>
  <c r="F139"/>
  <c r="G139"/>
  <c r="H139"/>
  <c r="I139"/>
  <c r="J139"/>
  <c r="A140"/>
  <c r="C140"/>
  <c r="D140"/>
  <c r="E140"/>
  <c r="F140"/>
  <c r="G140"/>
  <c r="H140"/>
  <c r="I140"/>
  <c r="J140"/>
  <c r="L140"/>
  <c r="C141"/>
  <c r="D141"/>
  <c r="E141"/>
  <c r="F141"/>
  <c r="G141"/>
  <c r="H141"/>
  <c r="I141"/>
  <c r="J141"/>
  <c r="C145"/>
  <c r="D145"/>
  <c r="E145"/>
  <c r="F145"/>
  <c r="G145"/>
  <c r="H145"/>
  <c r="I145"/>
  <c r="J145"/>
  <c r="A146"/>
  <c r="C146"/>
  <c r="D146"/>
  <c r="E146"/>
  <c r="F146"/>
  <c r="G146"/>
  <c r="H146"/>
  <c r="I146"/>
  <c r="J146"/>
  <c r="A147"/>
  <c r="C147"/>
  <c r="D147"/>
  <c r="E147"/>
  <c r="F147"/>
  <c r="G147"/>
  <c r="H147"/>
  <c r="I147"/>
  <c r="J147"/>
  <c r="A148"/>
  <c r="C148"/>
  <c r="D148"/>
  <c r="E148"/>
  <c r="F148"/>
  <c r="G148"/>
  <c r="H148"/>
  <c r="I148"/>
  <c r="J148"/>
  <c r="A149"/>
  <c r="C149"/>
  <c r="D149"/>
  <c r="E149"/>
  <c r="F149"/>
  <c r="G149"/>
  <c r="H149"/>
  <c r="I149"/>
  <c r="J149"/>
  <c r="C150"/>
  <c r="D150"/>
  <c r="E150"/>
  <c r="F150"/>
  <c r="G150"/>
  <c r="H150"/>
  <c r="I150"/>
  <c r="J150"/>
  <c r="C151"/>
  <c r="D151"/>
  <c r="E151"/>
  <c r="F151"/>
  <c r="G151"/>
  <c r="H151"/>
  <c r="I151"/>
  <c r="J151"/>
  <c r="C152"/>
  <c r="D152"/>
  <c r="E152"/>
  <c r="F152"/>
  <c r="G152"/>
  <c r="H152"/>
  <c r="I152"/>
  <c r="J152"/>
  <c r="C153"/>
  <c r="D153"/>
  <c r="E153"/>
  <c r="F153"/>
  <c r="G153"/>
  <c r="H153"/>
  <c r="I153"/>
  <c r="J153"/>
  <c r="C154"/>
  <c r="D154"/>
  <c r="E154"/>
  <c r="F154"/>
  <c r="G154"/>
  <c r="H154"/>
  <c r="I154"/>
  <c r="J154"/>
  <c r="C155"/>
  <c r="D155"/>
  <c r="E155"/>
  <c r="F155"/>
  <c r="G155"/>
  <c r="H155"/>
  <c r="I155"/>
  <c r="J155"/>
  <c r="C156"/>
  <c r="D156"/>
  <c r="E156"/>
  <c r="F156"/>
  <c r="G156"/>
  <c r="H156"/>
  <c r="I156"/>
  <c r="J156"/>
  <c r="A157"/>
  <c r="C157"/>
  <c r="D157"/>
  <c r="E157"/>
  <c r="F157"/>
  <c r="G157"/>
  <c r="H157"/>
  <c r="I157"/>
  <c r="J157"/>
  <c r="A158"/>
  <c r="C158"/>
  <c r="D158"/>
  <c r="E158"/>
  <c r="F158"/>
  <c r="G158"/>
  <c r="H158"/>
  <c r="I158"/>
  <c r="J158"/>
  <c r="A159"/>
  <c r="C159"/>
  <c r="D159"/>
  <c r="E159"/>
  <c r="F159"/>
  <c r="G159"/>
  <c r="H159"/>
  <c r="I159"/>
  <c r="J159"/>
  <c r="A160"/>
  <c r="C160"/>
  <c r="D160"/>
  <c r="E160"/>
  <c r="F160"/>
  <c r="G160"/>
  <c r="H160"/>
  <c r="I160"/>
  <c r="J160"/>
  <c r="A161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L205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Q184"/>
  <c r="R180"/>
  <c r="S180"/>
  <c r="C161"/>
  <c r="R183"/>
  <c r="S183"/>
  <c r="D161"/>
  <c r="E161"/>
  <c r="R181"/>
  <c r="S181"/>
  <c r="F161"/>
  <c r="R182"/>
  <c r="S182"/>
  <c r="G161"/>
  <c r="H161"/>
  <c r="I161"/>
  <c r="R184"/>
  <c r="J161"/>
  <c r="A162"/>
  <c r="C162"/>
  <c r="D162"/>
  <c r="E162"/>
  <c r="F162"/>
  <c r="G162"/>
  <c r="H162"/>
  <c r="I162"/>
  <c r="J162"/>
  <c r="A163"/>
  <c r="C163"/>
  <c r="D163"/>
  <c r="E163"/>
  <c r="F163"/>
  <c r="G163"/>
  <c r="H163"/>
  <c r="I163"/>
  <c r="J163"/>
  <c r="A164"/>
  <c r="C164"/>
  <c r="D164"/>
  <c r="E164"/>
  <c r="F164"/>
  <c r="G164"/>
  <c r="H164"/>
  <c r="I164"/>
  <c r="J164"/>
  <c r="A165"/>
  <c r="C165"/>
  <c r="D165"/>
  <c r="E165"/>
  <c r="F165"/>
  <c r="G165"/>
  <c r="H165"/>
  <c r="I165"/>
  <c r="J165"/>
  <c r="A166"/>
  <c r="C166"/>
  <c r="D166"/>
  <c r="E166"/>
  <c r="F166"/>
  <c r="G166"/>
  <c r="H166"/>
  <c r="I166"/>
  <c r="J166"/>
  <c r="J169"/>
  <c r="I172"/>
  <c r="J172"/>
  <c r="K172"/>
  <c r="L172"/>
  <c r="M172"/>
  <c r="I173"/>
  <c r="J173"/>
  <c r="K173"/>
  <c r="L173"/>
  <c r="M173"/>
  <c r="O173"/>
  <c r="I174"/>
  <c r="J174"/>
  <c r="K174"/>
  <c r="L174"/>
  <c r="M174"/>
  <c r="O174"/>
  <c r="I175"/>
  <c r="J175"/>
  <c r="K175"/>
  <c r="L175"/>
  <c r="M175"/>
  <c r="O175"/>
  <c r="I176"/>
  <c r="J176"/>
  <c r="K176"/>
  <c r="L176"/>
  <c r="M176"/>
  <c r="I177"/>
  <c r="J177"/>
  <c r="K177"/>
  <c r="L177"/>
  <c r="M177"/>
  <c r="I178"/>
  <c r="J178"/>
  <c r="K178"/>
  <c r="L178"/>
  <c r="M178"/>
  <c r="I179"/>
  <c r="J179"/>
  <c r="K179"/>
  <c r="L179"/>
  <c r="M179"/>
  <c r="I180"/>
  <c r="J180"/>
  <c r="K180"/>
  <c r="L180"/>
  <c r="M180"/>
  <c r="P180"/>
  <c r="I181"/>
  <c r="J181"/>
  <c r="K181"/>
  <c r="L181"/>
  <c r="M181"/>
  <c r="P181"/>
  <c r="I182"/>
  <c r="J182"/>
  <c r="K182"/>
  <c r="L182"/>
  <c r="M182"/>
  <c r="P182"/>
  <c r="I183"/>
  <c r="J183"/>
  <c r="K183"/>
  <c r="L183"/>
  <c r="M183"/>
  <c r="P183"/>
  <c r="I184"/>
  <c r="J184"/>
  <c r="K184"/>
  <c r="L184"/>
  <c r="M184"/>
  <c r="P184"/>
  <c r="S184"/>
  <c r="I185"/>
  <c r="J185"/>
  <c r="K185"/>
  <c r="L185"/>
  <c r="M185"/>
  <c r="I186"/>
  <c r="J186"/>
  <c r="K186"/>
  <c r="L186"/>
  <c r="M186"/>
  <c r="I187"/>
  <c r="J187"/>
  <c r="K187"/>
  <c r="L187"/>
  <c r="M187"/>
  <c r="J188"/>
  <c r="J188" a="1"/>
  <c r="K188"/>
  <c r="K188" a="1"/>
  <c r="N189"/>
  <c r="J190"/>
  <c r="J191"/>
  <c r="J192"/>
  <c r="J193"/>
  <c r="J194"/>
  <c r="J195"/>
  <c r="J196"/>
  <c r="J197"/>
  <c r="J198"/>
  <c r="J199"/>
  <c r="J200"/>
  <c r="J201"/>
  <c r="J202"/>
  <c r="J203"/>
  <c r="J204"/>
  <c r="J205"/>
  <c r="L206"/>
  <c r="C208"/>
  <c r="D208"/>
  <c r="E208"/>
  <c r="E1" i="10"/>
  <c r="G1"/>
  <c r="A210" i="9"/>
  <c r="C1" i="10"/>
  <c r="K3"/>
  <c r="K4"/>
  <c r="K5"/>
  <c r="K6"/>
  <c r="K7"/>
  <c r="K8"/>
  <c r="K9"/>
  <c r="K10"/>
  <c r="K11"/>
  <c r="K12"/>
  <c r="K13"/>
  <c r="K14"/>
  <c r="K15"/>
  <c r="I26"/>
  <c r="K26"/>
  <c r="K29"/>
  <c r="B27"/>
  <c r="I27"/>
  <c r="K27"/>
  <c r="B28"/>
  <c r="I28"/>
  <c r="K28"/>
  <c r="B31"/>
  <c r="B30"/>
  <c r="B29"/>
  <c r="I29"/>
  <c r="R29"/>
  <c r="I30"/>
  <c r="K30"/>
  <c r="E31"/>
  <c r="I31"/>
  <c r="K31"/>
  <c r="E32"/>
  <c r="I32"/>
  <c r="K32"/>
  <c r="I33"/>
  <c r="K33"/>
  <c r="B34"/>
  <c r="I34"/>
  <c r="K34"/>
  <c r="B35"/>
  <c r="B39"/>
  <c r="B38"/>
  <c r="B37"/>
  <c r="B36"/>
  <c r="E38"/>
  <c r="E39"/>
  <c r="J40"/>
  <c r="B41"/>
  <c r="B42"/>
  <c r="B46"/>
  <c r="B45"/>
  <c r="B44"/>
  <c r="B43"/>
  <c r="T44"/>
  <c r="U44"/>
  <c r="V44"/>
  <c r="E45"/>
  <c r="E46"/>
  <c r="B48"/>
  <c r="B49"/>
  <c r="J49"/>
  <c r="M49"/>
  <c r="B50"/>
  <c r="B51"/>
  <c r="J51"/>
  <c r="B52"/>
  <c r="E52"/>
  <c r="J52"/>
  <c r="B53"/>
  <c r="E53"/>
  <c r="J53"/>
  <c r="S53"/>
  <c r="T53"/>
  <c r="U53"/>
  <c r="V53"/>
  <c r="W53"/>
  <c r="X53"/>
  <c r="B54"/>
  <c r="M54"/>
  <c r="E6" i="12"/>
  <c r="C12"/>
  <c r="C13"/>
  <c r="L29" i="13"/>
  <c r="M29"/>
  <c r="G36"/>
  <c r="P37"/>
  <c r="Q37"/>
  <c r="R37"/>
  <c r="S37"/>
  <c r="T37"/>
  <c r="U37"/>
  <c r="V37"/>
  <c r="D38"/>
  <c r="R39"/>
  <c r="S39"/>
  <c r="T39"/>
  <c r="U39"/>
  <c r="P38"/>
  <c r="H39"/>
  <c r="I41"/>
  <c r="M41"/>
  <c r="N41"/>
  <c r="Q41"/>
  <c r="R41"/>
  <c r="S41"/>
  <c r="T41"/>
  <c r="U41"/>
  <c r="G47"/>
  <c r="M48"/>
  <c r="N48"/>
  <c r="O48"/>
  <c r="T48"/>
  <c r="U48"/>
  <c r="V48"/>
  <c r="N59"/>
  <c r="Q59"/>
  <c r="D61"/>
  <c r="E6" i="14"/>
  <c r="G7"/>
  <c r="H7"/>
  <c r="I7"/>
  <c r="J7"/>
  <c r="C8"/>
  <c r="G8"/>
  <c r="I8"/>
  <c r="C9"/>
  <c r="G9"/>
  <c r="I9"/>
  <c r="D10"/>
  <c r="C11"/>
  <c r="D12"/>
  <c r="C13"/>
  <c r="G13"/>
  <c r="I13"/>
  <c r="C14"/>
  <c r="G14"/>
  <c r="I14"/>
  <c r="C15"/>
  <c r="G15"/>
  <c r="I15"/>
  <c r="C16"/>
  <c r="G16"/>
  <c r="I16"/>
  <c r="C17"/>
  <c r="G17"/>
  <c r="I17"/>
  <c r="C18"/>
  <c r="G18"/>
  <c r="I18"/>
  <c r="C19"/>
  <c r="G19"/>
  <c r="I19"/>
  <c r="D20"/>
  <c r="C21"/>
  <c r="D22"/>
  <c r="C23"/>
  <c r="D24"/>
  <c r="C25"/>
  <c r="G25"/>
  <c r="I25"/>
  <c r="C26"/>
  <c r="G26"/>
  <c r="I26"/>
  <c r="C27"/>
  <c r="G27"/>
  <c r="I27"/>
  <c r="C28"/>
  <c r="G28"/>
  <c r="I28"/>
  <c r="C29"/>
  <c r="G29"/>
  <c r="I29"/>
  <c r="D30"/>
  <c r="C31"/>
  <c r="D32"/>
  <c r="G33"/>
  <c r="I33"/>
  <c r="G34"/>
  <c r="I34"/>
  <c r="G35"/>
  <c r="I35"/>
  <c r="G36"/>
  <c r="I36"/>
  <c r="G37"/>
  <c r="I37"/>
  <c r="G38"/>
  <c r="I38"/>
  <c r="G39"/>
  <c r="I39"/>
  <c r="G40"/>
  <c r="I40"/>
  <c r="G41"/>
  <c r="I41"/>
  <c r="G42"/>
  <c r="I42"/>
  <c r="G43"/>
  <c r="I43"/>
  <c r="D44"/>
  <c r="C45"/>
  <c r="G45"/>
  <c r="I45"/>
  <c r="C46"/>
  <c r="G46"/>
  <c r="I46"/>
  <c r="C47"/>
  <c r="G47"/>
  <c r="I47"/>
  <c r="D48"/>
  <c r="C49"/>
  <c r="G49"/>
  <c r="I49"/>
  <c r="C50"/>
  <c r="G50"/>
  <c r="I50"/>
  <c r="C51"/>
  <c r="G51"/>
  <c r="I51"/>
  <c r="C52"/>
  <c r="G52"/>
  <c r="I52"/>
  <c r="C53"/>
  <c r="G53"/>
  <c r="I53"/>
  <c r="C54"/>
  <c r="G54"/>
  <c r="I54"/>
  <c r="D55"/>
  <c r="D56"/>
  <c r="I56"/>
  <c r="C57"/>
  <c r="H57"/>
  <c r="J57"/>
  <c r="C59"/>
  <c r="D59"/>
  <c r="C60"/>
  <c r="E8" i="15"/>
  <c r="AP8"/>
  <c r="F9"/>
  <c r="G9"/>
  <c r="H9"/>
  <c r="I9"/>
  <c r="J9"/>
  <c r="K9"/>
  <c r="L9"/>
  <c r="M9"/>
  <c r="N9"/>
  <c r="O9"/>
  <c r="P9"/>
  <c r="Q9"/>
  <c r="Y9"/>
  <c r="Z9"/>
  <c r="AA9"/>
  <c r="AB9"/>
  <c r="AC9"/>
  <c r="AF9"/>
  <c r="C18"/>
  <c r="G27"/>
  <c r="G29"/>
  <c r="F18"/>
  <c r="H18"/>
  <c r="J18"/>
  <c r="K18"/>
  <c r="M27"/>
  <c r="M29"/>
  <c r="L18"/>
  <c r="N18"/>
  <c r="P18"/>
  <c r="Q18"/>
  <c r="U18"/>
  <c r="W18"/>
  <c r="X18"/>
  <c r="Y18"/>
  <c r="Z18"/>
  <c r="AD18"/>
  <c r="AE18"/>
  <c r="AF18"/>
  <c r="AG18"/>
  <c r="AI18"/>
  <c r="C19"/>
  <c r="F19"/>
  <c r="H19"/>
  <c r="L19"/>
  <c r="N19"/>
  <c r="C20"/>
  <c r="F20"/>
  <c r="H20"/>
  <c r="L20"/>
  <c r="N20"/>
  <c r="C21"/>
  <c r="F21"/>
  <c r="H21"/>
  <c r="L21"/>
  <c r="N21"/>
  <c r="C22"/>
  <c r="F22"/>
  <c r="H22"/>
  <c r="L22"/>
  <c r="N22"/>
  <c r="W22"/>
  <c r="C23"/>
  <c r="F23"/>
  <c r="H23"/>
  <c r="L23"/>
  <c r="N23"/>
  <c r="C24"/>
  <c r="F24"/>
  <c r="H24"/>
  <c r="L24"/>
  <c r="N24"/>
  <c r="C25"/>
  <c r="F25"/>
  <c r="H25"/>
  <c r="L25"/>
  <c r="N25"/>
  <c r="C26"/>
  <c r="F26"/>
  <c r="H26"/>
  <c r="L26"/>
  <c r="N26"/>
  <c r="D27"/>
  <c r="I27"/>
  <c r="O27"/>
  <c r="I28"/>
  <c r="O28"/>
  <c r="I29"/>
  <c r="O29"/>
  <c r="C30"/>
  <c r="H30"/>
  <c r="N30"/>
  <c r="S30"/>
  <c r="U30"/>
  <c r="W30"/>
  <c r="X30"/>
  <c r="Y30"/>
  <c r="Z30"/>
  <c r="AE30"/>
  <c r="AF30"/>
  <c r="AG30"/>
  <c r="C31"/>
  <c r="H31"/>
  <c r="N31"/>
  <c r="C32"/>
  <c r="H32"/>
  <c r="N32"/>
  <c r="C33"/>
  <c r="H33"/>
  <c r="N33"/>
  <c r="C34"/>
  <c r="H34"/>
  <c r="N34"/>
  <c r="AP34"/>
  <c r="C35"/>
  <c r="H35"/>
  <c r="N35"/>
  <c r="C36"/>
  <c r="H36"/>
  <c r="N36"/>
  <c r="AP36"/>
  <c r="C37"/>
  <c r="H37"/>
  <c r="N37"/>
  <c r="C38"/>
  <c r="H38"/>
  <c r="N38"/>
  <c r="AP38"/>
  <c r="D39"/>
  <c r="I39"/>
  <c r="O39"/>
  <c r="D40"/>
  <c r="I40"/>
  <c r="O40"/>
  <c r="AP40"/>
  <c r="D41"/>
  <c r="I41"/>
  <c r="O41"/>
  <c r="C42"/>
  <c r="G51"/>
  <c r="G53"/>
  <c r="F42"/>
  <c r="H42"/>
  <c r="J42"/>
  <c r="M51"/>
  <c r="M53"/>
  <c r="L42"/>
  <c r="N42"/>
  <c r="P42"/>
  <c r="U42"/>
  <c r="W42"/>
  <c r="X42"/>
  <c r="Y42"/>
  <c r="Z42"/>
  <c r="AE42"/>
  <c r="AF42"/>
  <c r="AG42"/>
  <c r="AP42"/>
  <c r="C43"/>
  <c r="F43"/>
  <c r="H43"/>
  <c r="L43"/>
  <c r="N43"/>
  <c r="C44"/>
  <c r="F44"/>
  <c r="H44"/>
  <c r="L44"/>
  <c r="N44"/>
  <c r="AP44"/>
  <c r="C45"/>
  <c r="F45"/>
  <c r="H45"/>
  <c r="L45"/>
  <c r="N45"/>
  <c r="C46"/>
  <c r="F46"/>
  <c r="H46"/>
  <c r="L46"/>
  <c r="N46"/>
  <c r="AP46"/>
  <c r="C47"/>
  <c r="F47"/>
  <c r="H47"/>
  <c r="L47"/>
  <c r="N47"/>
  <c r="C48"/>
  <c r="F48"/>
  <c r="H48"/>
  <c r="L48"/>
  <c r="N48"/>
  <c r="AP48"/>
  <c r="C49"/>
  <c r="F49"/>
  <c r="H49"/>
  <c r="L49"/>
  <c r="N49"/>
  <c r="C50"/>
  <c r="F50"/>
  <c r="H50"/>
  <c r="L50"/>
  <c r="N50"/>
  <c r="AP50"/>
  <c r="D51"/>
  <c r="I51"/>
  <c r="O51"/>
  <c r="D52"/>
  <c r="I52"/>
  <c r="O52"/>
  <c r="AP52"/>
  <c r="I53"/>
  <c r="O53"/>
  <c r="C54"/>
  <c r="G55"/>
  <c r="F54"/>
  <c r="H54"/>
  <c r="J54"/>
  <c r="M55"/>
  <c r="L54"/>
  <c r="N54"/>
  <c r="P54"/>
  <c r="Z54"/>
  <c r="AE54"/>
  <c r="AF54"/>
  <c r="AG54"/>
  <c r="AP54"/>
  <c r="AP56"/>
  <c r="F57"/>
  <c r="L57"/>
  <c r="F58"/>
  <c r="H58"/>
  <c r="L58"/>
  <c r="N58"/>
  <c r="R58"/>
  <c r="AP58"/>
  <c r="C59"/>
  <c r="F59"/>
  <c r="H59"/>
  <c r="L59"/>
  <c r="N59"/>
  <c r="G60"/>
  <c r="I60"/>
  <c r="M60"/>
  <c r="O60"/>
  <c r="AP60"/>
  <c r="AP62"/>
  <c r="AP64"/>
  <c r="AP66"/>
  <c r="F75"/>
  <c r="J77"/>
  <c r="L77"/>
  <c r="Q77"/>
  <c r="J79"/>
  <c r="E7" i="16"/>
  <c r="J8"/>
  <c r="K8"/>
  <c r="L8"/>
  <c r="M8"/>
  <c r="N8"/>
  <c r="O8"/>
  <c r="P8"/>
  <c r="Q8"/>
  <c r="R8"/>
  <c r="S8"/>
  <c r="T8"/>
  <c r="W8"/>
  <c r="F9"/>
  <c r="H9"/>
  <c r="G10"/>
  <c r="F12"/>
  <c r="F13"/>
  <c r="F14"/>
  <c r="F15"/>
  <c r="F16"/>
  <c r="F17"/>
  <c r="F18"/>
  <c r="F19"/>
  <c r="F20"/>
  <c r="J9"/>
  <c r="I10"/>
  <c r="H12"/>
  <c r="H13"/>
  <c r="H14"/>
  <c r="H15"/>
  <c r="H16"/>
  <c r="H17"/>
  <c r="H18"/>
  <c r="H19"/>
  <c r="H20"/>
  <c r="L9"/>
  <c r="G11"/>
  <c r="R9"/>
  <c r="I11"/>
  <c r="S9"/>
  <c r="T9"/>
  <c r="U9"/>
  <c r="V9"/>
  <c r="W9"/>
  <c r="X9"/>
  <c r="Y9"/>
  <c r="D10"/>
  <c r="D11"/>
  <c r="O11"/>
  <c r="Q11"/>
  <c r="C12"/>
  <c r="K12"/>
  <c r="M12"/>
  <c r="C13"/>
  <c r="K13"/>
  <c r="M13"/>
  <c r="C14"/>
  <c r="K14"/>
  <c r="M14"/>
  <c r="C15"/>
  <c r="K15"/>
  <c r="M15"/>
  <c r="C16"/>
  <c r="K16"/>
  <c r="M16"/>
  <c r="C17"/>
  <c r="K17"/>
  <c r="M17"/>
  <c r="C18"/>
  <c r="K18"/>
  <c r="M18"/>
  <c r="C19"/>
  <c r="K19"/>
  <c r="M19"/>
  <c r="C20"/>
  <c r="K20"/>
  <c r="M20"/>
  <c r="F21"/>
  <c r="H21"/>
  <c r="F22"/>
  <c r="F23"/>
  <c r="F26"/>
  <c r="F27"/>
  <c r="F28"/>
  <c r="F29"/>
  <c r="F30"/>
  <c r="F31"/>
  <c r="F32"/>
  <c r="F33"/>
  <c r="F34"/>
  <c r="F35"/>
  <c r="F36"/>
  <c r="F37"/>
  <c r="F38"/>
  <c r="F39"/>
  <c r="F40"/>
  <c r="G24"/>
  <c r="G25"/>
  <c r="J21"/>
  <c r="H22"/>
  <c r="H23"/>
  <c r="H26"/>
  <c r="H27"/>
  <c r="H28"/>
  <c r="H29"/>
  <c r="H30"/>
  <c r="H31"/>
  <c r="H32"/>
  <c r="H33"/>
  <c r="H34"/>
  <c r="H35"/>
  <c r="H36"/>
  <c r="H37"/>
  <c r="H38"/>
  <c r="I39"/>
  <c r="I40"/>
  <c r="G40"/>
  <c r="K21"/>
  <c r="H39"/>
  <c r="H40"/>
  <c r="I24"/>
  <c r="I25"/>
  <c r="L21"/>
  <c r="M21"/>
  <c r="R21"/>
  <c r="S21"/>
  <c r="T21"/>
  <c r="U21"/>
  <c r="V21"/>
  <c r="W21"/>
  <c r="X21"/>
  <c r="AB21"/>
  <c r="C22"/>
  <c r="K22"/>
  <c r="M22"/>
  <c r="AB22"/>
  <c r="C23"/>
  <c r="K23"/>
  <c r="M23"/>
  <c r="AB23"/>
  <c r="D24"/>
  <c r="O24"/>
  <c r="Q24"/>
  <c r="D25"/>
  <c r="C26"/>
  <c r="K26"/>
  <c r="M26"/>
  <c r="AB26"/>
  <c r="C27"/>
  <c r="K27"/>
  <c r="M27"/>
  <c r="AB27"/>
  <c r="C28"/>
  <c r="K28"/>
  <c r="M28"/>
  <c r="AB28"/>
  <c r="C29"/>
  <c r="K29"/>
  <c r="M29"/>
  <c r="AB29"/>
  <c r="C30"/>
  <c r="K30"/>
  <c r="M30"/>
  <c r="AB30"/>
  <c r="C31"/>
  <c r="K31"/>
  <c r="M31"/>
  <c r="AB31"/>
  <c r="C32"/>
  <c r="K32"/>
  <c r="M32"/>
  <c r="AB32"/>
  <c r="C33"/>
  <c r="K33"/>
  <c r="M33"/>
  <c r="AB33"/>
  <c r="C34"/>
  <c r="K34"/>
  <c r="M34"/>
  <c r="AB34"/>
  <c r="C35"/>
  <c r="K35"/>
  <c r="M35"/>
  <c r="AB35"/>
  <c r="C36"/>
  <c r="K36"/>
  <c r="M36"/>
  <c r="AB36"/>
  <c r="C37"/>
  <c r="K37"/>
  <c r="M37"/>
  <c r="AB37"/>
  <c r="C38"/>
  <c r="K38"/>
  <c r="M38"/>
  <c r="AB38"/>
  <c r="C39"/>
  <c r="G39"/>
  <c r="K39"/>
  <c r="M39"/>
  <c r="AB39"/>
  <c r="C40"/>
  <c r="K40"/>
  <c r="M40"/>
  <c r="AB40"/>
  <c r="F41"/>
  <c r="H41"/>
  <c r="F42"/>
  <c r="F43"/>
  <c r="F46"/>
  <c r="F47"/>
  <c r="F48"/>
  <c r="F49"/>
  <c r="F50"/>
  <c r="G44"/>
  <c r="G45"/>
  <c r="J41"/>
  <c r="H42"/>
  <c r="H43"/>
  <c r="H46"/>
  <c r="H47"/>
  <c r="H48"/>
  <c r="H49"/>
  <c r="H50"/>
  <c r="I45"/>
  <c r="I44"/>
  <c r="L41"/>
  <c r="N41"/>
  <c r="P41"/>
  <c r="R41"/>
  <c r="S41"/>
  <c r="T41"/>
  <c r="U41"/>
  <c r="V41"/>
  <c r="W41"/>
  <c r="X41"/>
  <c r="C42"/>
  <c r="N42"/>
  <c r="P42"/>
  <c r="C43"/>
  <c r="N43"/>
  <c r="P43"/>
  <c r="D44"/>
  <c r="N44"/>
  <c r="P44"/>
  <c r="D45"/>
  <c r="N45"/>
  <c r="P45"/>
  <c r="C46"/>
  <c r="N46"/>
  <c r="P46"/>
  <c r="C47"/>
  <c r="N47"/>
  <c r="P47"/>
  <c r="C48"/>
  <c r="N48"/>
  <c r="P48"/>
  <c r="C49"/>
  <c r="N49"/>
  <c r="P49"/>
  <c r="C50"/>
  <c r="N50"/>
  <c r="P50"/>
  <c r="C52"/>
  <c r="F52"/>
  <c r="H52"/>
  <c r="G62"/>
  <c r="F53"/>
  <c r="F54"/>
  <c r="F55"/>
  <c r="F56"/>
  <c r="F57"/>
  <c r="F58"/>
  <c r="F59"/>
  <c r="F60"/>
  <c r="F61"/>
  <c r="J52"/>
  <c r="I62"/>
  <c r="H53"/>
  <c r="H54"/>
  <c r="H55"/>
  <c r="H56"/>
  <c r="H57"/>
  <c r="H58"/>
  <c r="H59"/>
  <c r="H60"/>
  <c r="H61"/>
  <c r="L52"/>
  <c r="G63"/>
  <c r="R52"/>
  <c r="I63"/>
  <c r="S52"/>
  <c r="T52"/>
  <c r="U52"/>
  <c r="V52"/>
  <c r="W52"/>
  <c r="X52"/>
  <c r="Y52"/>
  <c r="C53"/>
  <c r="K53"/>
  <c r="M53"/>
  <c r="AB53"/>
  <c r="C54"/>
  <c r="K54"/>
  <c r="M54"/>
  <c r="AB54"/>
  <c r="C55"/>
  <c r="K55"/>
  <c r="M55"/>
  <c r="AB55"/>
  <c r="C56"/>
  <c r="K56"/>
  <c r="M56"/>
  <c r="AB56"/>
  <c r="C57"/>
  <c r="K57"/>
  <c r="M57"/>
  <c r="AB57"/>
  <c r="C58"/>
  <c r="K58"/>
  <c r="M58"/>
  <c r="AB58"/>
  <c r="C59"/>
  <c r="K59"/>
  <c r="M59"/>
  <c r="AB59"/>
  <c r="C60"/>
  <c r="K60"/>
  <c r="M60"/>
  <c r="AB60"/>
  <c r="C61"/>
  <c r="K61"/>
  <c r="M61"/>
  <c r="AB61"/>
  <c r="D62"/>
  <c r="O63"/>
  <c r="Q63"/>
  <c r="C64"/>
  <c r="F64"/>
  <c r="G66"/>
  <c r="G67"/>
  <c r="G69"/>
  <c r="G70"/>
  <c r="G71"/>
  <c r="G64"/>
  <c r="H64"/>
  <c r="I66"/>
  <c r="I67"/>
  <c r="I69"/>
  <c r="I70"/>
  <c r="I71"/>
  <c r="I64"/>
  <c r="F65"/>
  <c r="J64"/>
  <c r="H65"/>
  <c r="L64"/>
  <c r="N64"/>
  <c r="P64"/>
  <c r="G68"/>
  <c r="R64"/>
  <c r="I68"/>
  <c r="S64"/>
  <c r="T64"/>
  <c r="U64"/>
  <c r="V64"/>
  <c r="W64"/>
  <c r="X64"/>
  <c r="C65"/>
  <c r="N65"/>
  <c r="P65"/>
  <c r="D66"/>
  <c r="N66"/>
  <c r="P66"/>
  <c r="D67"/>
  <c r="N67"/>
  <c r="P67"/>
  <c r="N68"/>
  <c r="P68"/>
  <c r="D69"/>
  <c r="N69"/>
  <c r="P69"/>
  <c r="D70"/>
  <c r="N70"/>
  <c r="P70"/>
  <c r="D71"/>
  <c r="N71"/>
  <c r="P71"/>
  <c r="C72"/>
  <c r="F72"/>
  <c r="H72"/>
  <c r="G73"/>
  <c r="K72"/>
  <c r="I73"/>
  <c r="M72"/>
  <c r="R72"/>
  <c r="S72"/>
  <c r="T72"/>
  <c r="U72"/>
  <c r="V72"/>
  <c r="W72"/>
  <c r="X72"/>
  <c r="Y72"/>
  <c r="D73"/>
  <c r="C74"/>
  <c r="G77"/>
  <c r="F74"/>
  <c r="I77"/>
  <c r="H74"/>
  <c r="F75"/>
  <c r="F76"/>
  <c r="F78"/>
  <c r="F79"/>
  <c r="F80"/>
  <c r="F81"/>
  <c r="F82"/>
  <c r="F83"/>
  <c r="F84"/>
  <c r="F85"/>
  <c r="J74"/>
  <c r="R74"/>
  <c r="K74"/>
  <c r="H75"/>
  <c r="H76"/>
  <c r="H78"/>
  <c r="H79"/>
  <c r="H80"/>
  <c r="H81"/>
  <c r="H82"/>
  <c r="H83"/>
  <c r="H84"/>
  <c r="H85"/>
  <c r="L74"/>
  <c r="S74"/>
  <c r="M74"/>
  <c r="T74"/>
  <c r="U74"/>
  <c r="V74"/>
  <c r="W74"/>
  <c r="X74"/>
  <c r="Y74"/>
  <c r="C75"/>
  <c r="K75"/>
  <c r="M75"/>
  <c r="C76"/>
  <c r="K76"/>
  <c r="M76"/>
  <c r="D77"/>
  <c r="C78"/>
  <c r="K78"/>
  <c r="M78"/>
  <c r="C79"/>
  <c r="K79"/>
  <c r="M79"/>
  <c r="C80"/>
  <c r="K80"/>
  <c r="M80"/>
  <c r="C81"/>
  <c r="K81"/>
  <c r="M81"/>
  <c r="C82"/>
  <c r="K82"/>
  <c r="M82"/>
  <c r="C83"/>
  <c r="K83"/>
  <c r="M83"/>
  <c r="C84"/>
  <c r="K84"/>
  <c r="M84"/>
  <c r="C85"/>
  <c r="K85"/>
  <c r="M85"/>
  <c r="G97"/>
  <c r="G98"/>
  <c r="G99"/>
  <c r="G100"/>
  <c r="G101"/>
  <c r="J89"/>
  <c r="I97"/>
  <c r="I102"/>
  <c r="I98"/>
  <c r="I99"/>
  <c r="I100"/>
  <c r="I101"/>
  <c r="K89"/>
  <c r="J91"/>
  <c r="K91"/>
  <c r="G102"/>
  <c r="G121"/>
  <c r="G122"/>
  <c r="G123"/>
  <c r="G124"/>
  <c r="G125"/>
  <c r="G126"/>
  <c r="G127"/>
  <c r="G128"/>
  <c r="J92"/>
  <c r="I121"/>
  <c r="I122"/>
  <c r="I123"/>
  <c r="I124"/>
  <c r="I125"/>
  <c r="I126"/>
  <c r="I127"/>
  <c r="I128"/>
  <c r="K92"/>
  <c r="F94"/>
  <c r="G95"/>
  <c r="H95"/>
  <c r="I95"/>
  <c r="J95"/>
  <c r="L95"/>
  <c r="M95"/>
  <c r="N95"/>
  <c r="O95"/>
  <c r="U95"/>
  <c r="V95"/>
  <c r="W95"/>
  <c r="Y95"/>
  <c r="Z95"/>
  <c r="AD95"/>
  <c r="AE95"/>
  <c r="H130"/>
  <c r="L96"/>
  <c r="J130"/>
  <c r="N96"/>
  <c r="S96"/>
  <c r="U96"/>
  <c r="W96"/>
  <c r="X96"/>
  <c r="Y96"/>
  <c r="AA96"/>
  <c r="AD96"/>
  <c r="AG96"/>
  <c r="C97"/>
  <c r="L97"/>
  <c r="N97"/>
  <c r="C98"/>
  <c r="L98"/>
  <c r="N98"/>
  <c r="C99"/>
  <c r="L99"/>
  <c r="N99"/>
  <c r="C100"/>
  <c r="L100"/>
  <c r="N100"/>
  <c r="C101"/>
  <c r="L101"/>
  <c r="N101"/>
  <c r="L102"/>
  <c r="N102"/>
  <c r="D103"/>
  <c r="M103"/>
  <c r="O103"/>
  <c r="D104"/>
  <c r="P104"/>
  <c r="D105"/>
  <c r="P105"/>
  <c r="D106"/>
  <c r="D107"/>
  <c r="D108"/>
  <c r="D109"/>
  <c r="D110"/>
  <c r="D111"/>
  <c r="D112"/>
  <c r="D113"/>
  <c r="P113"/>
  <c r="D114"/>
  <c r="P114"/>
  <c r="D115"/>
  <c r="P115"/>
  <c r="D116"/>
  <c r="P116"/>
  <c r="D117"/>
  <c r="P117"/>
  <c r="D118"/>
  <c r="P118"/>
  <c r="D119"/>
  <c r="P119"/>
  <c r="F120"/>
  <c r="M120"/>
  <c r="O120"/>
  <c r="C121"/>
  <c r="L121"/>
  <c r="N121"/>
  <c r="C122"/>
  <c r="L122"/>
  <c r="N122"/>
  <c r="C123"/>
  <c r="L123"/>
  <c r="N123"/>
  <c r="C124"/>
  <c r="L124"/>
  <c r="N124"/>
  <c r="C125"/>
  <c r="L125"/>
  <c r="N125"/>
  <c r="C126"/>
  <c r="L126"/>
  <c r="N126"/>
  <c r="C127"/>
  <c r="L127"/>
  <c r="N127"/>
  <c r="C128"/>
  <c r="L128"/>
  <c r="N128"/>
  <c r="G130"/>
  <c r="I130"/>
  <c r="K130"/>
  <c r="N130"/>
  <c r="E136"/>
  <c r="W137"/>
  <c r="X137"/>
  <c r="AC137"/>
  <c r="C138"/>
  <c r="F138"/>
  <c r="G138"/>
  <c r="H138"/>
  <c r="I138"/>
  <c r="K138"/>
  <c r="L138"/>
  <c r="W138"/>
  <c r="X138"/>
  <c r="Y138"/>
  <c r="Z138"/>
  <c r="D139"/>
  <c r="G140"/>
  <c r="H140"/>
  <c r="I140"/>
  <c r="G142"/>
  <c r="H142"/>
  <c r="I142"/>
  <c r="G144"/>
  <c r="H144"/>
  <c r="I144"/>
  <c r="AC139"/>
  <c r="C140"/>
  <c r="F140"/>
  <c r="K140"/>
  <c r="L140"/>
  <c r="W140"/>
  <c r="X140"/>
  <c r="Y140"/>
  <c r="Z140"/>
  <c r="D141"/>
  <c r="C142"/>
  <c r="F142"/>
  <c r="K142"/>
  <c r="L142"/>
  <c r="W142"/>
  <c r="X142"/>
  <c r="Y142"/>
  <c r="Z142"/>
  <c r="D143"/>
  <c r="C144"/>
  <c r="F144"/>
  <c r="K144"/>
  <c r="L144"/>
  <c r="W144"/>
  <c r="X144"/>
  <c r="Y144"/>
  <c r="Z144"/>
  <c r="D145"/>
  <c r="AC145"/>
  <c r="F7" i="17"/>
  <c r="G8"/>
  <c r="H8"/>
  <c r="J8"/>
  <c r="K8"/>
  <c r="N8"/>
  <c r="O8"/>
  <c r="C9"/>
  <c r="G9"/>
  <c r="H9"/>
  <c r="E9"/>
  <c r="F9"/>
  <c r="J9"/>
  <c r="K9"/>
  <c r="Q9"/>
  <c r="C10"/>
  <c r="G10"/>
  <c r="H10"/>
  <c r="E10"/>
  <c r="F10"/>
  <c r="J10"/>
  <c r="K10"/>
  <c r="C11"/>
  <c r="G11"/>
  <c r="H11"/>
  <c r="E11"/>
  <c r="F11"/>
  <c r="J11"/>
  <c r="K11"/>
  <c r="C12"/>
  <c r="G12"/>
  <c r="H12"/>
  <c r="E12"/>
  <c r="F12"/>
  <c r="J12"/>
  <c r="K12"/>
  <c r="C13"/>
  <c r="G13"/>
  <c r="H13"/>
  <c r="E13"/>
  <c r="F13"/>
  <c r="J13"/>
  <c r="K13"/>
  <c r="C14"/>
  <c r="G14"/>
  <c r="H14"/>
  <c r="E14"/>
  <c r="F14"/>
  <c r="J14"/>
  <c r="K14"/>
  <c r="C15"/>
  <c r="G15"/>
  <c r="H15"/>
  <c r="E15"/>
  <c r="F15"/>
  <c r="J15"/>
  <c r="K15"/>
  <c r="C16"/>
  <c r="G16"/>
  <c r="H16"/>
  <c r="E16"/>
  <c r="F16"/>
  <c r="J16"/>
  <c r="K16"/>
  <c r="C17"/>
  <c r="G17"/>
  <c r="H17"/>
  <c r="E17"/>
  <c r="F17"/>
  <c r="J17"/>
  <c r="K17"/>
  <c r="C18"/>
  <c r="G18"/>
  <c r="H18"/>
  <c r="E18"/>
  <c r="F18"/>
  <c r="J18"/>
  <c r="K18"/>
  <c r="C19"/>
  <c r="G19"/>
  <c r="H19"/>
  <c r="E19"/>
  <c r="F19"/>
  <c r="J19"/>
  <c r="K19"/>
  <c r="C20"/>
  <c r="G20"/>
  <c r="H20"/>
  <c r="E20"/>
  <c r="F20"/>
  <c r="J20"/>
  <c r="K20"/>
  <c r="C21"/>
  <c r="G21"/>
  <c r="H21"/>
  <c r="E21"/>
  <c r="F21"/>
  <c r="J21"/>
  <c r="K21"/>
  <c r="C22"/>
  <c r="G22"/>
  <c r="H22"/>
  <c r="E22"/>
  <c r="F22"/>
  <c r="J22"/>
  <c r="K22"/>
  <c r="C23"/>
  <c r="G23"/>
  <c r="H23"/>
  <c r="E23"/>
  <c r="F23"/>
  <c r="J23"/>
  <c r="K23"/>
  <c r="C24"/>
  <c r="G24"/>
  <c r="H24"/>
  <c r="E24"/>
  <c r="F24"/>
  <c r="J24"/>
  <c r="K24"/>
  <c r="C25"/>
  <c r="G25"/>
  <c r="H25"/>
  <c r="E25"/>
  <c r="F25"/>
  <c r="J25"/>
  <c r="K25"/>
  <c r="C26"/>
  <c r="G26"/>
  <c r="H26"/>
  <c r="E26"/>
  <c r="F26"/>
  <c r="J26"/>
  <c r="K26"/>
  <c r="C27"/>
  <c r="G27"/>
  <c r="H27"/>
  <c r="E27"/>
  <c r="F27"/>
  <c r="J27"/>
  <c r="K27"/>
  <c r="C28"/>
  <c r="G28"/>
  <c r="H28"/>
  <c r="E28"/>
  <c r="F28"/>
  <c r="J28"/>
  <c r="K28"/>
  <c r="C29"/>
  <c r="G29"/>
  <c r="H29"/>
  <c r="E29"/>
  <c r="F29"/>
  <c r="J29"/>
  <c r="K29"/>
  <c r="C30"/>
  <c r="G30"/>
  <c r="H30"/>
  <c r="E30"/>
  <c r="F30"/>
  <c r="J30"/>
  <c r="K30"/>
  <c r="C31"/>
  <c r="G31"/>
  <c r="H31"/>
  <c r="E31"/>
  <c r="F31"/>
  <c r="J31"/>
  <c r="K31"/>
  <c r="C32"/>
  <c r="G32"/>
  <c r="H32"/>
  <c r="E32"/>
  <c r="F32"/>
  <c r="J32"/>
  <c r="K32"/>
  <c r="C33"/>
  <c r="G33"/>
  <c r="H33"/>
  <c r="E33"/>
  <c r="F33"/>
  <c r="J33"/>
  <c r="K33"/>
  <c r="C34"/>
  <c r="G34"/>
  <c r="H34"/>
  <c r="E34"/>
  <c r="F34"/>
  <c r="J34"/>
  <c r="K34"/>
  <c r="C35"/>
  <c r="G35"/>
  <c r="H35"/>
  <c r="E35"/>
  <c r="F35"/>
  <c r="J35"/>
  <c r="K35"/>
  <c r="C36"/>
  <c r="G36"/>
  <c r="H36"/>
  <c r="E36"/>
  <c r="F36"/>
  <c r="J36"/>
  <c r="K36"/>
  <c r="C37"/>
  <c r="G37"/>
  <c r="H37"/>
  <c r="E37"/>
  <c r="F37"/>
  <c r="J37"/>
  <c r="K37"/>
  <c r="C38"/>
  <c r="G38"/>
  <c r="H38"/>
  <c r="E38"/>
  <c r="F38"/>
  <c r="J38"/>
  <c r="K38"/>
  <c r="C39"/>
  <c r="G39"/>
  <c r="H39"/>
  <c r="E39"/>
  <c r="F39"/>
  <c r="J39"/>
  <c r="K39"/>
  <c r="C40"/>
  <c r="G40"/>
  <c r="H40"/>
  <c r="E40"/>
  <c r="F40"/>
  <c r="J40"/>
  <c r="K40"/>
  <c r="Q40"/>
  <c r="C41"/>
  <c r="G41"/>
  <c r="H41"/>
  <c r="E41"/>
  <c r="F41"/>
  <c r="J41"/>
  <c r="K41"/>
  <c r="C42"/>
  <c r="G42"/>
  <c r="H42"/>
  <c r="E42"/>
  <c r="F42"/>
  <c r="J42"/>
  <c r="K42"/>
  <c r="C43"/>
  <c r="G43"/>
  <c r="H43"/>
  <c r="E43"/>
  <c r="F43"/>
  <c r="J43"/>
  <c r="K43"/>
  <c r="C44"/>
  <c r="G44"/>
  <c r="H44"/>
  <c r="E44"/>
  <c r="F44"/>
  <c r="J44"/>
  <c r="K44"/>
  <c r="C45"/>
  <c r="G45"/>
  <c r="H45"/>
  <c r="E45"/>
  <c r="F45"/>
  <c r="J45"/>
  <c r="K45"/>
  <c r="C46"/>
  <c r="G46"/>
  <c r="H46"/>
  <c r="E46"/>
  <c r="F46"/>
  <c r="J46"/>
  <c r="K46"/>
  <c r="C47"/>
  <c r="G47"/>
  <c r="H47"/>
  <c r="E47"/>
  <c r="F47"/>
  <c r="J47"/>
  <c r="K47"/>
  <c r="C48"/>
  <c r="G48"/>
  <c r="H48"/>
  <c r="E48"/>
  <c r="F48"/>
  <c r="J48"/>
  <c r="K48"/>
  <c r="C49"/>
  <c r="G49"/>
  <c r="H49"/>
  <c r="E49"/>
  <c r="F49"/>
  <c r="J49"/>
  <c r="K49"/>
  <c r="C50"/>
  <c r="G50"/>
  <c r="H50"/>
  <c r="E50"/>
  <c r="F50"/>
  <c r="J50"/>
  <c r="K50"/>
  <c r="C51"/>
  <c r="G51"/>
  <c r="H51"/>
  <c r="E51"/>
  <c r="F51"/>
  <c r="J51"/>
  <c r="K51"/>
  <c r="C52"/>
  <c r="G52"/>
  <c r="H52"/>
  <c r="E52"/>
  <c r="F52"/>
  <c r="J52"/>
  <c r="K52"/>
  <c r="C53"/>
  <c r="G53"/>
  <c r="H53"/>
  <c r="E53"/>
  <c r="F53"/>
  <c r="J53"/>
  <c r="K53"/>
  <c r="C54"/>
  <c r="G54"/>
  <c r="H54"/>
  <c r="E54"/>
  <c r="F54"/>
  <c r="J54"/>
  <c r="K54"/>
  <c r="C55"/>
  <c r="E55"/>
  <c r="F55"/>
  <c r="J55"/>
  <c r="K55"/>
  <c r="C56"/>
  <c r="G56"/>
  <c r="H56"/>
  <c r="E56"/>
  <c r="F56"/>
  <c r="J56"/>
  <c r="K56"/>
  <c r="C57"/>
  <c r="G57"/>
  <c r="H57"/>
  <c r="E57"/>
  <c r="F57"/>
  <c r="J57"/>
  <c r="K57"/>
  <c r="C58"/>
  <c r="G58"/>
  <c r="H58"/>
  <c r="E58"/>
  <c r="F58"/>
  <c r="J58"/>
  <c r="K58"/>
  <c r="C59"/>
  <c r="G59"/>
  <c r="H59"/>
  <c r="E59"/>
  <c r="F59"/>
  <c r="J59"/>
  <c r="K59"/>
  <c r="C60"/>
  <c r="G60"/>
  <c r="H60"/>
  <c r="E60"/>
  <c r="F60"/>
  <c r="J60"/>
  <c r="K60"/>
  <c r="C61"/>
  <c r="G61"/>
  <c r="H61"/>
  <c r="E61"/>
  <c r="F61"/>
  <c r="J61"/>
  <c r="K61"/>
  <c r="C62"/>
  <c r="G62"/>
  <c r="H62"/>
  <c r="E62"/>
  <c r="F62"/>
  <c r="J62"/>
  <c r="K62"/>
  <c r="C63"/>
  <c r="G63"/>
  <c r="H63"/>
  <c r="E63"/>
  <c r="F63"/>
  <c r="J63"/>
  <c r="K63"/>
  <c r="C64"/>
  <c r="G64"/>
  <c r="H64"/>
  <c r="E64"/>
  <c r="F64"/>
  <c r="J64"/>
  <c r="K64"/>
  <c r="C65"/>
  <c r="G65"/>
  <c r="H65"/>
  <c r="E65"/>
  <c r="F65"/>
  <c r="J65"/>
  <c r="K65"/>
  <c r="C66"/>
  <c r="G66"/>
  <c r="H66"/>
  <c r="E66"/>
  <c r="F66"/>
  <c r="J66"/>
  <c r="K66"/>
  <c r="C67"/>
  <c r="G67"/>
  <c r="H67"/>
  <c r="E67"/>
  <c r="F67"/>
  <c r="J67"/>
  <c r="K67"/>
  <c r="C68"/>
  <c r="G68"/>
  <c r="H68"/>
  <c r="E68"/>
  <c r="F68"/>
  <c r="J68"/>
  <c r="K68"/>
  <c r="C69"/>
  <c r="G69"/>
  <c r="H69"/>
  <c r="E69"/>
  <c r="F69"/>
  <c r="J69"/>
  <c r="K69"/>
  <c r="C70"/>
  <c r="G70"/>
  <c r="H70"/>
  <c r="E70"/>
  <c r="F70"/>
  <c r="J70"/>
  <c r="K70"/>
  <c r="P70"/>
  <c r="Q70"/>
  <c r="C71"/>
  <c r="G71"/>
  <c r="H71"/>
  <c r="E71"/>
  <c r="F71"/>
  <c r="J71"/>
  <c r="K71"/>
  <c r="C72"/>
  <c r="G72"/>
  <c r="H72"/>
  <c r="E72"/>
  <c r="F72"/>
  <c r="J72"/>
  <c r="K72"/>
  <c r="C73"/>
  <c r="G73"/>
  <c r="H73"/>
  <c r="E73"/>
  <c r="F73"/>
  <c r="J73"/>
  <c r="K73"/>
  <c r="C74"/>
  <c r="G74"/>
  <c r="H74"/>
  <c r="E74"/>
  <c r="F74"/>
  <c r="J74"/>
  <c r="K74"/>
  <c r="C75"/>
  <c r="G75"/>
  <c r="H75"/>
  <c r="E75"/>
  <c r="F75"/>
  <c r="J75"/>
  <c r="K75"/>
  <c r="C76"/>
  <c r="G76"/>
  <c r="H76"/>
  <c r="E76"/>
  <c r="F76"/>
  <c r="J76"/>
  <c r="K76"/>
  <c r="C77"/>
  <c r="G77"/>
  <c r="H77"/>
  <c r="E77"/>
  <c r="F77"/>
  <c r="J77"/>
  <c r="K77"/>
  <c r="C78"/>
  <c r="G78"/>
  <c r="H78"/>
  <c r="E78"/>
  <c r="F78"/>
  <c r="J78"/>
  <c r="K78"/>
  <c r="C79"/>
  <c r="G79"/>
  <c r="H79"/>
  <c r="E79"/>
  <c r="F79"/>
  <c r="J79"/>
  <c r="K79"/>
  <c r="C80"/>
  <c r="G80"/>
  <c r="H80"/>
  <c r="E80"/>
  <c r="F80"/>
  <c r="J80"/>
  <c r="K80"/>
  <c r="C81"/>
  <c r="G81"/>
  <c r="H81"/>
  <c r="E81"/>
  <c r="F81"/>
  <c r="J81"/>
  <c r="K81"/>
  <c r="C82"/>
  <c r="G82"/>
  <c r="H82"/>
  <c r="E82"/>
  <c r="F82"/>
  <c r="J82"/>
  <c r="K82"/>
  <c r="C83"/>
  <c r="G83"/>
  <c r="H83"/>
  <c r="E83"/>
  <c r="F83"/>
  <c r="J83"/>
  <c r="K83"/>
  <c r="C84"/>
  <c r="G84"/>
  <c r="H84"/>
  <c r="E84"/>
  <c r="F84"/>
  <c r="J84"/>
  <c r="K84"/>
  <c r="C85"/>
  <c r="G85"/>
  <c r="H85"/>
  <c r="E85"/>
  <c r="F85"/>
  <c r="J85"/>
  <c r="K85"/>
  <c r="C86"/>
  <c r="G86"/>
  <c r="H86"/>
  <c r="E86"/>
  <c r="F86"/>
  <c r="J86"/>
  <c r="K86"/>
  <c r="C87"/>
  <c r="G87"/>
  <c r="H87"/>
  <c r="E87"/>
  <c r="F87"/>
  <c r="J87"/>
  <c r="K87"/>
  <c r="C88"/>
  <c r="G88"/>
  <c r="H88"/>
  <c r="E88"/>
  <c r="F88"/>
  <c r="J88"/>
  <c r="K88"/>
  <c r="C89"/>
  <c r="G89"/>
  <c r="H89"/>
  <c r="E89"/>
  <c r="F89"/>
  <c r="J89"/>
  <c r="K89"/>
  <c r="C90"/>
  <c r="G90"/>
  <c r="H90"/>
  <c r="E90"/>
  <c r="F90"/>
  <c r="J90"/>
  <c r="K90"/>
  <c r="C91"/>
  <c r="G91"/>
  <c r="H91"/>
  <c r="E91"/>
  <c r="F91"/>
  <c r="J91"/>
  <c r="K91"/>
  <c r="C92"/>
  <c r="G92"/>
  <c r="H92"/>
  <c r="E92"/>
  <c r="F92"/>
  <c r="J92"/>
  <c r="K92"/>
  <c r="A94"/>
  <c r="G94"/>
  <c r="H94"/>
  <c r="A95"/>
  <c r="G95"/>
  <c r="H95"/>
  <c r="A96"/>
  <c r="G96"/>
  <c r="H96"/>
  <c r="G4" i="18"/>
  <c r="H5"/>
  <c r="I5"/>
  <c r="J5"/>
  <c r="K5"/>
  <c r="L5"/>
  <c r="M5"/>
  <c r="A6"/>
  <c r="B6"/>
  <c r="A7"/>
  <c r="B7"/>
  <c r="A8"/>
  <c r="B8"/>
  <c r="A9"/>
  <c r="B9"/>
  <c r="K10"/>
  <c r="L10"/>
  <c r="A11"/>
  <c r="B11"/>
  <c r="A12"/>
  <c r="B12"/>
  <c r="K12"/>
  <c r="L12"/>
  <c r="I13"/>
  <c r="K13"/>
  <c r="L13"/>
  <c r="A14"/>
  <c r="B14"/>
  <c r="K14"/>
  <c r="L14"/>
  <c r="M14"/>
  <c r="A15"/>
  <c r="B15"/>
  <c r="K15"/>
  <c r="L15"/>
  <c r="L2" i="19"/>
  <c r="M4"/>
  <c r="N4"/>
  <c r="O4"/>
  <c r="D5"/>
  <c r="E5"/>
  <c r="M5"/>
  <c r="N5"/>
  <c r="O5"/>
  <c r="D6"/>
  <c r="E6"/>
  <c r="M6"/>
  <c r="N6"/>
  <c r="O6"/>
  <c r="D7"/>
  <c r="E7"/>
  <c r="M7"/>
  <c r="N7"/>
  <c r="O7"/>
  <c r="D8"/>
  <c r="E8"/>
  <c r="M8"/>
  <c r="N8"/>
  <c r="O8"/>
  <c r="M9"/>
  <c r="N9"/>
  <c r="O9"/>
  <c r="L10"/>
  <c r="M10"/>
  <c r="N10"/>
  <c r="O10"/>
  <c r="M11"/>
  <c r="N11"/>
  <c r="O11"/>
  <c r="B12"/>
  <c r="C12"/>
  <c r="D12"/>
  <c r="L12"/>
  <c r="M12"/>
  <c r="N12"/>
  <c r="O12"/>
  <c r="B13"/>
  <c r="M13"/>
  <c r="N13"/>
  <c r="O13"/>
  <c r="C14"/>
  <c r="D14"/>
  <c r="M14"/>
  <c r="N14"/>
  <c r="O14"/>
  <c r="B15"/>
  <c r="C15"/>
  <c r="D15"/>
  <c r="M15"/>
  <c r="N15"/>
  <c r="O15"/>
  <c r="B16"/>
  <c r="C16"/>
  <c r="D16"/>
  <c r="M16"/>
  <c r="N16"/>
  <c r="O16"/>
  <c r="C17"/>
  <c r="D17"/>
  <c r="M17"/>
  <c r="N17"/>
  <c r="O17"/>
  <c r="C18"/>
  <c r="D18"/>
  <c r="M18"/>
  <c r="N18"/>
  <c r="O18"/>
  <c r="C19"/>
  <c r="D19"/>
  <c r="M19"/>
  <c r="N19"/>
  <c r="O19"/>
  <c r="C20"/>
  <c r="D20"/>
  <c r="M20"/>
  <c r="N20"/>
  <c r="O20"/>
  <c r="M21"/>
  <c r="N21"/>
  <c r="O21"/>
  <c r="M22"/>
  <c r="N22"/>
  <c r="O22"/>
  <c r="M23"/>
  <c r="N23"/>
  <c r="O23"/>
  <c r="M24"/>
  <c r="N24"/>
  <c r="O24"/>
  <c r="M25"/>
  <c r="N25"/>
  <c r="O25"/>
  <c r="M26"/>
  <c r="N26"/>
  <c r="O26"/>
  <c r="M27"/>
  <c r="N27"/>
  <c r="O27"/>
  <c r="M28"/>
  <c r="N28"/>
  <c r="O28"/>
  <c r="M29"/>
  <c r="N29"/>
  <c r="O29"/>
  <c r="M30"/>
  <c r="N30"/>
  <c r="O30"/>
  <c r="P32"/>
  <c r="C33"/>
  <c r="P33"/>
  <c r="C34"/>
  <c r="P34"/>
  <c r="C35"/>
  <c r="P35"/>
  <c r="C36"/>
  <c r="P36"/>
  <c r="C37"/>
  <c r="P37"/>
  <c r="C38"/>
  <c r="D38"/>
  <c r="D39"/>
  <c r="P39"/>
  <c r="D40"/>
  <c r="P40"/>
  <c r="D41"/>
  <c r="P41"/>
  <c r="D42"/>
  <c r="P42"/>
  <c r="D43"/>
  <c r="P43"/>
  <c r="P44"/>
  <c r="P45"/>
  <c r="B47"/>
  <c r="P47"/>
  <c r="P48"/>
  <c r="P49"/>
  <c r="P50"/>
  <c r="P51"/>
  <c r="P52"/>
  <c r="C7" i="20"/>
  <c r="O7"/>
  <c r="D8"/>
  <c r="E8"/>
  <c r="P8"/>
  <c r="Q8"/>
  <c r="D9"/>
  <c r="E9"/>
  <c r="F9"/>
  <c r="G9"/>
  <c r="H9"/>
  <c r="P9"/>
  <c r="Q9"/>
  <c r="R9"/>
  <c r="S9"/>
  <c r="T9"/>
  <c r="D10"/>
  <c r="E10"/>
  <c r="F10"/>
  <c r="G10"/>
  <c r="H10"/>
  <c r="D11"/>
  <c r="E11"/>
  <c r="F11"/>
  <c r="G11"/>
  <c r="H11"/>
  <c r="D12"/>
  <c r="E12"/>
  <c r="F12"/>
  <c r="G12"/>
  <c r="H12"/>
  <c r="B19"/>
  <c r="C21"/>
  <c r="C5" i="2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I76"/>
  <c r="C77"/>
  <c r="I77"/>
  <c r="C78"/>
  <c r="I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R5" i="6"/>
  <c r="G1" i="1"/>
  <c r="C36" i="7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S7" i="6"/>
  <c r="G59" i="4"/>
  <c r="G57"/>
  <c r="E42"/>
  <c r="P8"/>
  <c r="Q8"/>
  <c r="Q7"/>
  <c r="P7"/>
  <c r="O8"/>
  <c r="N43" i="2"/>
  <c r="G2" i="1"/>
  <c r="O43" i="2"/>
  <c r="N43" i="1"/>
  <c r="O43"/>
  <c r="U19" i="4"/>
  <c r="T19"/>
  <c r="S19"/>
  <c r="N19"/>
  <c r="M19"/>
  <c r="L19"/>
  <c r="H9"/>
  <c r="K43"/>
  <c r="J43"/>
  <c r="G43"/>
  <c r="F43"/>
  <c r="D40" i="5"/>
  <c r="A34"/>
  <c r="D33"/>
  <c r="A30"/>
  <c r="D29"/>
  <c r="A20"/>
  <c r="D19"/>
  <c r="A18"/>
  <c r="D17"/>
  <c r="A16"/>
  <c r="D15"/>
  <c r="A14"/>
  <c r="D13"/>
  <c r="A11"/>
  <c r="D44"/>
  <c r="A44"/>
  <c r="F140" i="1"/>
  <c r="F45" i="4"/>
  <c r="F140" i="2"/>
  <c r="J45" i="4"/>
  <c r="L140" i="2"/>
  <c r="C139"/>
  <c r="C140"/>
  <c r="J44" i="4"/>
  <c r="L140" i="1"/>
  <c r="C139"/>
  <c r="C140"/>
  <c r="F44" i="4"/>
  <c r="I140" i="2"/>
  <c r="J46" i="4"/>
  <c r="I140" i="1"/>
  <c r="F46" i="4"/>
  <c r="G47"/>
  <c r="K47"/>
  <c r="D33" i="6"/>
  <c r="D34"/>
  <c r="D35"/>
  <c r="D36"/>
  <c r="D37"/>
  <c r="O25"/>
  <c r="N25"/>
  <c r="M25"/>
  <c r="O24"/>
  <c r="N24"/>
  <c r="M24"/>
  <c r="O23"/>
  <c r="N23"/>
  <c r="M23"/>
  <c r="D8"/>
  <c r="D9"/>
  <c r="D10"/>
  <c r="D11"/>
  <c r="D12"/>
  <c r="D13"/>
  <c r="D14"/>
  <c r="O22"/>
  <c r="C14"/>
  <c r="N22"/>
  <c r="M22"/>
  <c r="O21"/>
  <c r="C27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C68" i="4"/>
  <c r="D69"/>
  <c r="E69"/>
  <c r="D70"/>
  <c r="E70"/>
  <c r="F70"/>
  <c r="G70"/>
  <c r="H70"/>
  <c r="L43"/>
  <c r="M43"/>
  <c r="H45"/>
  <c r="L45"/>
  <c r="N45"/>
  <c r="I145" i="1"/>
  <c r="C46" i="4"/>
  <c r="H46"/>
  <c r="L46"/>
  <c r="I47"/>
  <c r="M47"/>
  <c r="E55"/>
  <c r="I57"/>
  <c r="N57"/>
  <c r="L10" i="5"/>
  <c r="F18" i="4"/>
  <c r="F6"/>
  <c r="E9" i="5"/>
  <c r="G41"/>
  <c r="C44"/>
  <c r="B41" i="6"/>
  <c r="B7"/>
  <c r="B9"/>
  <c r="B10"/>
  <c r="C28"/>
  <c r="C29"/>
  <c r="C30"/>
  <c r="C31"/>
  <c r="C32"/>
  <c r="C8"/>
  <c r="C9"/>
  <c r="C10"/>
  <c r="C11"/>
  <c r="C12"/>
  <c r="C13"/>
  <c r="D32"/>
  <c r="P7" i="1"/>
  <c r="R99"/>
  <c r="R98"/>
  <c r="P123"/>
  <c r="P122"/>
  <c r="P123" i="2"/>
  <c r="P122"/>
  <c r="X123" i="1"/>
  <c r="X122"/>
  <c r="Y123"/>
  <c r="Y122"/>
  <c r="Z123"/>
  <c r="Z122"/>
  <c r="AA123"/>
  <c r="AA122"/>
  <c r="AB123"/>
  <c r="AB122"/>
  <c r="AC123"/>
  <c r="AC122"/>
  <c r="AD123"/>
  <c r="AD122"/>
  <c r="AE123"/>
  <c r="AE122"/>
  <c r="AF123"/>
  <c r="AF122"/>
  <c r="AG123"/>
  <c r="AG122"/>
  <c r="AH123"/>
  <c r="AH122"/>
  <c r="AI123"/>
  <c r="AI122"/>
  <c r="AJ123"/>
  <c r="AJ122"/>
  <c r="AK123"/>
  <c r="AK122"/>
  <c r="AL123"/>
  <c r="AL122"/>
  <c r="AM123"/>
  <c r="AM122"/>
  <c r="AN123"/>
  <c r="AN122"/>
  <c r="X123" i="2"/>
  <c r="X122"/>
  <c r="Y123"/>
  <c r="Y122"/>
  <c r="Z123"/>
  <c r="Z122"/>
  <c r="AA123"/>
  <c r="AA122"/>
  <c r="AB123"/>
  <c r="AB122"/>
  <c r="AC123"/>
  <c r="AC122"/>
  <c r="AD123"/>
  <c r="AD122"/>
  <c r="AE123"/>
  <c r="AE122"/>
  <c r="AF123"/>
  <c r="AF122"/>
  <c r="AG123"/>
  <c r="AG122"/>
  <c r="AH123"/>
  <c r="AH122"/>
  <c r="AI123"/>
  <c r="AI122"/>
  <c r="AJ123"/>
  <c r="AJ122"/>
  <c r="AK123"/>
  <c r="AK122"/>
  <c r="AL123"/>
  <c r="AL122"/>
  <c r="AM123"/>
  <c r="AM122"/>
  <c r="AN123"/>
  <c r="AN122"/>
  <c r="R123" i="1"/>
  <c r="R122"/>
  <c r="S123"/>
  <c r="S122"/>
  <c r="W123"/>
  <c r="W122"/>
  <c r="U123"/>
  <c r="U122"/>
  <c r="V123"/>
  <c r="V122"/>
  <c r="T123"/>
  <c r="T122"/>
  <c r="C137"/>
  <c r="P180"/>
  <c r="F137"/>
  <c r="P181"/>
  <c r="G137"/>
  <c r="P182"/>
  <c r="D137"/>
  <c r="P183"/>
  <c r="P184"/>
  <c r="O173"/>
  <c r="O174"/>
  <c r="I172"/>
  <c r="J172"/>
  <c r="L172"/>
  <c r="J173"/>
  <c r="J174"/>
  <c r="J175"/>
  <c r="J176"/>
  <c r="J177"/>
  <c r="J178"/>
  <c r="J179"/>
  <c r="J180"/>
  <c r="J181"/>
  <c r="J182"/>
  <c r="J183"/>
  <c r="J184"/>
  <c r="J185"/>
  <c r="J186"/>
  <c r="J187"/>
  <c r="I173"/>
  <c r="I174"/>
  <c r="I175"/>
  <c r="I176"/>
  <c r="I177"/>
  <c r="I178"/>
  <c r="I179"/>
  <c r="I180"/>
  <c r="I181"/>
  <c r="I182"/>
  <c r="I183"/>
  <c r="I184"/>
  <c r="I185"/>
  <c r="I186"/>
  <c r="J188" a="1"/>
  <c r="J169"/>
  <c r="J190"/>
  <c r="K172"/>
  <c r="K173"/>
  <c r="K174"/>
  <c r="K175"/>
  <c r="K176"/>
  <c r="K177"/>
  <c r="K178"/>
  <c r="K179"/>
  <c r="K180"/>
  <c r="K181"/>
  <c r="K182"/>
  <c r="K183"/>
  <c r="K184"/>
  <c r="K185"/>
  <c r="K186"/>
  <c r="K187"/>
  <c r="K188" a="1"/>
  <c r="K190"/>
  <c r="L190"/>
  <c r="L173"/>
  <c r="J191"/>
  <c r="K191"/>
  <c r="L191"/>
  <c r="L174"/>
  <c r="J192"/>
  <c r="K192"/>
  <c r="L192"/>
  <c r="L175"/>
  <c r="J193"/>
  <c r="K193"/>
  <c r="L193"/>
  <c r="L176"/>
  <c r="J194"/>
  <c r="K194"/>
  <c r="L194"/>
  <c r="L177"/>
  <c r="J195"/>
  <c r="K195"/>
  <c r="L195"/>
  <c r="L178"/>
  <c r="J196"/>
  <c r="K196"/>
  <c r="L196"/>
  <c r="L179"/>
  <c r="J197"/>
  <c r="K197"/>
  <c r="L197"/>
  <c r="L180"/>
  <c r="J198"/>
  <c r="K198"/>
  <c r="L198"/>
  <c r="L181"/>
  <c r="J199"/>
  <c r="K199"/>
  <c r="L199"/>
  <c r="L182"/>
  <c r="J200"/>
  <c r="K200"/>
  <c r="L200"/>
  <c r="L183"/>
  <c r="J201"/>
  <c r="K201"/>
  <c r="L201"/>
  <c r="L184"/>
  <c r="J202"/>
  <c r="K202"/>
  <c r="L202"/>
  <c r="L185"/>
  <c r="J203"/>
  <c r="K203"/>
  <c r="L203"/>
  <c r="L186"/>
  <c r="J204"/>
  <c r="K204"/>
  <c r="L204"/>
  <c r="L205"/>
  <c r="O175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Q184"/>
  <c r="R180"/>
  <c r="S180"/>
  <c r="C161"/>
  <c r="R183"/>
  <c r="S183"/>
  <c r="D161"/>
  <c r="E137"/>
  <c r="E161"/>
  <c r="R181"/>
  <c r="S181"/>
  <c r="F161"/>
  <c r="R182"/>
  <c r="S182"/>
  <c r="G161"/>
  <c r="H137"/>
  <c r="H161"/>
  <c r="I137"/>
  <c r="I161"/>
  <c r="J137"/>
  <c r="J161"/>
  <c r="R123" i="2"/>
  <c r="R122"/>
  <c r="S123"/>
  <c r="S122"/>
  <c r="W123"/>
  <c r="W122"/>
  <c r="U123"/>
  <c r="U122"/>
  <c r="V123"/>
  <c r="V122"/>
  <c r="T123"/>
  <c r="T122"/>
  <c r="C137"/>
  <c r="P180"/>
  <c r="F137"/>
  <c r="P181"/>
  <c r="G137"/>
  <c r="P182"/>
  <c r="D137"/>
  <c r="P183"/>
  <c r="P184"/>
  <c r="O173"/>
  <c r="O174"/>
  <c r="I172"/>
  <c r="J172"/>
  <c r="L172"/>
  <c r="J173"/>
  <c r="J174"/>
  <c r="J175"/>
  <c r="J176"/>
  <c r="J177"/>
  <c r="J178"/>
  <c r="J179"/>
  <c r="J180"/>
  <c r="J181"/>
  <c r="J182"/>
  <c r="J183"/>
  <c r="J184"/>
  <c r="J185"/>
  <c r="J186"/>
  <c r="J187"/>
  <c r="I173"/>
  <c r="I174"/>
  <c r="I175"/>
  <c r="I176"/>
  <c r="I177"/>
  <c r="I178"/>
  <c r="I179"/>
  <c r="I180"/>
  <c r="I181"/>
  <c r="I182"/>
  <c r="I183"/>
  <c r="I184"/>
  <c r="I185"/>
  <c r="I186"/>
  <c r="J188" a="1"/>
  <c r="J169"/>
  <c r="J190"/>
  <c r="K172"/>
  <c r="K173"/>
  <c r="K174"/>
  <c r="K175"/>
  <c r="K176"/>
  <c r="K177"/>
  <c r="K178"/>
  <c r="K179"/>
  <c r="K180"/>
  <c r="K181"/>
  <c r="K182"/>
  <c r="K183"/>
  <c r="K184"/>
  <c r="K185"/>
  <c r="K186"/>
  <c r="K187"/>
  <c r="K188" a="1"/>
  <c r="K190"/>
  <c r="L190"/>
  <c r="L173"/>
  <c r="J191"/>
  <c r="K191"/>
  <c r="L191"/>
  <c r="L174"/>
  <c r="J192"/>
  <c r="K192"/>
  <c r="L192"/>
  <c r="L175"/>
  <c r="J193"/>
  <c r="K193"/>
  <c r="L193"/>
  <c r="L176"/>
  <c r="J194"/>
  <c r="K194"/>
  <c r="L194"/>
  <c r="L177"/>
  <c r="J195"/>
  <c r="K195"/>
  <c r="L195"/>
  <c r="L178"/>
  <c r="J196"/>
  <c r="K196"/>
  <c r="L196"/>
  <c r="L179"/>
  <c r="J197"/>
  <c r="K197"/>
  <c r="L197"/>
  <c r="L180"/>
  <c r="J198"/>
  <c r="K198"/>
  <c r="L198"/>
  <c r="L181"/>
  <c r="J199"/>
  <c r="K199"/>
  <c r="L199"/>
  <c r="L182"/>
  <c r="J200"/>
  <c r="K200"/>
  <c r="L200"/>
  <c r="L183"/>
  <c r="J201"/>
  <c r="K201"/>
  <c r="L201"/>
  <c r="L184"/>
  <c r="J202"/>
  <c r="K202"/>
  <c r="L202"/>
  <c r="L185"/>
  <c r="J203"/>
  <c r="K203"/>
  <c r="L203"/>
  <c r="L186"/>
  <c r="J204"/>
  <c r="K204"/>
  <c r="L204"/>
  <c r="L205"/>
  <c r="O175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Q184"/>
  <c r="R180"/>
  <c r="S180"/>
  <c r="C161"/>
  <c r="R183"/>
  <c r="S183"/>
  <c r="D161"/>
  <c r="E137"/>
  <c r="E161"/>
  <c r="R181"/>
  <c r="S181"/>
  <c r="F161"/>
  <c r="R182"/>
  <c r="S182"/>
  <c r="G161"/>
  <c r="H137"/>
  <c r="H161"/>
  <c r="I137"/>
  <c r="I161"/>
  <c r="J137"/>
  <c r="J161"/>
  <c r="O10" i="6"/>
  <c r="N10"/>
  <c r="M10"/>
  <c r="D131" i="1"/>
  <c r="D132"/>
  <c r="D133"/>
  <c r="D134"/>
  <c r="D135"/>
  <c r="D136"/>
  <c r="D138"/>
  <c r="D141"/>
  <c r="O13" i="6"/>
  <c r="O12"/>
  <c r="N13"/>
  <c r="N12"/>
  <c r="M13"/>
  <c r="M12"/>
  <c r="AV99" i="1"/>
  <c r="AU99"/>
  <c r="Y99"/>
  <c r="Y98"/>
  <c r="AU98"/>
  <c r="X99"/>
  <c r="X98"/>
  <c r="X101"/>
  <c r="D99"/>
  <c r="D98"/>
  <c r="D101"/>
  <c r="C99"/>
  <c r="C98"/>
  <c r="C101"/>
  <c r="R101"/>
  <c r="T99"/>
  <c r="T98"/>
  <c r="AV98"/>
  <c r="AV101"/>
  <c r="AU101"/>
  <c r="Y101"/>
  <c r="T101"/>
  <c r="AU99" i="2"/>
  <c r="AU98"/>
  <c r="C135" i="1"/>
  <c r="E135"/>
  <c r="F135"/>
  <c r="G135"/>
  <c r="H135"/>
  <c r="D113"/>
  <c r="E113"/>
  <c r="H113"/>
  <c r="V109"/>
  <c r="T113"/>
  <c r="Z109"/>
  <c r="X113"/>
  <c r="AB109"/>
  <c r="Z113"/>
  <c r="AI109"/>
  <c r="AG113"/>
  <c r="AH109"/>
  <c r="AF113"/>
  <c r="C135" i="2"/>
  <c r="C138" i="1"/>
  <c r="C162"/>
  <c r="D162"/>
  <c r="E138"/>
  <c r="E162"/>
  <c r="F138"/>
  <c r="F162"/>
  <c r="G138"/>
  <c r="G162"/>
  <c r="H138"/>
  <c r="H162"/>
  <c r="I138"/>
  <c r="I162"/>
  <c r="J138"/>
  <c r="J162"/>
  <c r="C138" i="2"/>
  <c r="C162"/>
  <c r="D138"/>
  <c r="D162"/>
  <c r="E138"/>
  <c r="E162"/>
  <c r="F138"/>
  <c r="F162"/>
  <c r="G138"/>
  <c r="G162"/>
  <c r="H138"/>
  <c r="H162"/>
  <c r="I138"/>
  <c r="I162"/>
  <c r="J138"/>
  <c r="J162"/>
  <c r="W110" i="1"/>
  <c r="W110" i="2"/>
  <c r="J135" i="1"/>
  <c r="J135" i="2"/>
  <c r="I135" i="1"/>
  <c r="I135" i="2"/>
  <c r="H135"/>
  <c r="G135"/>
  <c r="F135"/>
  <c r="E135"/>
  <c r="D135"/>
  <c r="J134" i="1"/>
  <c r="J134" i="2"/>
  <c r="I134" i="1"/>
  <c r="I134" i="2"/>
  <c r="H134" i="1"/>
  <c r="H134" i="2"/>
  <c r="G134" i="1"/>
  <c r="G134" i="2"/>
  <c r="F134" i="1"/>
  <c r="F134" i="2"/>
  <c r="E134" i="1"/>
  <c r="E134" i="2"/>
  <c r="D134"/>
  <c r="C134" i="1"/>
  <c r="C134" i="2"/>
  <c r="M99"/>
  <c r="M98"/>
  <c r="N99"/>
  <c r="N98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AV106"/>
  <c r="AU106"/>
  <c r="Y106"/>
  <c r="X106"/>
  <c r="W106"/>
  <c r="V106"/>
  <c r="T106"/>
  <c r="P106"/>
  <c r="AP107"/>
  <c r="AO107"/>
  <c r="AN107"/>
  <c r="AM107"/>
  <c r="AL107"/>
  <c r="AK107"/>
  <c r="AJ107"/>
  <c r="AI107"/>
  <c r="AH107"/>
  <c r="AG107"/>
  <c r="AF107"/>
  <c r="AE107"/>
  <c r="AD107"/>
  <c r="AC107"/>
  <c r="AA107"/>
  <c r="Z107"/>
  <c r="AV107"/>
  <c r="AU107"/>
  <c r="Y107"/>
  <c r="X107"/>
  <c r="W107"/>
  <c r="V107"/>
  <c r="T107"/>
  <c r="R107"/>
  <c r="J107"/>
  <c r="I107"/>
  <c r="H107"/>
  <c r="G107"/>
  <c r="E107"/>
  <c r="D107"/>
  <c r="C107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AV105"/>
  <c r="AU105"/>
  <c r="Y105"/>
  <c r="X105"/>
  <c r="W105"/>
  <c r="V105"/>
  <c r="T105"/>
  <c r="R105"/>
  <c r="P105"/>
  <c r="N105"/>
  <c r="M105"/>
  <c r="L105"/>
  <c r="K105"/>
  <c r="E105"/>
  <c r="D105"/>
  <c r="C105"/>
  <c r="AP106" i="1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AV106"/>
  <c r="AU106"/>
  <c r="Y106"/>
  <c r="X106"/>
  <c r="W106"/>
  <c r="V106"/>
  <c r="T106"/>
  <c r="P106"/>
  <c r="AP107"/>
  <c r="AO107"/>
  <c r="AN107"/>
  <c r="AM107"/>
  <c r="AL107"/>
  <c r="AK107"/>
  <c r="AJ107"/>
  <c r="AI107"/>
  <c r="AH107"/>
  <c r="AG107"/>
  <c r="AF107"/>
  <c r="AE107"/>
  <c r="AD107"/>
  <c r="AC107"/>
  <c r="AA107"/>
  <c r="Z107"/>
  <c r="AV107"/>
  <c r="AU107"/>
  <c r="Y107"/>
  <c r="X107"/>
  <c r="W107"/>
  <c r="V107"/>
  <c r="T107"/>
  <c r="R107"/>
  <c r="J107"/>
  <c r="I107"/>
  <c r="H107"/>
  <c r="G107"/>
  <c r="E107"/>
  <c r="D107"/>
  <c r="C107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AV105"/>
  <c r="AU105"/>
  <c r="Y105"/>
  <c r="X105"/>
  <c r="W105"/>
  <c r="V105"/>
  <c r="T105"/>
  <c r="R105"/>
  <c r="P105"/>
  <c r="N105"/>
  <c r="M105"/>
  <c r="L105"/>
  <c r="K105"/>
  <c r="E105"/>
  <c r="D105"/>
  <c r="C105"/>
  <c r="E208" i="2"/>
  <c r="D208"/>
  <c r="C208"/>
  <c r="L206"/>
  <c r="J205"/>
  <c r="K188"/>
  <c r="J188"/>
  <c r="M187"/>
  <c r="I187"/>
  <c r="L187"/>
  <c r="M186"/>
  <c r="M185"/>
  <c r="S184"/>
  <c r="R184"/>
  <c r="M184"/>
  <c r="M183"/>
  <c r="M182"/>
  <c r="M181"/>
  <c r="M180"/>
  <c r="M179"/>
  <c r="M178"/>
  <c r="M177"/>
  <c r="M176"/>
  <c r="M175"/>
  <c r="M174"/>
  <c r="M173"/>
  <c r="M172"/>
  <c r="J140"/>
  <c r="J163"/>
  <c r="J166"/>
  <c r="I163"/>
  <c r="I166"/>
  <c r="H140"/>
  <c r="H163"/>
  <c r="H166"/>
  <c r="G140"/>
  <c r="G163"/>
  <c r="G166"/>
  <c r="F26"/>
  <c r="F163"/>
  <c r="F166"/>
  <c r="E140"/>
  <c r="E163"/>
  <c r="E166"/>
  <c r="D140"/>
  <c r="D163"/>
  <c r="D166"/>
  <c r="C163"/>
  <c r="C166"/>
  <c r="A166"/>
  <c r="J165"/>
  <c r="I165"/>
  <c r="H165"/>
  <c r="G165"/>
  <c r="F25"/>
  <c r="F165"/>
  <c r="E165"/>
  <c r="D165"/>
  <c r="C165"/>
  <c r="A165"/>
  <c r="J164"/>
  <c r="I164"/>
  <c r="H164"/>
  <c r="G164"/>
  <c r="F24"/>
  <c r="F164"/>
  <c r="E164"/>
  <c r="D164"/>
  <c r="C164"/>
  <c r="A164"/>
  <c r="A140"/>
  <c r="A163"/>
  <c r="A138"/>
  <c r="A162"/>
  <c r="A137"/>
  <c r="A161"/>
  <c r="J136"/>
  <c r="J160"/>
  <c r="I136"/>
  <c r="I160"/>
  <c r="H136"/>
  <c r="H160"/>
  <c r="G136"/>
  <c r="G160"/>
  <c r="F136"/>
  <c r="F160"/>
  <c r="E136"/>
  <c r="E160"/>
  <c r="D136"/>
  <c r="D160"/>
  <c r="C136"/>
  <c r="C160"/>
  <c r="A136"/>
  <c r="A160"/>
  <c r="J159"/>
  <c r="I159"/>
  <c r="H159"/>
  <c r="G159"/>
  <c r="F159"/>
  <c r="E159"/>
  <c r="D159"/>
  <c r="C159"/>
  <c r="A135"/>
  <c r="A159"/>
  <c r="J158"/>
  <c r="I158"/>
  <c r="H158"/>
  <c r="G158"/>
  <c r="F158"/>
  <c r="E158"/>
  <c r="D158"/>
  <c r="C158"/>
  <c r="A134"/>
  <c r="A158"/>
  <c r="J133"/>
  <c r="J157"/>
  <c r="I133"/>
  <c r="I157"/>
  <c r="H133"/>
  <c r="H157"/>
  <c r="G133"/>
  <c r="G157"/>
  <c r="F133"/>
  <c r="F157"/>
  <c r="E133"/>
  <c r="E157"/>
  <c r="D133"/>
  <c r="D157"/>
  <c r="C133"/>
  <c r="C157"/>
  <c r="A133"/>
  <c r="A157"/>
  <c r="C17"/>
  <c r="J45"/>
  <c r="J132"/>
  <c r="J149"/>
  <c r="J156"/>
  <c r="I45"/>
  <c r="I132"/>
  <c r="I149"/>
  <c r="I156"/>
  <c r="H45"/>
  <c r="H132"/>
  <c r="H149"/>
  <c r="H156"/>
  <c r="F38"/>
  <c r="G38"/>
  <c r="G45"/>
  <c r="G132"/>
  <c r="G149"/>
  <c r="G156"/>
  <c r="F45"/>
  <c r="F132"/>
  <c r="F149"/>
  <c r="F156"/>
  <c r="E45"/>
  <c r="E132"/>
  <c r="E149"/>
  <c r="E156"/>
  <c r="D45"/>
  <c r="D132"/>
  <c r="D149"/>
  <c r="D156"/>
  <c r="C45"/>
  <c r="C132"/>
  <c r="C149"/>
  <c r="C156"/>
  <c r="J40"/>
  <c r="J41"/>
  <c r="C15"/>
  <c r="J42"/>
  <c r="C16"/>
  <c r="J43"/>
  <c r="J39"/>
  <c r="J155"/>
  <c r="I40"/>
  <c r="I41"/>
  <c r="I42"/>
  <c r="I43"/>
  <c r="I39"/>
  <c r="I155"/>
  <c r="H40"/>
  <c r="H41"/>
  <c r="H42"/>
  <c r="H43"/>
  <c r="H39"/>
  <c r="H155"/>
  <c r="G40"/>
  <c r="G41"/>
  <c r="G42"/>
  <c r="G43"/>
  <c r="G39"/>
  <c r="G155"/>
  <c r="F40"/>
  <c r="F41"/>
  <c r="F42"/>
  <c r="F43"/>
  <c r="F39"/>
  <c r="F155"/>
  <c r="E40"/>
  <c r="E41"/>
  <c r="E42"/>
  <c r="E43"/>
  <c r="E39"/>
  <c r="E155"/>
  <c r="D40"/>
  <c r="D41"/>
  <c r="D42"/>
  <c r="D43"/>
  <c r="D39"/>
  <c r="D155"/>
  <c r="C40"/>
  <c r="C41"/>
  <c r="C42"/>
  <c r="C43"/>
  <c r="C39"/>
  <c r="C155"/>
  <c r="J154"/>
  <c r="I154"/>
  <c r="H154"/>
  <c r="G154"/>
  <c r="F154"/>
  <c r="E154"/>
  <c r="D154"/>
  <c r="C154"/>
  <c r="J153"/>
  <c r="I153"/>
  <c r="H153"/>
  <c r="G153"/>
  <c r="F153"/>
  <c r="E153"/>
  <c r="D153"/>
  <c r="C153"/>
  <c r="J152"/>
  <c r="I152"/>
  <c r="H152"/>
  <c r="G152"/>
  <c r="F152"/>
  <c r="E152"/>
  <c r="D152"/>
  <c r="C152"/>
  <c r="J151"/>
  <c r="I151"/>
  <c r="H151"/>
  <c r="G151"/>
  <c r="F151"/>
  <c r="E151"/>
  <c r="D151"/>
  <c r="C151"/>
  <c r="J150"/>
  <c r="I150"/>
  <c r="H150"/>
  <c r="F37"/>
  <c r="G37"/>
  <c r="G150"/>
  <c r="F150"/>
  <c r="E150"/>
  <c r="D150"/>
  <c r="C150"/>
  <c r="A132"/>
  <c r="A149"/>
  <c r="C30"/>
  <c r="C31"/>
  <c r="J131"/>
  <c r="J146"/>
  <c r="J148"/>
  <c r="I131"/>
  <c r="I146"/>
  <c r="I148"/>
  <c r="H131"/>
  <c r="H146"/>
  <c r="H148"/>
  <c r="G131"/>
  <c r="G146"/>
  <c r="G148"/>
  <c r="F131"/>
  <c r="F146"/>
  <c r="F148"/>
  <c r="E131"/>
  <c r="E146"/>
  <c r="E148"/>
  <c r="D131"/>
  <c r="D146"/>
  <c r="D148"/>
  <c r="C131"/>
  <c r="C146"/>
  <c r="C148"/>
  <c r="A148"/>
  <c r="J147"/>
  <c r="I147"/>
  <c r="H147"/>
  <c r="G147"/>
  <c r="F147"/>
  <c r="E147"/>
  <c r="D147"/>
  <c r="C147"/>
  <c r="A147"/>
  <c r="A131"/>
  <c r="A146"/>
  <c r="J145"/>
  <c r="I145"/>
  <c r="H145"/>
  <c r="G145"/>
  <c r="F145"/>
  <c r="E145"/>
  <c r="D145"/>
  <c r="C145"/>
  <c r="J141"/>
  <c r="I141"/>
  <c r="H141"/>
  <c r="G141"/>
  <c r="F141"/>
  <c r="E141"/>
  <c r="D141"/>
  <c r="C141"/>
  <c r="J139"/>
  <c r="I139"/>
  <c r="H139"/>
  <c r="G139"/>
  <c r="F139"/>
  <c r="E139"/>
  <c r="D139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G126"/>
  <c r="F126"/>
  <c r="E126"/>
  <c r="D126"/>
  <c r="C126"/>
  <c r="A126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A125"/>
  <c r="AQ123"/>
  <c r="AP123"/>
  <c r="AO123"/>
  <c r="Q123"/>
  <c r="O123"/>
  <c r="N123"/>
  <c r="M123"/>
  <c r="L123"/>
  <c r="K123"/>
  <c r="J123"/>
  <c r="I123"/>
  <c r="H123"/>
  <c r="G123"/>
  <c r="F123"/>
  <c r="E123"/>
  <c r="D123"/>
  <c r="C123"/>
  <c r="AQ122"/>
  <c r="AP122"/>
  <c r="AO122"/>
  <c r="Q122"/>
  <c r="O122"/>
  <c r="N122"/>
  <c r="M122"/>
  <c r="L122"/>
  <c r="K122"/>
  <c r="J122"/>
  <c r="I122"/>
  <c r="H122"/>
  <c r="G122"/>
  <c r="F122"/>
  <c r="E122"/>
  <c r="D122"/>
  <c r="C122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G121"/>
  <c r="F121"/>
  <c r="E121"/>
  <c r="D121"/>
  <c r="C121"/>
  <c r="A121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G120"/>
  <c r="F120"/>
  <c r="E120"/>
  <c r="D120"/>
  <c r="C120"/>
  <c r="A120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A119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E118"/>
  <c r="D118"/>
  <c r="C118"/>
  <c r="A118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E117"/>
  <c r="D117"/>
  <c r="C117"/>
  <c r="A117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E116"/>
  <c r="D116"/>
  <c r="C116"/>
  <c r="A116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F115"/>
  <c r="E115"/>
  <c r="D115"/>
  <c r="C115"/>
  <c r="A115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G114"/>
  <c r="F114"/>
  <c r="E114"/>
  <c r="D114"/>
  <c r="C114"/>
  <c r="A114"/>
  <c r="AR109"/>
  <c r="AP113"/>
  <c r="AQ109"/>
  <c r="AO113"/>
  <c r="AP109"/>
  <c r="AN113"/>
  <c r="AO109"/>
  <c r="AM113"/>
  <c r="AN109"/>
  <c r="AL113"/>
  <c r="AM109"/>
  <c r="AK113"/>
  <c r="AL109"/>
  <c r="AJ113"/>
  <c r="AK109"/>
  <c r="AI113"/>
  <c r="AJ109"/>
  <c r="AH113"/>
  <c r="AI109"/>
  <c r="AG113"/>
  <c r="AH109"/>
  <c r="AF113"/>
  <c r="AG109"/>
  <c r="AE113"/>
  <c r="AF109"/>
  <c r="AD113"/>
  <c r="AE109"/>
  <c r="AC113"/>
  <c r="AD109"/>
  <c r="AB113"/>
  <c r="AC109"/>
  <c r="AA113"/>
  <c r="AB109"/>
  <c r="Z113"/>
  <c r="AA109"/>
  <c r="Y113"/>
  <c r="Z109"/>
  <c r="X113"/>
  <c r="Y109"/>
  <c r="W113"/>
  <c r="X109"/>
  <c r="V113"/>
  <c r="W109"/>
  <c r="U113"/>
  <c r="V109"/>
  <c r="T113"/>
  <c r="U109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V110"/>
  <c r="S110"/>
  <c r="T110"/>
  <c r="U110"/>
  <c r="R110"/>
  <c r="Q110"/>
  <c r="P110"/>
  <c r="O110"/>
  <c r="N110"/>
  <c r="M110"/>
  <c r="L110"/>
  <c r="K110"/>
  <c r="J110"/>
  <c r="I110"/>
  <c r="H110"/>
  <c r="G110"/>
  <c r="F110"/>
  <c r="E110"/>
  <c r="D110"/>
  <c r="C110"/>
  <c r="A110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AS107"/>
  <c r="AR107"/>
  <c r="AQ107"/>
  <c r="AB107"/>
  <c r="S107"/>
  <c r="U107"/>
  <c r="Q107"/>
  <c r="P107"/>
  <c r="O107"/>
  <c r="N107"/>
  <c r="M107"/>
  <c r="L107"/>
  <c r="K107"/>
  <c r="F107"/>
  <c r="A107"/>
  <c r="AS106"/>
  <c r="AR106"/>
  <c r="AQ106"/>
  <c r="S106"/>
  <c r="U106"/>
  <c r="R106"/>
  <c r="Q106"/>
  <c r="O106"/>
  <c r="N106"/>
  <c r="M106"/>
  <c r="L106"/>
  <c r="K106"/>
  <c r="J106"/>
  <c r="I106"/>
  <c r="H106"/>
  <c r="G106"/>
  <c r="F106"/>
  <c r="E106"/>
  <c r="D106"/>
  <c r="C106"/>
  <c r="A106"/>
  <c r="AS105"/>
  <c r="AR105"/>
  <c r="AQ105"/>
  <c r="S105"/>
  <c r="U105"/>
  <c r="Q105"/>
  <c r="O105"/>
  <c r="J105"/>
  <c r="I105"/>
  <c r="H105"/>
  <c r="G105"/>
  <c r="F105"/>
  <c r="A105"/>
  <c r="AV104"/>
  <c r="AU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S104"/>
  <c r="T104"/>
  <c r="U104"/>
  <c r="R104"/>
  <c r="Q104"/>
  <c r="P104"/>
  <c r="O104"/>
  <c r="N104"/>
  <c r="M104"/>
  <c r="L104"/>
  <c r="K104"/>
  <c r="J104"/>
  <c r="I104"/>
  <c r="H104"/>
  <c r="G104"/>
  <c r="F104"/>
  <c r="E104"/>
  <c r="D104"/>
  <c r="C104"/>
  <c r="A104"/>
  <c r="AV103"/>
  <c r="AU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S103"/>
  <c r="T103"/>
  <c r="U103"/>
  <c r="R103"/>
  <c r="Q103"/>
  <c r="P103"/>
  <c r="O103"/>
  <c r="N103"/>
  <c r="M103"/>
  <c r="L103"/>
  <c r="K103"/>
  <c r="J103"/>
  <c r="I103"/>
  <c r="H103"/>
  <c r="G103"/>
  <c r="F103"/>
  <c r="E103"/>
  <c r="D103"/>
  <c r="C103"/>
  <c r="A103"/>
  <c r="AV102"/>
  <c r="AU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S102"/>
  <c r="T102"/>
  <c r="U102"/>
  <c r="R102"/>
  <c r="Q102"/>
  <c r="P102"/>
  <c r="O102"/>
  <c r="N102"/>
  <c r="M102"/>
  <c r="L102"/>
  <c r="K102"/>
  <c r="J102"/>
  <c r="I102"/>
  <c r="H102"/>
  <c r="G102"/>
  <c r="F102"/>
  <c r="E102"/>
  <c r="D102"/>
  <c r="C102"/>
  <c r="A102"/>
  <c r="AV101"/>
  <c r="AU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S101"/>
  <c r="T101"/>
  <c r="U101"/>
  <c r="R101"/>
  <c r="Q101"/>
  <c r="P101"/>
  <c r="O101"/>
  <c r="N101"/>
  <c r="M101"/>
  <c r="L101"/>
  <c r="K101"/>
  <c r="J101"/>
  <c r="I101"/>
  <c r="H101"/>
  <c r="G101"/>
  <c r="F101"/>
  <c r="E101"/>
  <c r="D101"/>
  <c r="C101"/>
  <c r="A101"/>
  <c r="AV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S99"/>
  <c r="T99"/>
  <c r="U99"/>
  <c r="R99"/>
  <c r="Q99"/>
  <c r="P99"/>
  <c r="O99"/>
  <c r="L99"/>
  <c r="K99"/>
  <c r="J99"/>
  <c r="I99"/>
  <c r="H99"/>
  <c r="G99"/>
  <c r="F99"/>
  <c r="E99"/>
  <c r="D99"/>
  <c r="C99"/>
  <c r="AV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L98"/>
  <c r="K98"/>
  <c r="J98"/>
  <c r="I98"/>
  <c r="H98"/>
  <c r="G98"/>
  <c r="F98"/>
  <c r="E98"/>
  <c r="D98"/>
  <c r="C98"/>
  <c r="B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J36"/>
  <c r="I36"/>
  <c r="E36"/>
  <c r="F36"/>
  <c r="G36"/>
  <c r="D36"/>
  <c r="C36"/>
  <c r="J35"/>
  <c r="I35"/>
  <c r="H35"/>
  <c r="F35"/>
  <c r="E35"/>
  <c r="D35"/>
  <c r="C35"/>
  <c r="J23"/>
  <c r="I23"/>
  <c r="E23"/>
  <c r="F23"/>
  <c r="C23"/>
  <c r="J22"/>
  <c r="I22"/>
  <c r="H22"/>
  <c r="F22"/>
  <c r="E22"/>
  <c r="D22"/>
  <c r="C22"/>
  <c r="C13"/>
  <c r="C14"/>
  <c r="C18"/>
  <c r="H39" i="5"/>
  <c r="H38"/>
  <c r="H37"/>
  <c r="H36"/>
  <c r="H35"/>
  <c r="H34"/>
  <c r="H32"/>
  <c r="H31"/>
  <c r="H30"/>
  <c r="H28"/>
  <c r="H27"/>
  <c r="H26"/>
  <c r="H25"/>
  <c r="H24"/>
  <c r="H23"/>
  <c r="H22"/>
  <c r="H21"/>
  <c r="H20"/>
  <c r="H12"/>
  <c r="H11"/>
  <c r="L113" i="1"/>
  <c r="N99"/>
  <c r="N98"/>
  <c r="M99"/>
  <c r="M98"/>
  <c r="K106"/>
  <c r="Q106"/>
  <c r="J106"/>
  <c r="S105"/>
  <c r="U105"/>
  <c r="Q105"/>
  <c r="T102"/>
  <c r="AM102"/>
  <c r="AL102"/>
  <c r="AG102"/>
  <c r="AF102"/>
  <c r="AE102"/>
  <c r="AD102"/>
  <c r="Z102"/>
  <c r="AV102"/>
  <c r="AU102"/>
  <c r="Y102"/>
  <c r="X102"/>
  <c r="W102"/>
  <c r="G101"/>
  <c r="Q101"/>
  <c r="AE101"/>
  <c r="AF101"/>
  <c r="AL101"/>
  <c r="H101"/>
  <c r="I101"/>
  <c r="C163"/>
  <c r="D140"/>
  <c r="D163"/>
  <c r="E140"/>
  <c r="E163"/>
  <c r="F163"/>
  <c r="G140"/>
  <c r="G163"/>
  <c r="H140"/>
  <c r="H163"/>
  <c r="I163"/>
  <c r="J140"/>
  <c r="J163"/>
  <c r="AL99"/>
  <c r="G99"/>
  <c r="E131"/>
  <c r="E132"/>
  <c r="E133"/>
  <c r="E136"/>
  <c r="E141"/>
  <c r="J131"/>
  <c r="J132"/>
  <c r="J133"/>
  <c r="J136"/>
  <c r="J141"/>
  <c r="H10" i="5"/>
  <c r="O7" i="4"/>
  <c r="L99" i="1"/>
  <c r="L98"/>
  <c r="L101"/>
  <c r="L107"/>
  <c r="P99"/>
  <c r="P98"/>
  <c r="E102"/>
  <c r="E103"/>
  <c r="V99"/>
  <c r="V98"/>
  <c r="O11" i="6"/>
  <c r="O9"/>
  <c r="N11"/>
  <c r="N9"/>
  <c r="M11"/>
  <c r="M9"/>
  <c r="O8"/>
  <c r="N8"/>
  <c r="M8"/>
  <c r="O7"/>
  <c r="N7"/>
  <c r="M7"/>
  <c r="C131" i="1"/>
  <c r="C132"/>
  <c r="C133"/>
  <c r="C136"/>
  <c r="C141"/>
  <c r="G12" i="5"/>
  <c r="G11"/>
  <c r="F131" i="1"/>
  <c r="F132"/>
  <c r="F133"/>
  <c r="F136"/>
  <c r="F141"/>
  <c r="G28" i="5"/>
  <c r="G27"/>
  <c r="G26"/>
  <c r="G25"/>
  <c r="G24"/>
  <c r="G23"/>
  <c r="G22"/>
  <c r="G21"/>
  <c r="G20"/>
  <c r="H131" i="1"/>
  <c r="H132"/>
  <c r="H133"/>
  <c r="H136"/>
  <c r="H141"/>
  <c r="G39" i="5"/>
  <c r="G38"/>
  <c r="G37"/>
  <c r="G36"/>
  <c r="G35"/>
  <c r="G34"/>
  <c r="G131" i="1"/>
  <c r="G132"/>
  <c r="G133"/>
  <c r="G136"/>
  <c r="G141"/>
  <c r="G32" i="5"/>
  <c r="G31"/>
  <c r="G30"/>
  <c r="I131" i="1"/>
  <c r="I132"/>
  <c r="I133"/>
  <c r="I136"/>
  <c r="I141"/>
  <c r="J139"/>
  <c r="I139"/>
  <c r="H139"/>
  <c r="G139"/>
  <c r="F139"/>
  <c r="E139"/>
  <c r="D139"/>
  <c r="X109"/>
  <c r="V113"/>
  <c r="W109"/>
  <c r="U113"/>
  <c r="U109"/>
  <c r="S113"/>
  <c r="AP109"/>
  <c r="AN113"/>
  <c r="AO109"/>
  <c r="AM113"/>
  <c r="AN109"/>
  <c r="AL113"/>
  <c r="AM109"/>
  <c r="AK113"/>
  <c r="AL109"/>
  <c r="AJ113"/>
  <c r="AK109"/>
  <c r="AI113"/>
  <c r="AJ109"/>
  <c r="AH113"/>
  <c r="AG109"/>
  <c r="AE113"/>
  <c r="AF109"/>
  <c r="AD113"/>
  <c r="AE109"/>
  <c r="AC113"/>
  <c r="AD109"/>
  <c r="AB113"/>
  <c r="AC109"/>
  <c r="AA113"/>
  <c r="AA109"/>
  <c r="Y113"/>
  <c r="C30"/>
  <c r="K188"/>
  <c r="J188"/>
  <c r="O99"/>
  <c r="O98"/>
  <c r="S106"/>
  <c r="S107"/>
  <c r="O101"/>
  <c r="O107"/>
  <c r="B50"/>
  <c r="R184"/>
  <c r="S184"/>
  <c r="L206"/>
  <c r="J205"/>
  <c r="J36"/>
  <c r="I36"/>
  <c r="E36"/>
  <c r="F36"/>
  <c r="G36"/>
  <c r="D36"/>
  <c r="C36"/>
  <c r="M187"/>
  <c r="I187"/>
  <c r="L187"/>
  <c r="M186"/>
  <c r="M185"/>
  <c r="M184"/>
  <c r="M183"/>
  <c r="M182"/>
  <c r="M181"/>
  <c r="M180"/>
  <c r="M179"/>
  <c r="M178"/>
  <c r="M177"/>
  <c r="M176"/>
  <c r="M175"/>
  <c r="M174"/>
  <c r="M173"/>
  <c r="M172"/>
  <c r="J41"/>
  <c r="J149"/>
  <c r="J152"/>
  <c r="I41"/>
  <c r="I149"/>
  <c r="H41"/>
  <c r="H149"/>
  <c r="F38"/>
  <c r="G38"/>
  <c r="C18"/>
  <c r="G45"/>
  <c r="G149"/>
  <c r="G156"/>
  <c r="G41"/>
  <c r="F41"/>
  <c r="F149"/>
  <c r="E41"/>
  <c r="E149"/>
  <c r="D41"/>
  <c r="D149"/>
  <c r="D45"/>
  <c r="D156"/>
  <c r="C41"/>
  <c r="C149"/>
  <c r="J150"/>
  <c r="F37"/>
  <c r="G37"/>
  <c r="S99"/>
  <c r="S98"/>
  <c r="S101"/>
  <c r="F24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E50"/>
  <c r="D50"/>
  <c r="C50"/>
  <c r="J145"/>
  <c r="H145"/>
  <c r="G145"/>
  <c r="F145"/>
  <c r="E145"/>
  <c r="D145"/>
  <c r="C145"/>
  <c r="AR109"/>
  <c r="AP113"/>
  <c r="AQ109"/>
  <c r="AO113"/>
  <c r="Y109"/>
  <c r="W113"/>
  <c r="R113"/>
  <c r="Q113"/>
  <c r="P113"/>
  <c r="O113"/>
  <c r="N113"/>
  <c r="M113"/>
  <c r="K113"/>
  <c r="J113"/>
  <c r="I113"/>
  <c r="G113"/>
  <c r="F113"/>
  <c r="C113"/>
  <c r="T109"/>
  <c r="S109"/>
  <c r="R109"/>
  <c r="Q109"/>
  <c r="P109"/>
  <c r="O109"/>
  <c r="N109"/>
  <c r="M109"/>
  <c r="L109"/>
  <c r="K109"/>
  <c r="J109"/>
  <c r="I109"/>
  <c r="H109"/>
  <c r="G109"/>
  <c r="F109"/>
  <c r="E109"/>
  <c r="D109"/>
  <c r="C109"/>
  <c r="J35"/>
  <c r="I35"/>
  <c r="H35"/>
  <c r="F35"/>
  <c r="E35"/>
  <c r="D35"/>
  <c r="C35"/>
  <c r="J22"/>
  <c r="I22"/>
  <c r="H22"/>
  <c r="F22"/>
  <c r="E22"/>
  <c r="D22"/>
  <c r="C22"/>
  <c r="R103"/>
  <c r="P126"/>
  <c r="O126"/>
  <c r="P125"/>
  <c r="O125"/>
  <c r="O123"/>
  <c r="O122"/>
  <c r="P121"/>
  <c r="O121"/>
  <c r="P120"/>
  <c r="O120"/>
  <c r="P119"/>
  <c r="O119"/>
  <c r="P118"/>
  <c r="O118"/>
  <c r="P117"/>
  <c r="O117"/>
  <c r="P116"/>
  <c r="O116"/>
  <c r="P115"/>
  <c r="O115"/>
  <c r="P114"/>
  <c r="O114"/>
  <c r="P110"/>
  <c r="O110"/>
  <c r="P107"/>
  <c r="O106"/>
  <c r="O105"/>
  <c r="P104"/>
  <c r="O104"/>
  <c r="P103"/>
  <c r="O103"/>
  <c r="P102"/>
  <c r="O102"/>
  <c r="P101"/>
  <c r="AQ123"/>
  <c r="AP123"/>
  <c r="AO123"/>
  <c r="Q123"/>
  <c r="N123"/>
  <c r="M123"/>
  <c r="L123"/>
  <c r="K123"/>
  <c r="J123"/>
  <c r="I123"/>
  <c r="H123"/>
  <c r="G123"/>
  <c r="F123"/>
  <c r="E123"/>
  <c r="D123"/>
  <c r="C123"/>
  <c r="AQ122"/>
  <c r="AP122"/>
  <c r="AO122"/>
  <c r="Q122"/>
  <c r="N122"/>
  <c r="M122"/>
  <c r="L122"/>
  <c r="K122"/>
  <c r="J122"/>
  <c r="I122"/>
  <c r="H122"/>
  <c r="G122"/>
  <c r="F122"/>
  <c r="E122"/>
  <c r="D122"/>
  <c r="C122"/>
  <c r="AS99"/>
  <c r="AR99"/>
  <c r="AR98"/>
  <c r="AQ99"/>
  <c r="AP99"/>
  <c r="AP98"/>
  <c r="AO99"/>
  <c r="AN99"/>
  <c r="AM99"/>
  <c r="AK99"/>
  <c r="AJ99"/>
  <c r="AI99"/>
  <c r="AH99"/>
  <c r="AG99"/>
  <c r="AF99"/>
  <c r="AE99"/>
  <c r="AD99"/>
  <c r="AC99"/>
  <c r="AB99"/>
  <c r="AA99"/>
  <c r="Z99"/>
  <c r="W99"/>
  <c r="U99"/>
  <c r="Q99"/>
  <c r="K99"/>
  <c r="J99"/>
  <c r="I99"/>
  <c r="H99"/>
  <c r="F99"/>
  <c r="E99"/>
  <c r="AS98"/>
  <c r="AQ98"/>
  <c r="AO98"/>
  <c r="AN98"/>
  <c r="AM98"/>
  <c r="AL98"/>
  <c r="AK98"/>
  <c r="AJ98"/>
  <c r="AI98"/>
  <c r="AH98"/>
  <c r="AG98"/>
  <c r="AF98"/>
  <c r="AE98"/>
  <c r="AD98"/>
  <c r="AC98"/>
  <c r="AB98"/>
  <c r="AA98"/>
  <c r="Z98"/>
  <c r="W98"/>
  <c r="U98"/>
  <c r="Q98"/>
  <c r="K98"/>
  <c r="J98"/>
  <c r="I98"/>
  <c r="H98"/>
  <c r="G98"/>
  <c r="F98"/>
  <c r="E98"/>
  <c r="C17"/>
  <c r="J43"/>
  <c r="J154"/>
  <c r="D43"/>
  <c r="C16"/>
  <c r="J42"/>
  <c r="F42"/>
  <c r="U107"/>
  <c r="U106"/>
  <c r="AU104"/>
  <c r="AV104"/>
  <c r="Y104"/>
  <c r="S104"/>
  <c r="T104"/>
  <c r="U104"/>
  <c r="AU103"/>
  <c r="AV103"/>
  <c r="Y103"/>
  <c r="S103"/>
  <c r="T103"/>
  <c r="U103"/>
  <c r="S102"/>
  <c r="U102"/>
  <c r="U101"/>
  <c r="C15"/>
  <c r="C14"/>
  <c r="E208"/>
  <c r="J40"/>
  <c r="I40"/>
  <c r="H40"/>
  <c r="G40"/>
  <c r="F40"/>
  <c r="E40"/>
  <c r="D40"/>
  <c r="C40"/>
  <c r="J151"/>
  <c r="AZ55"/>
  <c r="AY54"/>
  <c r="AQ110"/>
  <c r="R110"/>
  <c r="C103"/>
  <c r="D103"/>
  <c r="K107"/>
  <c r="M107"/>
  <c r="N107"/>
  <c r="Q107"/>
  <c r="AA110"/>
  <c r="AB110"/>
  <c r="AC110"/>
  <c r="AD110"/>
  <c r="AE110"/>
  <c r="AF110"/>
  <c r="AG110"/>
  <c r="AH110"/>
  <c r="AI110"/>
  <c r="AJ110"/>
  <c r="AK110"/>
  <c r="AN110"/>
  <c r="AL110"/>
  <c r="AM110"/>
  <c r="AO110"/>
  <c r="AP110"/>
  <c r="C102"/>
  <c r="D102"/>
  <c r="C146"/>
  <c r="C147"/>
  <c r="D146"/>
  <c r="D147"/>
  <c r="E146"/>
  <c r="E147"/>
  <c r="F146"/>
  <c r="F147"/>
  <c r="G146"/>
  <c r="G147"/>
  <c r="H146"/>
  <c r="H147"/>
  <c r="I146"/>
  <c r="J146"/>
  <c r="C31"/>
  <c r="C148"/>
  <c r="D148"/>
  <c r="F148"/>
  <c r="H148"/>
  <c r="M101"/>
  <c r="N101"/>
  <c r="C23"/>
  <c r="E23"/>
  <c r="F23"/>
  <c r="I23"/>
  <c r="J23"/>
  <c r="F25"/>
  <c r="F26"/>
  <c r="A101"/>
  <c r="E101"/>
  <c r="F101"/>
  <c r="J101"/>
  <c r="K101"/>
  <c r="V101"/>
  <c r="W101"/>
  <c r="Z101"/>
  <c r="AA101"/>
  <c r="AB101"/>
  <c r="AC101"/>
  <c r="AD101"/>
  <c r="AG101"/>
  <c r="AH101"/>
  <c r="AI101"/>
  <c r="AJ101"/>
  <c r="AK101"/>
  <c r="AM101"/>
  <c r="AN101"/>
  <c r="AO101"/>
  <c r="AP101"/>
  <c r="AQ101"/>
  <c r="AR101"/>
  <c r="AS101"/>
  <c r="A102"/>
  <c r="F102"/>
  <c r="G102"/>
  <c r="H102"/>
  <c r="I102"/>
  <c r="J102"/>
  <c r="K102"/>
  <c r="L102"/>
  <c r="M102"/>
  <c r="N102"/>
  <c r="Q102"/>
  <c r="R102"/>
  <c r="V102"/>
  <c r="AA102"/>
  <c r="AB102"/>
  <c r="AC102"/>
  <c r="AH102"/>
  <c r="AI102"/>
  <c r="AJ102"/>
  <c r="AK102"/>
  <c r="AN102"/>
  <c r="AO102"/>
  <c r="AP102"/>
  <c r="AQ102"/>
  <c r="AR102"/>
  <c r="AS102"/>
  <c r="A103"/>
  <c r="F103"/>
  <c r="G103"/>
  <c r="H103"/>
  <c r="I103"/>
  <c r="J103"/>
  <c r="K103"/>
  <c r="L103"/>
  <c r="M103"/>
  <c r="N103"/>
  <c r="Q103"/>
  <c r="V103"/>
  <c r="W103"/>
  <c r="X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104"/>
  <c r="C104"/>
  <c r="D104"/>
  <c r="E104"/>
  <c r="F104"/>
  <c r="G104"/>
  <c r="H104"/>
  <c r="I104"/>
  <c r="J104"/>
  <c r="K104"/>
  <c r="L104"/>
  <c r="M104"/>
  <c r="N104"/>
  <c r="Q104"/>
  <c r="R104"/>
  <c r="V104"/>
  <c r="W104"/>
  <c r="X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105"/>
  <c r="F105"/>
  <c r="G105"/>
  <c r="H105"/>
  <c r="I105"/>
  <c r="J105"/>
  <c r="AQ105"/>
  <c r="AR105"/>
  <c r="AS105"/>
  <c r="A106"/>
  <c r="C106"/>
  <c r="D106"/>
  <c r="E106"/>
  <c r="F106"/>
  <c r="G106"/>
  <c r="H106"/>
  <c r="I106"/>
  <c r="L106"/>
  <c r="M106"/>
  <c r="N106"/>
  <c r="R106"/>
  <c r="AQ106"/>
  <c r="AR106"/>
  <c r="AS106"/>
  <c r="A107"/>
  <c r="F107"/>
  <c r="AB107"/>
  <c r="AQ107"/>
  <c r="AR107"/>
  <c r="AS107"/>
  <c r="A110"/>
  <c r="C110"/>
  <c r="D110"/>
  <c r="E110"/>
  <c r="F110"/>
  <c r="G110"/>
  <c r="H110"/>
  <c r="I110"/>
  <c r="J110"/>
  <c r="K110"/>
  <c r="L110"/>
  <c r="M110"/>
  <c r="N110"/>
  <c r="Q110"/>
  <c r="S110"/>
  <c r="T110"/>
  <c r="U110"/>
  <c r="V110"/>
  <c r="X110"/>
  <c r="Y110"/>
  <c r="Z110"/>
  <c r="AR110"/>
  <c r="AS110"/>
  <c r="A114"/>
  <c r="C114"/>
  <c r="D114"/>
  <c r="E114"/>
  <c r="F114"/>
  <c r="G114"/>
  <c r="H114"/>
  <c r="I114"/>
  <c r="J114"/>
  <c r="K114"/>
  <c r="L114"/>
  <c r="M114"/>
  <c r="N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115"/>
  <c r="C115"/>
  <c r="D115"/>
  <c r="E115"/>
  <c r="F115"/>
  <c r="G115"/>
  <c r="H115"/>
  <c r="I115"/>
  <c r="J115"/>
  <c r="K115"/>
  <c r="L115"/>
  <c r="M115"/>
  <c r="N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116"/>
  <c r="C116"/>
  <c r="D116"/>
  <c r="E116"/>
  <c r="F116"/>
  <c r="G116"/>
  <c r="H116"/>
  <c r="I116"/>
  <c r="J116"/>
  <c r="K116"/>
  <c r="L116"/>
  <c r="M116"/>
  <c r="N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117"/>
  <c r="C117"/>
  <c r="D117"/>
  <c r="E117"/>
  <c r="F117"/>
  <c r="G117"/>
  <c r="H117"/>
  <c r="I117"/>
  <c r="J117"/>
  <c r="K117"/>
  <c r="L117"/>
  <c r="M117"/>
  <c r="N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118"/>
  <c r="C118"/>
  <c r="D118"/>
  <c r="E118"/>
  <c r="F118"/>
  <c r="G118"/>
  <c r="H118"/>
  <c r="I118"/>
  <c r="J118"/>
  <c r="K118"/>
  <c r="L118"/>
  <c r="M118"/>
  <c r="N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119"/>
  <c r="C119"/>
  <c r="D119"/>
  <c r="E119"/>
  <c r="F119"/>
  <c r="G119"/>
  <c r="H119"/>
  <c r="I119"/>
  <c r="J119"/>
  <c r="K119"/>
  <c r="L119"/>
  <c r="M119"/>
  <c r="N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120"/>
  <c r="C120"/>
  <c r="D120"/>
  <c r="E120"/>
  <c r="F120"/>
  <c r="G120"/>
  <c r="H120"/>
  <c r="I120"/>
  <c r="J120"/>
  <c r="K120"/>
  <c r="L120"/>
  <c r="M120"/>
  <c r="N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121"/>
  <c r="C121"/>
  <c r="D121"/>
  <c r="E121"/>
  <c r="F121"/>
  <c r="G121"/>
  <c r="H121"/>
  <c r="I121"/>
  <c r="J121"/>
  <c r="K121"/>
  <c r="L121"/>
  <c r="M121"/>
  <c r="N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125"/>
  <c r="C125"/>
  <c r="D125"/>
  <c r="E125"/>
  <c r="F125"/>
  <c r="G125"/>
  <c r="H125"/>
  <c r="I125"/>
  <c r="J125"/>
  <c r="K125"/>
  <c r="L125"/>
  <c r="M125"/>
  <c r="N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126"/>
  <c r="C126"/>
  <c r="D126"/>
  <c r="E126"/>
  <c r="F126"/>
  <c r="G126"/>
  <c r="H126"/>
  <c r="I126"/>
  <c r="J126"/>
  <c r="K126"/>
  <c r="L126"/>
  <c r="M126"/>
  <c r="N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131"/>
  <c r="A146"/>
  <c r="A132"/>
  <c r="A133"/>
  <c r="A157"/>
  <c r="J157"/>
  <c r="A134"/>
  <c r="A135"/>
  <c r="A136"/>
  <c r="A137"/>
  <c r="A138"/>
  <c r="A140"/>
  <c r="A147"/>
  <c r="A148"/>
  <c r="A149"/>
  <c r="C157"/>
  <c r="D157"/>
  <c r="E157"/>
  <c r="F157"/>
  <c r="G157"/>
  <c r="H157"/>
  <c r="I157"/>
  <c r="A158"/>
  <c r="C158"/>
  <c r="D158"/>
  <c r="E158"/>
  <c r="G158"/>
  <c r="H158"/>
  <c r="I158"/>
  <c r="J158"/>
  <c r="A159"/>
  <c r="C159"/>
  <c r="D159"/>
  <c r="E159"/>
  <c r="F159"/>
  <c r="G159"/>
  <c r="H159"/>
  <c r="I159"/>
  <c r="J159"/>
  <c r="A160"/>
  <c r="C160"/>
  <c r="D160"/>
  <c r="E160"/>
  <c r="F160"/>
  <c r="G160"/>
  <c r="H160"/>
  <c r="I160"/>
  <c r="J160"/>
  <c r="A161"/>
  <c r="A162"/>
  <c r="A163"/>
  <c r="C164"/>
  <c r="E164"/>
  <c r="F165"/>
  <c r="G164"/>
  <c r="I164"/>
  <c r="J164"/>
  <c r="A164"/>
  <c r="D164"/>
  <c r="F164"/>
  <c r="H164"/>
  <c r="A165"/>
  <c r="C165"/>
  <c r="D165"/>
  <c r="E165"/>
  <c r="G165"/>
  <c r="H165"/>
  <c r="I165"/>
  <c r="J165"/>
  <c r="A166"/>
  <c r="D166"/>
  <c r="F166"/>
  <c r="H166"/>
  <c r="J166"/>
  <c r="J45"/>
  <c r="J156"/>
  <c r="C45"/>
  <c r="C156"/>
  <c r="C19"/>
  <c r="C45" i="5"/>
  <c r="C42"/>
  <c r="C34"/>
  <c r="C38"/>
  <c r="C36"/>
  <c r="C37"/>
  <c r="C39"/>
  <c r="C35"/>
  <c r="G150" i="1"/>
  <c r="J147"/>
  <c r="J148"/>
  <c r="C150"/>
  <c r="C151"/>
  <c r="C152"/>
  <c r="D154"/>
  <c r="D152"/>
  <c r="D150"/>
  <c r="D151"/>
  <c r="E150"/>
  <c r="E151"/>
  <c r="E152"/>
  <c r="F152"/>
  <c r="F150"/>
  <c r="F153"/>
  <c r="F151"/>
  <c r="G151"/>
  <c r="G152"/>
  <c r="H152"/>
  <c r="H150"/>
  <c r="H151"/>
  <c r="I150"/>
  <c r="I151"/>
  <c r="I152"/>
  <c r="I166"/>
  <c r="G166"/>
  <c r="E166"/>
  <c r="C166"/>
  <c r="H42"/>
  <c r="F43"/>
  <c r="H43"/>
  <c r="H154"/>
  <c r="F154"/>
  <c r="H153"/>
  <c r="D208"/>
  <c r="C208"/>
  <c r="F158"/>
  <c r="E45"/>
  <c r="E156"/>
  <c r="F45"/>
  <c r="H45"/>
  <c r="G43"/>
  <c r="G154"/>
  <c r="I45"/>
  <c r="I156"/>
  <c r="C42"/>
  <c r="E42"/>
  <c r="I42"/>
  <c r="C43"/>
  <c r="C154"/>
  <c r="E43"/>
  <c r="E154"/>
  <c r="I43"/>
  <c r="I154"/>
  <c r="J153"/>
  <c r="J39"/>
  <c r="J155"/>
  <c r="G42"/>
  <c r="I147"/>
  <c r="I148"/>
  <c r="G148"/>
  <c r="E148"/>
  <c r="F156"/>
  <c r="F39"/>
  <c r="F155"/>
  <c r="H156"/>
  <c r="H39"/>
  <c r="H155"/>
  <c r="I39"/>
  <c r="I155"/>
  <c r="I153"/>
  <c r="C39"/>
  <c r="C155"/>
  <c r="C153"/>
  <c r="E39"/>
  <c r="E155"/>
  <c r="E153"/>
  <c r="G153"/>
  <c r="G39"/>
  <c r="G155"/>
  <c r="D42"/>
  <c r="D153"/>
  <c r="D39"/>
  <c r="D155"/>
  <c r="C14" i="5"/>
  <c r="L11" i="6"/>
  <c r="C11" i="5"/>
  <c r="L9" i="6"/>
  <c r="B2" i="1"/>
  <c r="A6" i="5"/>
  <c r="A1" i="6"/>
</calcChain>
</file>

<file path=xl/comments1.xml><?xml version="1.0" encoding="utf-8"?>
<comments xmlns="http://schemas.openxmlformats.org/spreadsheetml/2006/main">
  <authors>
    <author>Maryse Labriet</author>
    <author>Kathleen</author>
  </authors>
  <commentList>
    <comment ref="C30" authorId="0">
      <text>
        <r>
          <rPr>
            <sz val="8"/>
            <color indexed="81"/>
            <rFont val="Tahoma"/>
          </rPr>
          <t>Energy consumed is considered to be proportional to coal production</t>
        </r>
      </text>
    </comment>
    <comment ref="B37" authorId="0">
      <text>
        <r>
          <rPr>
            <sz val="8"/>
            <color indexed="81"/>
            <rFont val="Tahoma"/>
          </rPr>
          <t>It seems that energy consumed by synthetic production is not included here (total energy consumed by OILGASEX=548.8 PJ for CANADA, whereas total energy consumed by FOSSIL FUEL PRODUCERS (NRCAN) = 925.8 PJ</t>
        </r>
      </text>
    </comment>
    <comment ref="B41" authorId="0">
      <text>
        <r>
          <rPr>
            <sz val="8"/>
            <color indexed="81"/>
            <rFont val="Tahoma"/>
          </rPr>
          <t>Proportional to Light oil production</t>
        </r>
      </text>
    </comment>
    <comment ref="B42" authorId="0">
      <text>
        <r>
          <rPr>
            <sz val="8"/>
            <color indexed="81"/>
            <rFont val="Tahoma"/>
          </rPr>
          <t>Proportional to heavy oil production</t>
        </r>
      </text>
    </comment>
    <comment ref="B45" authorId="0">
      <text>
        <r>
          <rPr>
            <sz val="8"/>
            <color indexed="81"/>
            <rFont val="Tahoma"/>
          </rPr>
          <t>Energy consumption for NGL is considered to be included in light and oil production.</t>
        </r>
      </text>
    </comment>
    <comment ref="A61" authorId="0">
      <text>
        <r>
          <rPr>
            <sz val="8"/>
            <color indexed="81"/>
            <rFont val="Tahoma"/>
            <family val="2"/>
          </rPr>
          <t>=SUM (PUBELEC to TNONSEPC)
= conversion of primary energy to secondary energy.
- If negative number : input
- If positive number : output</t>
        </r>
      </text>
    </comment>
    <comment ref="A76" authorId="0">
      <text>
        <r>
          <rPr>
            <sz val="8"/>
            <color indexed="81"/>
            <rFont val="Tahoma"/>
          </rPr>
          <t>- Use of primary energy.
- RPP produced.
- Total = transformation losses (if positive, problem of conversion; ignore).</t>
        </r>
      </text>
    </comment>
    <comment ref="A78" authorId="1">
      <text>
        <r>
          <rPr>
            <sz val="8"/>
            <color indexed="81"/>
            <rFont val="Tahoma"/>
          </rPr>
          <t>In the 2001 version of IEA Database (B2020), TCHARCOAL is added as a specific technology (charcoal production plants : input = solid biomass / output = charcoal).</t>
        </r>
      </text>
    </comment>
    <comment ref="A79" authorId="0">
      <text>
        <r>
          <rPr>
            <sz val="8"/>
            <color indexed="81"/>
            <rFont val="Tahoma"/>
            <family val="2"/>
          </rPr>
          <t>= SUM (MINES to ENONSPEC)
= energy used for energy purpose (heating, lighting, traction, pumping) by transformation industries</t>
        </r>
      </text>
    </comment>
    <comment ref="A93" authorId="0">
      <text>
        <r>
          <rPr>
            <sz val="8"/>
            <color indexed="81"/>
            <rFont val="Tahoma"/>
            <family val="2"/>
          </rPr>
          <t>= TPES + TRANSFER + STATDIFF + TOTTRANF + TOTENGY + DISTLOSS
= available for consumption</t>
        </r>
      </text>
    </comment>
    <comment ref="C170" authorId="0">
      <text>
        <r>
          <rPr>
            <sz val="8"/>
            <color indexed="81"/>
            <rFont val="Tahoma"/>
          </rPr>
          <t>Conversion factor
ktoe (IEA) to PJ</t>
        </r>
      </text>
    </comment>
    <comment ref="D170" authorId="0">
      <text>
        <r>
          <rPr>
            <sz val="8"/>
            <color indexed="81"/>
            <rFont val="Tahoma"/>
          </rPr>
          <t>Conversion factor
GWh (IEA) to PJ</t>
        </r>
      </text>
    </comment>
    <comment ref="E170" authorId="0">
      <text>
        <r>
          <rPr>
            <sz val="8"/>
            <color indexed="81"/>
            <rFont val="Tahoma"/>
          </rPr>
          <t>Conversion factor
TJ (IEA) to PJ</t>
        </r>
      </text>
    </comment>
    <comment ref="B197" authorId="0">
      <text>
        <r>
          <rPr>
            <sz val="8"/>
            <color indexed="81"/>
            <rFont val="Tahoma"/>
          </rPr>
          <t>SUBCOAL is not treated similarly in INPUT (PRODUCTION) and in ELC OUTPUT
PRODUCTION LEVEL : 
From 1978 forwards, HARDCOAL = COKCOAL + BITCOAL + SUBCOAL, and BRSUB(brown) = LIGNITE, with the exception of Canada, Czech Republic, Hungary Mexico, Spain, Turkey in OECD, and Bulgaria, DPR of Korea, Malaysia and Tajikistan in NOECD where HARDCOAL = COKCOAL + BITCOAL, and BRSUB(brown) = LIGNITE + SUBCOAL. 
When SUBCOAL is included in BRSUB (B2020 database), SUBCOAL (B2020) row is empty (see sub-total).
ELC OUTPUT :
Only one row is useful (see sub-total).</t>
        </r>
      </text>
    </comment>
  </commentList>
</comments>
</file>

<file path=xl/comments2.xml><?xml version="1.0" encoding="utf-8"?>
<comments xmlns="http://schemas.openxmlformats.org/spreadsheetml/2006/main">
  <authors>
    <author>Kathleen Vaillancourt</author>
  </authors>
  <commentList>
    <comment ref="B27" authorId="0">
      <text>
        <r>
          <rPr>
            <sz val="8"/>
            <color indexed="81"/>
            <rFont val="Tahoma"/>
          </rPr>
          <t xml:space="preserve">Example : 
For Canada, solution gas = 0.38 PJ gas / PJ oil
80 to 92% of this gas is revovered
</t>
        </r>
      </text>
    </comment>
    <comment ref="B29" authorId="0">
      <text>
        <r>
          <rPr>
            <sz val="8"/>
            <color indexed="81"/>
            <rFont val="Tahoma"/>
          </rPr>
          <t>Converting CH4 from weight to energy using PV=NRT</t>
        </r>
      </text>
    </comment>
    <comment ref="B30" authorId="0">
      <text>
        <r>
          <rPr>
            <sz val="8"/>
            <color indexed="81"/>
            <rFont val="Tahoma"/>
          </rPr>
          <t>Multiplying the flaring/venting coefficients with the oil production. CO2 has been converted to methane using the molecular weights 16/44.</t>
        </r>
      </text>
    </comment>
  </commentList>
</comments>
</file>

<file path=xl/comments3.xml><?xml version="1.0" encoding="utf-8"?>
<comments xmlns="http://schemas.openxmlformats.org/spreadsheetml/2006/main">
  <authors>
    <author>Administrador</author>
    <author>Kathleen Vaillancourt</author>
  </authors>
  <commentList>
    <comment ref="F7" authorId="0">
      <text>
        <r>
          <rPr>
            <sz val="8"/>
            <color indexed="81"/>
            <rFont val="Tahoma"/>
          </rPr>
          <t>Defined in B_Extraction</t>
        </r>
      </text>
    </comment>
    <comment ref="H7" authorId="1">
      <text>
        <r>
          <rPr>
            <sz val="8"/>
            <color indexed="81"/>
            <rFont val="Tahoma"/>
          </rPr>
          <t>Non-energy extraction cost (including exploration and development, if needed, and production)
Defined in B_Extraction</t>
        </r>
      </text>
    </comment>
  </commentList>
</comments>
</file>

<file path=xl/comments4.xml><?xml version="1.0" encoding="utf-8"?>
<comments xmlns="http://schemas.openxmlformats.org/spreadsheetml/2006/main">
  <authors>
    <author>Maryse Labriet</author>
  </authors>
  <commentList>
    <comment ref="G9" authorId="0">
      <text>
        <r>
          <rPr>
            <sz val="8"/>
            <color indexed="81"/>
            <rFont val="Tahoma"/>
          </rPr>
          <t xml:space="preserve">OILCRL, OILCRH, OILOSY, GASNGA, COAHCO, COABCO : As the meaning of OSOURCE is not clearly explained by IEA, OSOURCE is added to INDPROD. </t>
        </r>
      </text>
    </comment>
    <comment ref="M9" authorId="0">
      <text>
        <r>
          <rPr>
            <sz val="8"/>
            <color indexed="81"/>
            <rFont val="Tahoma"/>
          </rPr>
          <t xml:space="preserve">OILCRL, OILCRH, OILOSY, GASNGA, COAHCO, COABCO : As the meaning of OSOURCE is not clearly explained by IEA, OSOURCE is added to INDPROD. </t>
        </r>
      </text>
    </comment>
  </commentList>
</comments>
</file>

<file path=xl/comments5.xml><?xml version="1.0" encoding="utf-8"?>
<comments xmlns="http://schemas.openxmlformats.org/spreadsheetml/2006/main">
  <authors>
    <author>labriet</author>
    <author>Maryse Labriet</author>
  </authors>
  <commentList>
    <comment ref="D68" authorId="0">
      <text>
        <r>
          <rPr>
            <b/>
            <sz val="8"/>
            <color indexed="81"/>
            <rFont val="Tahoma"/>
          </rPr>
          <t>labriet:</t>
        </r>
        <r>
          <rPr>
            <sz val="8"/>
            <color indexed="81"/>
            <rFont val="Tahoma"/>
          </rPr>
          <t xml:space="preserve">
Was GANLPG. 
LPG = strange.
I used GASLNG and not GANLNG because only GASLNG can be then consumed in the model</t>
        </r>
      </text>
    </comment>
    <comment ref="AC95" authorId="1">
      <text>
        <r>
          <rPr>
            <sz val="8"/>
            <color indexed="81"/>
            <rFont val="Tahoma"/>
          </rPr>
          <t>Process-related emissions (non-energy emissions)</t>
        </r>
      </text>
    </comment>
    <comment ref="G98" authorId="1">
      <text>
        <r>
          <rPr>
            <sz val="8"/>
            <color indexed="81"/>
            <rFont val="Tahoma"/>
          </rPr>
          <t>Crude + Synthetic</t>
        </r>
      </text>
    </comment>
    <comment ref="I98" authorId="1">
      <text>
        <r>
          <rPr>
            <sz val="8"/>
            <color indexed="81"/>
            <rFont val="Tahoma"/>
          </rPr>
          <t>Crude + Synthetic</t>
        </r>
      </text>
    </comment>
  </commentList>
</comments>
</file>

<file path=xl/comments6.xml><?xml version="1.0" encoding="utf-8"?>
<comments xmlns="http://schemas.openxmlformats.org/spreadsheetml/2006/main">
  <authors>
    <author>Maryse Labriet</author>
  </authors>
  <commentList>
    <comment ref="B5" authorId="0">
      <text>
        <r>
          <rPr>
            <sz val="8"/>
            <color indexed="81"/>
            <rFont val="Tahoma"/>
          </rPr>
          <t>Valid only at the national level. 
For a region, imports (exports) represent the sum of imports (exports) between the countries of the region, and not the imports (exports) of the region. In this case, only IMPORTS minus EXPORTS has a regional meaning.</t>
        </r>
      </text>
    </comment>
  </commentList>
</comments>
</file>

<file path=xl/comments7.xml><?xml version="1.0" encoding="utf-8"?>
<comments xmlns="http://schemas.openxmlformats.org/spreadsheetml/2006/main">
  <authors>
    <author>Linda Doman</author>
  </authors>
  <commentList>
    <comment ref="B45" authorId="0">
      <text>
        <r>
          <rPr>
            <sz val="8"/>
            <color indexed="81"/>
            <rFont val="Tahoma"/>
          </rPr>
          <t>Bio-energy</t>
        </r>
      </text>
    </comment>
    <comment ref="B46" authorId="0">
      <text>
        <r>
          <rPr>
            <sz val="8"/>
            <color indexed="81"/>
            <rFont val="Tahoma"/>
          </rPr>
          <t>Bio-energy</t>
        </r>
      </text>
    </comment>
    <comment ref="B49" authorId="0">
      <text>
        <r>
          <rPr>
            <sz val="8"/>
            <color indexed="81"/>
            <rFont val="Tahoma"/>
          </rPr>
          <t>Bio-energy</t>
        </r>
      </text>
    </comment>
  </commentList>
</comments>
</file>

<file path=xl/comments8.xml><?xml version="1.0" encoding="utf-8"?>
<comments xmlns="http://schemas.openxmlformats.org/spreadsheetml/2006/main">
  <authors>
    <author>Maryse Labriet</author>
    <author>Kathleen</author>
  </authors>
  <commentList>
    <comment ref="C29" authorId="0">
      <text>
        <r>
          <rPr>
            <sz val="8"/>
            <color indexed="81"/>
            <rFont val="Tahoma"/>
          </rPr>
          <t>Energy consumed is considered to be proportional to coal production</t>
        </r>
      </text>
    </comment>
    <comment ref="B36" authorId="0">
      <text>
        <r>
          <rPr>
            <sz val="8"/>
            <color indexed="81"/>
            <rFont val="Tahoma"/>
          </rPr>
          <t>It seems that energy consumed by synthetic production is not included here (total energy consumed by OILGASEX=548.8 PJ for CANADA, whereas total energy consumed by FOSSIL FUEL PRODUCERS (NRCAN) = 925.8 PJ</t>
        </r>
      </text>
    </comment>
    <comment ref="B40" authorId="0">
      <text>
        <r>
          <rPr>
            <sz val="8"/>
            <color indexed="81"/>
            <rFont val="Tahoma"/>
          </rPr>
          <t>Proportional to Light oil production</t>
        </r>
      </text>
    </comment>
    <comment ref="B41" authorId="0">
      <text>
        <r>
          <rPr>
            <sz val="8"/>
            <color indexed="81"/>
            <rFont val="Tahoma"/>
          </rPr>
          <t>Proportional to heavy oil production</t>
        </r>
      </text>
    </comment>
    <comment ref="B44" authorId="0">
      <text>
        <r>
          <rPr>
            <sz val="8"/>
            <color indexed="81"/>
            <rFont val="Tahoma"/>
          </rPr>
          <t>Energy consumption for NGL is considered to be included in light and oil production.</t>
        </r>
      </text>
    </comment>
    <comment ref="A61" authorId="0">
      <text>
        <r>
          <rPr>
            <sz val="8"/>
            <color indexed="81"/>
            <rFont val="Tahoma"/>
            <family val="2"/>
          </rPr>
          <t>=SUM (PUBELEC to TNONSEPC)
= conversion of primary energy to secondary energy.
- If negative number : input
- If positive number : output</t>
        </r>
      </text>
    </comment>
    <comment ref="A76" authorId="0">
      <text>
        <r>
          <rPr>
            <sz val="8"/>
            <color indexed="81"/>
            <rFont val="Tahoma"/>
          </rPr>
          <t>- Use of primary energy.
- RPP produced.
- Total = transformation losses (if positive, problem of conversion; ignore).</t>
        </r>
      </text>
    </comment>
    <comment ref="A78" authorId="1">
      <text>
        <r>
          <rPr>
            <sz val="8"/>
            <color indexed="81"/>
            <rFont val="Tahoma"/>
          </rPr>
          <t>In the 2001 version of IEA Database (B2020), TCHARCOAL is added as a specific technology (charcoal production plants : input = solid biomass / output = charcoal).</t>
        </r>
      </text>
    </comment>
    <comment ref="A79" authorId="0">
      <text>
        <r>
          <rPr>
            <sz val="8"/>
            <color indexed="81"/>
            <rFont val="Tahoma"/>
            <family val="2"/>
          </rPr>
          <t>= SUM (MINES to ENONSPEC)
= energy used for energy purpose (heating, lighting, traction, pumping) by transformation industries</t>
        </r>
      </text>
    </comment>
    <comment ref="A93" authorId="0">
      <text>
        <r>
          <rPr>
            <sz val="8"/>
            <color indexed="81"/>
            <rFont val="Tahoma"/>
            <family val="2"/>
          </rPr>
          <t>= TPES + TRANSFER + STATDIFF + TOTTRANF + TOTENGY + DISTLOSS
= available for consumption</t>
        </r>
      </text>
    </comment>
    <comment ref="C170" authorId="0">
      <text>
        <r>
          <rPr>
            <sz val="8"/>
            <color indexed="81"/>
            <rFont val="Tahoma"/>
          </rPr>
          <t>Conversion factor
ktoe (IEA) to PJ</t>
        </r>
      </text>
    </comment>
    <comment ref="D170" authorId="0">
      <text>
        <r>
          <rPr>
            <sz val="8"/>
            <color indexed="81"/>
            <rFont val="Tahoma"/>
          </rPr>
          <t>Conversion factor
GWh (IEA) to PJ</t>
        </r>
      </text>
    </comment>
    <comment ref="E170" authorId="0">
      <text>
        <r>
          <rPr>
            <sz val="8"/>
            <color indexed="81"/>
            <rFont val="Tahoma"/>
          </rPr>
          <t>Conversion factor
TJ (IEA) to PJ</t>
        </r>
      </text>
    </comment>
    <comment ref="B197" authorId="0">
      <text>
        <r>
          <rPr>
            <sz val="8"/>
            <color indexed="81"/>
            <rFont val="Tahoma"/>
          </rPr>
          <t>SUBCOAL is not treated similarly in INPUT (PRODUCTION) and in ELC OUTPUT
PRODUCTION LEVEL : 
From 1978 forwards, HARDCOAL = COKCOAL + BITCOAL + SUBCOAL, and BRSUB(brown) = LIGNITE, with the exception of Canada, Czech Republic, Hungary Mexico, Spain, Turkey in OECD, and Bulgaria, DPR of Korea, Malaysia and Tajikistan in NOECD where HARDCOAL = COKCOAL + BITCOAL, and BRSUB(brown) = LIGNITE + SUBCOAL. 
When SUBCOAL is included in BRSUB (B2020 database), SUBCOAL (B2020) row is empty (see sub-total).
ELC OUTPUT :
Only one row is useful (see sub-total).</t>
        </r>
      </text>
    </comment>
  </commentList>
</comments>
</file>

<file path=xl/comments9.xml><?xml version="1.0" encoding="utf-8"?>
<comments xmlns="http://schemas.openxmlformats.org/spreadsheetml/2006/main">
  <authors>
    <author>Linda Doman</author>
  </authors>
  <commentList>
    <comment ref="B39" authorId="0">
      <text>
        <r>
          <rPr>
            <sz val="8"/>
            <color indexed="81"/>
            <rFont val="Tahoma"/>
          </rPr>
          <t>Bio-energy</t>
        </r>
      </text>
    </comment>
    <comment ref="B40" authorId="0">
      <text>
        <r>
          <rPr>
            <sz val="8"/>
            <color indexed="81"/>
            <rFont val="Tahoma"/>
          </rPr>
          <t>Bio-energy</t>
        </r>
      </text>
    </comment>
    <comment ref="B43" authorId="0">
      <text>
        <r>
          <rPr>
            <sz val="8"/>
            <color indexed="81"/>
            <rFont val="Tahoma"/>
          </rPr>
          <t>Bio-energy</t>
        </r>
      </text>
    </comment>
  </commentList>
</comments>
</file>

<file path=xl/sharedStrings.xml><?xml version="1.0" encoding="utf-8"?>
<sst xmlns="http://schemas.openxmlformats.org/spreadsheetml/2006/main" count="4997" uniqueCount="1146">
  <si>
    <t>Base year</t>
  </si>
  <si>
    <t>Region</t>
  </si>
  <si>
    <t>Tiny</t>
  </si>
  <si>
    <t>Separate OPEC / NON OPEC</t>
  </si>
  <si>
    <t>RegIndex</t>
  </si>
  <si>
    <t xml:space="preserve">Full region </t>
  </si>
  <si>
    <t>METRO</t>
  </si>
  <si>
    <t>Table 1a : Ratios of Light &amp; Heavy Conventional Oil production</t>
  </si>
  <si>
    <t>Ratio / Total oil</t>
  </si>
  <si>
    <t>UPHTP</t>
  </si>
  <si>
    <t>Light oil production</t>
  </si>
  <si>
    <t>ALL OIL IS MODELED VIA THE COMMODITY CALLED HEAVY OIL</t>
  </si>
  <si>
    <t>HYREF</t>
  </si>
  <si>
    <t>Heavy oil production</t>
  </si>
  <si>
    <t>Table 1b : Ratios of Unconventional Oil &amp; Conventional Oil production</t>
  </si>
  <si>
    <t>Light + heavy oil production</t>
  </si>
  <si>
    <t>conv light + heavy oil / total conventional oil</t>
  </si>
  <si>
    <t>NGL</t>
  </si>
  <si>
    <t>-</t>
  </si>
  <si>
    <t>Oil sands (mined - synthetic)</t>
  </si>
  <si>
    <t>synthetic / total noncrude oil</t>
  </si>
  <si>
    <t>Oil sands (in-situ - very heavy oil)</t>
  </si>
  <si>
    <t>very hvy oil / total noncrude oil</t>
  </si>
  <si>
    <t>Shale oil</t>
  </si>
  <si>
    <t>shale oil / total noncrude oil</t>
  </si>
  <si>
    <t>Total</t>
  </si>
  <si>
    <t>Table 2 : Ratios of energy consumption by Pipelines</t>
  </si>
  <si>
    <t>OIL PRO-DUCTS (gas)</t>
  </si>
  <si>
    <t>TOTAL PIPELINES</t>
  </si>
  <si>
    <t>NA</t>
  </si>
  <si>
    <t>Oil pipelines</t>
  </si>
  <si>
    <t>Gas pipelines</t>
  </si>
  <si>
    <t>Rpp pipelines</t>
  </si>
  <si>
    <t>Table 3 : Ratios of energy consumption by Coal mines (MINES)</t>
  </si>
  <si>
    <t>Ratios</t>
  </si>
  <si>
    <t>FROM IEA DATA, PRODUCTION LEVELS</t>
  </si>
  <si>
    <t>Hardcoal mines</t>
  </si>
  <si>
    <t>Browncoal mines</t>
  </si>
  <si>
    <t>Table 4 : Ratios of energy consumption by Oil and Gas extraction (OILGASEX)</t>
  </si>
  <si>
    <t>TOTAL OILGASEX</t>
  </si>
  <si>
    <t>GAS extraction</t>
  </si>
  <si>
    <t>OIL extraction</t>
  </si>
  <si>
    <t>Biodiesel PRD (PJ)</t>
  </si>
  <si>
    <t>Split of energy consumed for OIL Extraction</t>
  </si>
  <si>
    <t>DNK</t>
  </si>
  <si>
    <t>Light oil</t>
  </si>
  <si>
    <t>FIN</t>
  </si>
  <si>
    <t>Heavy oil</t>
  </si>
  <si>
    <t>FIM</t>
  </si>
  <si>
    <t>SWE</t>
  </si>
  <si>
    <t>Table 5:  IEA Data</t>
  </si>
  <si>
    <t>~IEAStats</t>
  </si>
  <si>
    <t>HARDCOAL,PATFUEL,ANTCOAL,BITCOAL</t>
  </si>
  <si>
    <t>PEAT,BKB,BROWN,SUBCOAL,LIGNITE</t>
  </si>
  <si>
    <t>OVENCOKE</t>
  </si>
  <si>
    <t>GASCOKE</t>
  </si>
  <si>
    <t>GASWKSGS</t>
  </si>
  <si>
    <t>COKEOVGS</t>
  </si>
  <si>
    <t>BLFURGS</t>
  </si>
  <si>
    <t>OXYSTGS</t>
  </si>
  <si>
    <t>CHARCOAL</t>
  </si>
  <si>
    <t>SBIOMASS</t>
  </si>
  <si>
    <t>INDWASTE</t>
  </si>
  <si>
    <t>MUNWASTEN,MUNWASTER</t>
  </si>
  <si>
    <t>GBIOMASS</t>
  </si>
  <si>
    <t>OBIOLIQ</t>
  </si>
  <si>
    <t>RENEWNS</t>
  </si>
  <si>
    <t>NATGAS</t>
  </si>
  <si>
    <t>CRUDEOIL</t>
  </si>
  <si>
    <t>REFFEEDS</t>
  </si>
  <si>
    <t>ADDITIVE</t>
  </si>
  <si>
    <t>NONCRUDE</t>
  </si>
  <si>
    <t>REFINGAS</t>
  </si>
  <si>
    <t>ETHANE</t>
  </si>
  <si>
    <t>LPG</t>
  </si>
  <si>
    <t>MOTORGAS</t>
  </si>
  <si>
    <t>AVGAS</t>
  </si>
  <si>
    <t>JETGAS</t>
  </si>
  <si>
    <t>JETKERO</t>
  </si>
  <si>
    <t>OTHKERO</t>
  </si>
  <si>
    <t>GASDIES</t>
  </si>
  <si>
    <t>RESFUEL</t>
  </si>
  <si>
    <t>NAPHTHA</t>
  </si>
  <si>
    <t>WHITESP</t>
  </si>
  <si>
    <t>LUBRIC</t>
  </si>
  <si>
    <t>BITUMEN</t>
  </si>
  <si>
    <t>PARWAX</t>
  </si>
  <si>
    <t>PETCOKE</t>
  </si>
  <si>
    <t>ONONSPEC</t>
  </si>
  <si>
    <t>NUCLEAR</t>
  </si>
  <si>
    <t>HYDRO</t>
  </si>
  <si>
    <t>GEOTHERM</t>
  </si>
  <si>
    <t>SOLARPV,SOLARTH</t>
  </si>
  <si>
    <t>TIDE</t>
  </si>
  <si>
    <t>WIND</t>
  </si>
  <si>
    <t>OTHER</t>
  </si>
  <si>
    <t>ELECTR</t>
  </si>
  <si>
    <t>HEAT</t>
  </si>
  <si>
    <t>TOTAL</t>
  </si>
  <si>
    <t>Total crude oil + RPP imports</t>
  </si>
  <si>
    <t>Total crude oil + RPP exports</t>
  </si>
  <si>
    <t>INDPROD</t>
  </si>
  <si>
    <t>OSOURCEPRI</t>
  </si>
  <si>
    <t>IMPORTS</t>
  </si>
  <si>
    <t>EXPORTS</t>
  </si>
  <si>
    <t>BUNKERS</t>
  </si>
  <si>
    <t>STOCKCHA</t>
  </si>
  <si>
    <t>TPES</t>
  </si>
  <si>
    <t>TRANSFER</t>
  </si>
  <si>
    <t>STATDIFF</t>
  </si>
  <si>
    <t>TOTTRANF</t>
  </si>
  <si>
    <t>MAINELEC</t>
  </si>
  <si>
    <t>AUTOELEC</t>
  </si>
  <si>
    <t>MAINCHP</t>
  </si>
  <si>
    <t>AUTOCHP</t>
  </si>
  <si>
    <t>MAINHEAT</t>
  </si>
  <si>
    <t>AUTOHEAT</t>
  </si>
  <si>
    <t>THEAT</t>
  </si>
  <si>
    <t>TBOILER</t>
  </si>
  <si>
    <t>TPATFUEL</t>
  </si>
  <si>
    <t>TCOKEOVS</t>
  </si>
  <si>
    <t>TGASWKS</t>
  </si>
  <si>
    <t>BLASTFUR</t>
  </si>
  <si>
    <t>PETCHEM</t>
  </si>
  <si>
    <t>TBKB</t>
  </si>
  <si>
    <t>TREFINER</t>
  </si>
  <si>
    <t>LIQUEFAC,ELNG</t>
  </si>
  <si>
    <t>TNONSPEC,TCHARCOAL</t>
  </si>
  <si>
    <t>TOTENGY</t>
  </si>
  <si>
    <t>\I: sub-total transformation other than electricity</t>
  </si>
  <si>
    <t>MINES</t>
  </si>
  <si>
    <t>OILGASEX</t>
  </si>
  <si>
    <t>EPATFUEL</t>
  </si>
  <si>
    <t>ECOKEOVS</t>
  </si>
  <si>
    <t>EGASWKS</t>
  </si>
  <si>
    <t>EBKB</t>
  </si>
  <si>
    <t>EREFINER</t>
  </si>
  <si>
    <t>EPOWERPLT</t>
  </si>
  <si>
    <t>EPUMPST</t>
  </si>
  <si>
    <t>ENUC</t>
  </si>
  <si>
    <t>ENONSPEC</t>
  </si>
  <si>
    <t>DISTLOSS</t>
  </si>
  <si>
    <t>TFC</t>
  </si>
  <si>
    <t>PIPELINE</t>
  </si>
  <si>
    <t>Table 6: Production / Imports / Exports / Transfers of Primary Energy (use of ratios for light/oil crude oil production)</t>
  </si>
  <si>
    <t>CONHCO</t>
  </si>
  <si>
    <t>CONBCO</t>
  </si>
  <si>
    <t>CONOVC</t>
  </si>
  <si>
    <t>CONGSC</t>
  </si>
  <si>
    <t>GANGWG</t>
  </si>
  <si>
    <t>GANCOG</t>
  </si>
  <si>
    <t>GANBFG</t>
  </si>
  <si>
    <t>GANOXY</t>
  </si>
  <si>
    <t>BIOCHR</t>
  </si>
  <si>
    <t>BIOBSL</t>
  </si>
  <si>
    <t>BIOBIN</t>
  </si>
  <si>
    <t>BIOBMU</t>
  </si>
  <si>
    <t>BIOGAS</t>
  </si>
  <si>
    <t>BIOLIQ</t>
  </si>
  <si>
    <t>BIOREN</t>
  </si>
  <si>
    <t>GANNGA</t>
  </si>
  <si>
    <t>OINCRL</t>
  </si>
  <si>
    <t>OINCRH</t>
  </si>
  <si>
    <t>OINCRD</t>
  </si>
  <si>
    <t>OINNGL</t>
  </si>
  <si>
    <t>OINFEE</t>
  </si>
  <si>
    <t>OINADD</t>
  </si>
  <si>
    <t>OINNCR</t>
  </si>
  <si>
    <t>GANRFG</t>
  </si>
  <si>
    <t>GANETH</t>
  </si>
  <si>
    <t>OINLPG</t>
  </si>
  <si>
    <t>OINGSL</t>
  </si>
  <si>
    <t>OINAVG</t>
  </si>
  <si>
    <t>OINJTG</t>
  </si>
  <si>
    <t>OINJTK</t>
  </si>
  <si>
    <t>OINKER</t>
  </si>
  <si>
    <t>OINDST</t>
  </si>
  <si>
    <t>OINHFO</t>
  </si>
  <si>
    <t>OINNAP</t>
  </si>
  <si>
    <t>OINWSP</t>
  </si>
  <si>
    <t>OINLUB</t>
  </si>
  <si>
    <t>OINASP</t>
  </si>
  <si>
    <t>OINWAX</t>
  </si>
  <si>
    <t>OINPTC</t>
  </si>
  <si>
    <t>OINNSP</t>
  </si>
  <si>
    <t>ELCC</t>
  </si>
  <si>
    <t>HET</t>
  </si>
  <si>
    <t>OINUHV</t>
  </si>
  <si>
    <t>OINSHA</t>
  </si>
  <si>
    <t>INDPROD used in PRIM_PRD</t>
  </si>
  <si>
    <t>INDPROD from IEA</t>
  </si>
  <si>
    <t>INDPROD from alternate source</t>
  </si>
  <si>
    <t>Table 7: Pipeline</t>
  </si>
  <si>
    <t>Table 8: Inputs / Outputs of Technologies (production level)</t>
  </si>
  <si>
    <t>Heatpumps</t>
  </si>
  <si>
    <t>Electric boilers</t>
  </si>
  <si>
    <t>Patent fuel plants</t>
  </si>
  <si>
    <t>Coke ovens</t>
  </si>
  <si>
    <t>Gas works</t>
  </si>
  <si>
    <t>Blast furnace</t>
  </si>
  <si>
    <t>Petrochemicals/Refinery</t>
  </si>
  <si>
    <t>BKB plants</t>
  </si>
  <si>
    <t>TREFINER used in SCND_TRF</t>
  </si>
  <si>
    <t>Refinery</t>
  </si>
  <si>
    <t>TREFINER from IEA</t>
  </si>
  <si>
    <t>TREFINER from alternate data</t>
  </si>
  <si>
    <t>Liquefaction processes</t>
  </si>
  <si>
    <t>Transfo non spec</t>
  </si>
  <si>
    <t>Table 9: Energy Inputs and Distribution Losses (aggregated for pipelines, oil&amp;gas extraction and mines)</t>
  </si>
  <si>
    <t>Technologies/Products</t>
  </si>
  <si>
    <t>GAS</t>
  </si>
  <si>
    <t>COAL</t>
  </si>
  <si>
    <t>CRUDE OIL</t>
  </si>
  <si>
    <t>OIL PRODUCTS</t>
  </si>
  <si>
    <t>RENEWABLES</t>
  </si>
  <si>
    <t>ELECTRICITY</t>
  </si>
  <si>
    <t>UPNNGA</t>
  </si>
  <si>
    <t>UPNCOA</t>
  </si>
  <si>
    <t>UPNCRD</t>
  </si>
  <si>
    <t>UPNRPP</t>
  </si>
  <si>
    <t>UPNRPG</t>
  </si>
  <si>
    <t>UPNREN</t>
  </si>
  <si>
    <t>UPNELC</t>
  </si>
  <si>
    <t>UPNSTM</t>
  </si>
  <si>
    <t>Coal mines</t>
  </si>
  <si>
    <t>Oil and gas extraction</t>
  </si>
  <si>
    <t>Refineries</t>
  </si>
  <si>
    <t>Non-specified energy sector</t>
  </si>
  <si>
    <t>Distribution loss</t>
  </si>
  <si>
    <t>GASNGA</t>
  </si>
  <si>
    <t>Pipelines</t>
  </si>
  <si>
    <t>Table 10: A99(disaggregated for pipelines, oil&amp;gas extraction and mines - use of ratios)</t>
  </si>
  <si>
    <t>Gas</t>
  </si>
  <si>
    <t>INPUT FOR HEAT PRODUCED BY CHP AND CONSUMED LOCALLY IS SUBSTRACTED (to avoid double-counting : this input will be included in CHP)</t>
  </si>
  <si>
    <t>If these numbers are positive, the refinery ratio (column M below) must be decreased.</t>
  </si>
  <si>
    <t>Table 11a :  IEA Data (CHP autoconsumption)</t>
  </si>
  <si>
    <t>Table 11b : Aggregation (CHP)</t>
  </si>
  <si>
    <t>OWNUSE</t>
  </si>
  <si>
    <t>Input</t>
  </si>
  <si>
    <t>Output (elec)</t>
  </si>
  <si>
    <t>Ouput (heat)</t>
  </si>
  <si>
    <t>Assumed own use</t>
  </si>
  <si>
    <t>(for combustibles)</t>
  </si>
  <si>
    <t>Product/Flow</t>
  </si>
  <si>
    <t>Autochp</t>
  </si>
  <si>
    <t>Elautc</t>
  </si>
  <si>
    <t>Heautc</t>
  </si>
  <si>
    <t>EFF elc output/input</t>
  </si>
  <si>
    <t>Ref. Heat</t>
  </si>
  <si>
    <t>GASGWG</t>
  </si>
  <si>
    <t>NGA</t>
  </si>
  <si>
    <t>Ref. CHPR</t>
  </si>
  <si>
    <t>GASBFG</t>
  </si>
  <si>
    <t>REF INPUT</t>
  </si>
  <si>
    <t>GASCOG</t>
  </si>
  <si>
    <t>Ref. CHP Heat</t>
  </si>
  <si>
    <t>GASOXY</t>
  </si>
  <si>
    <t>COA</t>
  </si>
  <si>
    <t>Ref. CHP Electr</t>
  </si>
  <si>
    <t>COK</t>
  </si>
  <si>
    <t>GASRFG</t>
  </si>
  <si>
    <t>COG</t>
  </si>
  <si>
    <t>OILLPG</t>
  </si>
  <si>
    <t>BFG</t>
  </si>
  <si>
    <t>Table 11c : CHP in refinery</t>
  </si>
  <si>
    <t>GASETH</t>
  </si>
  <si>
    <t>OXY</t>
  </si>
  <si>
    <t>Gross Input</t>
  </si>
  <si>
    <t>EFF heat</t>
  </si>
  <si>
    <t>Residual</t>
  </si>
  <si>
    <t>\I:</t>
  </si>
  <si>
    <t>HFO</t>
  </si>
  <si>
    <t>OILCRD</t>
  </si>
  <si>
    <t>OIL</t>
  </si>
  <si>
    <t>OILDST</t>
  </si>
  <si>
    <t>ETH</t>
  </si>
  <si>
    <t>OILGSL</t>
  </si>
  <si>
    <t>NAP</t>
  </si>
  <si>
    <t>OILNAP</t>
  </si>
  <si>
    <t>PTC</t>
  </si>
  <si>
    <t>OILNGL</t>
  </si>
  <si>
    <t>BIO</t>
  </si>
  <si>
    <t>OILNCR</t>
  </si>
  <si>
    <t>GEO</t>
  </si>
  <si>
    <t>OILNSP</t>
  </si>
  <si>
    <t>total</t>
  </si>
  <si>
    <t>OILKER</t>
  </si>
  <si>
    <t>OILHFO</t>
  </si>
  <si>
    <t>Typical net efficiency</t>
  </si>
  <si>
    <t>Adjusted elec eff.</t>
  </si>
  <si>
    <t>CHPR</t>
  </si>
  <si>
    <t>Adjusted heat output</t>
  </si>
  <si>
    <t>Refinery ratio of CHP input (see SUP template)</t>
  </si>
  <si>
    <t>BLQ</t>
  </si>
  <si>
    <t>GBIOMASS,LBIOMASS</t>
  </si>
  <si>
    <t>BIN</t>
  </si>
  <si>
    <t>BMU</t>
  </si>
  <si>
    <t>MUNWASTE</t>
  </si>
  <si>
    <t>BSL</t>
  </si>
  <si>
    <t>COABCO</t>
  </si>
  <si>
    <t>PEAT,BKB,Brsub</t>
  </si>
  <si>
    <t>COAHCO</t>
  </si>
  <si>
    <t>HARDCOAL,PATFUEL</t>
  </si>
  <si>
    <t>COAOVC</t>
  </si>
  <si>
    <t>OILPTC</t>
  </si>
  <si>
    <t>ELCNUC</t>
  </si>
  <si>
    <t>ELCHYD</t>
  </si>
  <si>
    <t>ELCGEO</t>
  </si>
  <si>
    <t>ELCSOL</t>
  </si>
  <si>
    <t>Adjusted elc output</t>
  </si>
  <si>
    <t>R-HET</t>
  </si>
  <si>
    <t>ELCTDL</t>
  </si>
  <si>
    <t>Original production</t>
  </si>
  <si>
    <t>Add-SUP</t>
  </si>
  <si>
    <t>ELCWIN</t>
  </si>
  <si>
    <t>\I: Total produced</t>
  </si>
  <si>
    <t>AuxYear</t>
  </si>
  <si>
    <t>Separate OPEC / NON OPEC (Yes or No)</t>
  </si>
  <si>
    <t>No</t>
  </si>
  <si>
    <t>Full region (no distinction between OPEC and Non OPEC)</t>
  </si>
  <si>
    <t>~FI_Comm</t>
  </si>
  <si>
    <t>CSet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</si>
  <si>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</si>
  <si>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</si>
  <si>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</si>
  <si>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</si>
  <si>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</si>
  <si>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</si>
  <si>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</si>
  <si>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</si>
  <si>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BIOADD</t>
  </si>
  <si>
    <t>Biofuel additive</t>
  </si>
  <si>
    <t>PJ</t>
  </si>
  <si>
    <t>BIOAGR</t>
  </si>
  <si>
    <t>Agricultural biomass</t>
  </si>
  <si>
    <t/>
  </si>
  <si>
    <t>Industrial wastes</t>
  </si>
  <si>
    <t>Municipal wastes</t>
  </si>
  <si>
    <t>FX</t>
  </si>
  <si>
    <t>Solid biomass (end-use)</t>
  </si>
  <si>
    <t>Charcoal</t>
  </si>
  <si>
    <t>BIOCRP</t>
  </si>
  <si>
    <t>Energy crop</t>
  </si>
  <si>
    <t>BIODST</t>
  </si>
  <si>
    <t>Biodistillate oil</t>
  </si>
  <si>
    <t>BIOFCR</t>
  </si>
  <si>
    <t>Food crops</t>
  </si>
  <si>
    <t>Biogas (landfill)</t>
  </si>
  <si>
    <t>BIOGLQ</t>
  </si>
  <si>
    <t>Gas-Liq Biofuels (end-use)</t>
  </si>
  <si>
    <t>BIOGSL</t>
  </si>
  <si>
    <t>Biogasoline</t>
  </si>
  <si>
    <t>BIOJTK</t>
  </si>
  <si>
    <t>Biojet kerosene</t>
  </si>
  <si>
    <t>Biofuels (liquids)</t>
  </si>
  <si>
    <t>BIOOTH</t>
  </si>
  <si>
    <t>Other biomass (municipal wastes, industrial wastes, liquid biomass, gs biomass, crops, agriculture and food processing)</t>
  </si>
  <si>
    <t>BIOPLT</t>
  </si>
  <si>
    <t>Bio-pellets</t>
  </si>
  <si>
    <t>BIORDF</t>
  </si>
  <si>
    <t>Refuse derived fuel</t>
  </si>
  <si>
    <t>BIOSLD</t>
  </si>
  <si>
    <t>Solid Biomass</t>
  </si>
  <si>
    <t>BIOSOD</t>
  </si>
  <si>
    <t>Biosod (grass)</t>
  </si>
  <si>
    <t>BIOSTR</t>
  </si>
  <si>
    <t>Bio-straw (AGR)</t>
  </si>
  <si>
    <t>BIOTRD</t>
  </si>
  <si>
    <t>Imported Solid Biomass</t>
  </si>
  <si>
    <t>BIOWOO</t>
  </si>
  <si>
    <t>Solid Biomass (wood)</t>
  </si>
  <si>
    <t>Brown coal</t>
  </si>
  <si>
    <t>COAGSC</t>
  </si>
  <si>
    <t>Gas coke</t>
  </si>
  <si>
    <t>Hard coal</t>
  </si>
  <si>
    <t>Coke oven coke</t>
  </si>
  <si>
    <t>Electricity (Centralized)</t>
  </si>
  <si>
    <t>DAYNITE</t>
  </si>
  <si>
    <t>ELC</t>
  </si>
  <si>
    <t>Blast furnace gas</t>
  </si>
  <si>
    <t>Coke oven gas</t>
  </si>
  <si>
    <t>Ethane</t>
  </si>
  <si>
    <t>Gas works gas</t>
  </si>
  <si>
    <t>GASLNG</t>
  </si>
  <si>
    <t>Liquified Nat gas</t>
  </si>
  <si>
    <t>Natural gas</t>
  </si>
  <si>
    <t>Oxygen steel furnace gas</t>
  </si>
  <si>
    <t>Refinery gas</t>
  </si>
  <si>
    <t>Geothermal energy</t>
  </si>
  <si>
    <t>HYD</t>
  </si>
  <si>
    <t>Hydro energy</t>
  </si>
  <si>
    <t>INDSTM</t>
  </si>
  <si>
    <t>Steam (IND)</t>
  </si>
  <si>
    <t>WEEKLY</t>
  </si>
  <si>
    <t>HTHEAT</t>
  </si>
  <si>
    <t>HETLD</t>
  </si>
  <si>
    <t>Heat long distance</t>
  </si>
  <si>
    <t>NUCURA</t>
  </si>
  <si>
    <t>Uranium</t>
  </si>
  <si>
    <t>OILADD</t>
  </si>
  <si>
    <t>Additive (MTBE, etc.)</t>
  </si>
  <si>
    <t>OILAVG</t>
  </si>
  <si>
    <t>Aviation gas</t>
  </si>
  <si>
    <t>Crude oil</t>
  </si>
  <si>
    <t>Distillates</t>
  </si>
  <si>
    <t>Gasoline</t>
  </si>
  <si>
    <t>Heavy fuel oil</t>
  </si>
  <si>
    <t>OILJTG</t>
  </si>
  <si>
    <t>Jet fuel gas</t>
  </si>
  <si>
    <t>OILJTK</t>
  </si>
  <si>
    <t>Jet kerosene</t>
  </si>
  <si>
    <t>Other kerosene</t>
  </si>
  <si>
    <t>Liquid petroleum gas</t>
  </si>
  <si>
    <t>Naphta</t>
  </si>
  <si>
    <t>Natural gas liquids</t>
  </si>
  <si>
    <t>Non spec oil</t>
  </si>
  <si>
    <t>Petroleum coke</t>
  </si>
  <si>
    <t>SOL</t>
  </si>
  <si>
    <t>Solar energy</t>
  </si>
  <si>
    <t>SYNETH</t>
  </si>
  <si>
    <t>Ethanol from crop</t>
  </si>
  <si>
    <t>SYNHY0</t>
  </si>
  <si>
    <t>Hydrogen before distribution</t>
  </si>
  <si>
    <t>SYNMET</t>
  </si>
  <si>
    <t>Methanol from natural gas</t>
  </si>
  <si>
    <t>TDL</t>
  </si>
  <si>
    <t>Tide energy</t>
  </si>
  <si>
    <t>Natural Gas (UPS) - Nopec</t>
  </si>
  <si>
    <t>Refined Pet Products-Gas (UPS) - Nopec</t>
  </si>
  <si>
    <t>Coal (UPS) - Nopec</t>
  </si>
  <si>
    <t>ANNUAL</t>
  </si>
  <si>
    <t>SUPELC</t>
  </si>
  <si>
    <t>Electricity (UPS) - Weekly</t>
  </si>
  <si>
    <t>UPNHET</t>
  </si>
  <si>
    <t>Heat (UPS) - Nopec</t>
  </si>
  <si>
    <t>SEASON</t>
  </si>
  <si>
    <t>LTHEAT</t>
  </si>
  <si>
    <t>Biofuels (UPS) - Nopec</t>
  </si>
  <si>
    <t>Refined Pet Products-Liq (UPS) - Nopec</t>
  </si>
  <si>
    <t>WAV</t>
  </si>
  <si>
    <t>Wave energy</t>
  </si>
  <si>
    <t>WIN</t>
  </si>
  <si>
    <t>Wind energy</t>
  </si>
  <si>
    <t>GANNAT</t>
  </si>
  <si>
    <t>ENV</t>
  </si>
  <si>
    <t>GHG</t>
  </si>
  <si>
    <t>GHG Emission</t>
  </si>
  <si>
    <t>Mt</t>
  </si>
  <si>
    <t>SNKELCCO2</t>
  </si>
  <si>
    <t>ELCCO2 for sinking</t>
  </si>
  <si>
    <t>kt</t>
  </si>
  <si>
    <t>AGRCH4N</t>
  </si>
  <si>
    <t>Agriculture Sector CH4</t>
  </si>
  <si>
    <t>t</t>
  </si>
  <si>
    <t>AGRCH4P</t>
  </si>
  <si>
    <t>CH4 (t CH4/PJ) - AGR</t>
  </si>
  <si>
    <t>AGRCO2N</t>
  </si>
  <si>
    <t>Agriculture Sector CO2</t>
  </si>
  <si>
    <t>AGRCO2P</t>
  </si>
  <si>
    <t>AGRN2ON</t>
  </si>
  <si>
    <t>Agriculture Sector N2O</t>
  </si>
  <si>
    <t>AGRN2OP</t>
  </si>
  <si>
    <t>N2O (t N2O/PJ) - AGR</t>
  </si>
  <si>
    <t>COMCH4N</t>
  </si>
  <si>
    <t>Commercial Sector CH4</t>
  </si>
  <si>
    <t>COMCO2N</t>
  </si>
  <si>
    <t>Commercial Sector CO2</t>
  </si>
  <si>
    <t>COMN2ON</t>
  </si>
  <si>
    <t>Commercial Sector N2O</t>
  </si>
  <si>
    <t>ELCCH4N</t>
  </si>
  <si>
    <t>Electricity sector CH4</t>
  </si>
  <si>
    <t>ELCCH4P</t>
  </si>
  <si>
    <t>Electricity sector CH4P</t>
  </si>
  <si>
    <t>ELCCO2N</t>
  </si>
  <si>
    <t>Electricity sector CO2</t>
  </si>
  <si>
    <t>ELCCO2P</t>
  </si>
  <si>
    <t>Electricity sector CO2P</t>
  </si>
  <si>
    <t>ELCN2ON</t>
  </si>
  <si>
    <t>Electricity sector N2O</t>
  </si>
  <si>
    <t>INDCH4N</t>
  </si>
  <si>
    <t>Industrial CH4</t>
  </si>
  <si>
    <t>INDCO2N</t>
  </si>
  <si>
    <t>Industrial CO2</t>
  </si>
  <si>
    <t>INDCO2P</t>
  </si>
  <si>
    <t>Industrial process CO2</t>
  </si>
  <si>
    <t>INDN2ON</t>
  </si>
  <si>
    <t>Industrial N2O</t>
  </si>
  <si>
    <t>INDN2OP</t>
  </si>
  <si>
    <t>N2O (t N2O/PJ) - process IND</t>
  </si>
  <si>
    <t>RESCH4N</t>
  </si>
  <si>
    <t>Residential Sector CH4</t>
  </si>
  <si>
    <t>RESCH4P</t>
  </si>
  <si>
    <t>CH4 (t CH4/PJ) - RES</t>
  </si>
  <si>
    <t>RESCO2N</t>
  </si>
  <si>
    <t>Residential Sector CO2</t>
  </si>
  <si>
    <t>RESCO2P</t>
  </si>
  <si>
    <t>RESN2ON</t>
  </si>
  <si>
    <t>Residential Sector N2O</t>
  </si>
  <si>
    <t>RESN2OP</t>
  </si>
  <si>
    <t>N2O (t N2O/PJ) - RES</t>
  </si>
  <si>
    <t>TRACH4N</t>
  </si>
  <si>
    <t>Transport CH4</t>
  </si>
  <si>
    <t>TRACO2N</t>
  </si>
  <si>
    <t>Transport CO2</t>
  </si>
  <si>
    <t>TRAN2ON</t>
  </si>
  <si>
    <t>Transport N2O</t>
  </si>
  <si>
    <t>UPNCH4N</t>
  </si>
  <si>
    <t>UPNCH4P</t>
  </si>
  <si>
    <t>UPNCO2N</t>
  </si>
  <si>
    <t>UPNCO2P</t>
  </si>
  <si>
    <t>UPNN2ON</t>
  </si>
  <si>
    <t>UPNN2OP</t>
  </si>
  <si>
    <t>TOTCH4</t>
  </si>
  <si>
    <t>Total CH4 Emission</t>
  </si>
  <si>
    <t>TOTCO2</t>
  </si>
  <si>
    <t>Total CO2 Emission</t>
  </si>
  <si>
    <t>TOTN2O</t>
  </si>
  <si>
    <t>Total N2O Emission</t>
  </si>
  <si>
    <t>NONCO2</t>
  </si>
  <si>
    <t>Non-CO2 GHG Emission</t>
  </si>
  <si>
    <t>NETSCO2</t>
  </si>
  <si>
    <t>Non ETS CO2</t>
  </si>
  <si>
    <t>ETSCO2</t>
  </si>
  <si>
    <t>ETS CO2</t>
  </si>
  <si>
    <t>LOSNGA</t>
  </si>
  <si>
    <t>Natural gas distribution losses</t>
  </si>
  <si>
    <t>Existing technologies for primary energy production and conversion</t>
  </si>
  <si>
    <t xml:space="preserve"> </t>
  </si>
  <si>
    <t>Production of ethanol from crop</t>
  </si>
  <si>
    <t>TechName</t>
  </si>
  <si>
    <t>TechDesc</t>
  </si>
  <si>
    <t>Comm-IN</t>
  </si>
  <si>
    <t>Comm-OUT</t>
  </si>
  <si>
    <t>Curr</t>
  </si>
  <si>
    <t>CAPUNIT</t>
  </si>
  <si>
    <t>Output</t>
  </si>
  <si>
    <t>AF</t>
  </si>
  <si>
    <t>LIFE</t>
  </si>
  <si>
    <t>INVCOST</t>
  </si>
  <si>
    <t>FIXOM</t>
  </si>
  <si>
    <t>VAROM</t>
  </si>
  <si>
    <t>UBIOETH00</t>
  </si>
  <si>
    <t>Prod of Ethanol from crop</t>
  </si>
  <si>
    <t>EUR00</t>
  </si>
  <si>
    <t>Regrouping biofuels and solid biomass</t>
  </si>
  <si>
    <t>CommGrp</t>
  </si>
  <si>
    <t>ACT_BND~UP~2030</t>
  </si>
  <si>
    <t>ACT_BND~UP~2050</t>
  </si>
  <si>
    <t>ACT_BND~UP~2100</t>
  </si>
  <si>
    <t>ACT_BND~UP~0</t>
  </si>
  <si>
    <t>UBIOBSL100</t>
  </si>
  <si>
    <t>Conversion of BIOSLD to BIOBSL</t>
  </si>
  <si>
    <t>UBIOBSL200</t>
  </si>
  <si>
    <t>Conversion of BIOCRP to BIOBSL</t>
  </si>
  <si>
    <t>UBIOBSL300</t>
  </si>
  <si>
    <t>Conversion of BIOWOO to BIOBSL</t>
  </si>
  <si>
    <t>UBIOBSL400</t>
  </si>
  <si>
    <t>Conversion of BIOSTR to BIOAGR</t>
  </si>
  <si>
    <t>UBIOBSL500</t>
  </si>
  <si>
    <t>Conversion of BIOCRP to BIOAGR</t>
  </si>
  <si>
    <t>UBIOBSL600</t>
  </si>
  <si>
    <t>Conversion of BIOBMU to BIOFCR</t>
  </si>
  <si>
    <t>UBIOBLQ100</t>
  </si>
  <si>
    <t>Conversion of BIOADD to BIOLIQ</t>
  </si>
  <si>
    <t>Liq Biofuels (end-use)</t>
  </si>
  <si>
    <t>UBIOBLQ200</t>
  </si>
  <si>
    <t>Conversion of BIOGAS to BIOGLQ</t>
  </si>
  <si>
    <t>Existing technologies for primary energy production</t>
  </si>
  <si>
    <t>Input~0</t>
  </si>
  <si>
    <t>AF~2050</t>
  </si>
  <si>
    <t>FIXOM~2050</t>
  </si>
  <si>
    <t>VAROM~2050</t>
  </si>
  <si>
    <t>UOGPIPN00</t>
  </si>
  <si>
    <t>Existing oil and gas pipelines - Nopec</t>
  </si>
  <si>
    <t>UOGLOSN00</t>
  </si>
  <si>
    <t>Existing gas distr. losses - Nopec</t>
  </si>
  <si>
    <t>PART III - OTHER</t>
  </si>
  <si>
    <t>INPUT</t>
  </si>
  <si>
    <t>OUTPUT</t>
  </si>
  <si>
    <t>INVCOST~2050</t>
  </si>
  <si>
    <t>RESID</t>
  </si>
  <si>
    <t>RESID~2050</t>
  </si>
  <si>
    <t>ENV_ACT</t>
  </si>
  <si>
    <t>UPRG2L100</t>
  </si>
  <si>
    <t>Gas to LNG</t>
  </si>
  <si>
    <t>EUR10</t>
  </si>
  <si>
    <t>UPRL2G100</t>
  </si>
  <si>
    <t>LNG to Gas</t>
  </si>
  <si>
    <t>Miscellaneous parameters</t>
  </si>
  <si>
    <t>Technologies to produce upstream sector fuels</t>
  </si>
  <si>
    <t>ACT_BND~UP</t>
  </si>
  <si>
    <t>Fuel Tech - Natural Gas Mix (UPS) - Nopec</t>
  </si>
  <si>
    <t>Fuel Tech - Natural Gas (UPS) - Nopec</t>
  </si>
  <si>
    <t>Fuel Tech - Hard coal (UPS) - Nopec</t>
  </si>
  <si>
    <t>Fuel Tech - Brown coal (UPS) - Nopec</t>
  </si>
  <si>
    <t>Fuel Tech - Refined Pet Products-Liq (UPS) - Nopec</t>
  </si>
  <si>
    <t>Fuel Tech - Refined Pet Products-Gas (UPS) - Nopec</t>
  </si>
  <si>
    <t>Fuel Tech - Biofuels (UPS) - Nopec</t>
  </si>
  <si>
    <t>FT-UPSELC0</t>
  </si>
  <si>
    <t>Fuel Tech - Electricity (UPS) - Nopec</t>
  </si>
  <si>
    <t>ELCE</t>
  </si>
  <si>
    <t>Electricity (UPS)</t>
  </si>
  <si>
    <t>FT-UPNSTM0</t>
  </si>
  <si>
    <t>Fuel Tech - Heat (UPS) - Nopec</t>
  </si>
  <si>
    <t>Load Tech - Electricity (UPS) - Nopec</t>
  </si>
  <si>
    <t>Electricity (UPS) - Flat</t>
  </si>
  <si>
    <t>UNHESTM00</t>
  </si>
  <si>
    <t xml:space="preserve">Load Tech - Convert UPNHET into UPNSTM </t>
  </si>
  <si>
    <t>Steam (UPS) - Flat</t>
  </si>
  <si>
    <t>Emission Static coefficients - NON OPEC</t>
  </si>
  <si>
    <t>Emissions on flows</t>
  </si>
  <si>
    <t>~FI_T: FLO_EMIS~FIM</t>
  </si>
  <si>
    <t>Commodity</t>
  </si>
  <si>
    <t>Former CH4</t>
  </si>
  <si>
    <t>Former N2O</t>
  </si>
  <si>
    <t>FT-UPNNGA0</t>
  </si>
  <si>
    <t>FT-UPNNGA1</t>
  </si>
  <si>
    <t>FT-UPNCOA1</t>
  </si>
  <si>
    <t>FT-UPNCOB1</t>
  </si>
  <si>
    <t>FT-UPNRPP0</t>
  </si>
  <si>
    <t>FT-UPNRPG0</t>
  </si>
  <si>
    <t xml:space="preserve">Sources : </t>
  </si>
  <si>
    <t>Trends in Canada's Greenhouse Gas Emissions ; 1990-1995. Environment Canada, 1997.</t>
  </si>
  <si>
    <t>Canada's Greenhouse Gas Emissions : Estimates for 1990. Environment Canada, 1992.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</si>
  <si>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</si>
  <si>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</si>
  <si>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</si>
  <si>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</si>
  <si>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</si>
  <si>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</si>
  <si>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</si>
  <si>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</si>
  <si>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PJ_a</t>
  </si>
  <si>
    <t>NO</t>
  </si>
  <si>
    <t>HPL</t>
  </si>
  <si>
    <t>PRE</t>
  </si>
  <si>
    <t>FT-UPNREN0</t>
  </si>
  <si>
    <t>UPNELC000</t>
  </si>
  <si>
    <t>IMP</t>
  </si>
  <si>
    <t>IMPCOAFIM</t>
  </si>
  <si>
    <t>IRE(U)-COAOVC Import from FIN</t>
  </si>
  <si>
    <t>IMPOILFIM</t>
  </si>
  <si>
    <t>IRE(U)-OILPTC Import from FIN</t>
  </si>
  <si>
    <t>IMPGASFIM</t>
  </si>
  <si>
    <t>IRE(U)-GASNGA Import from FIN</t>
  </si>
  <si>
    <t>IMPBIOFIM</t>
  </si>
  <si>
    <t>IRE(U)-SYNMET Import from FIN</t>
  </si>
  <si>
    <t>IMPRENFIM</t>
  </si>
  <si>
    <t>IRE(U)-WIN Import from FIN</t>
  </si>
  <si>
    <t>IMPELCFIM</t>
  </si>
  <si>
    <t>IRE(U)-ELCC Import from FIN</t>
  </si>
  <si>
    <t>IMPHETFIM</t>
  </si>
  <si>
    <t>IRE(U)-HETLD Import from FIN</t>
  </si>
  <si>
    <t>CM_CO2GTC</t>
  </si>
  <si>
    <t>Other_Indexes</t>
  </si>
  <si>
    <t>IRE_PRICE~2010</t>
  </si>
  <si>
    <t>BYP-BGS</t>
  </si>
  <si>
    <t>BYP-WCH</t>
  </si>
  <si>
    <t>BYP-BLQ</t>
  </si>
  <si>
    <t>MINNRGBYP</t>
  </si>
  <si>
    <t>Supply of By-products</t>
  </si>
  <si>
    <t>MIN</t>
  </si>
  <si>
    <t>BaseYear</t>
  </si>
  <si>
    <t>Full region (no distinction)</t>
  </si>
  <si>
    <t>FINLAND</t>
  </si>
  <si>
    <t>PUMP</t>
  </si>
  <si>
    <t>WEU</t>
  </si>
  <si>
    <t>EEU</t>
  </si>
  <si>
    <t>ZZZ</t>
  </si>
  <si>
    <t>PART II - Not used</t>
  </si>
  <si>
    <t>OPEC</t>
  </si>
  <si>
    <t>NOPEC</t>
  </si>
  <si>
    <t>Regions</t>
  </si>
  <si>
    <t>ITEM</t>
  </si>
  <si>
    <t>Parameter</t>
  </si>
  <si>
    <t>Year</t>
  </si>
  <si>
    <t>Identifier</t>
  </si>
  <si>
    <t>UPRNCH200</t>
  </si>
  <si>
    <t>Vented gas (per PJ light production)</t>
  </si>
  <si>
    <t>Vented gas (per PJ heavy production)</t>
  </si>
  <si>
    <t>Vented gas (per PJ synth production)</t>
  </si>
  <si>
    <t>Gas recovered (PJ) / Light oil production (PJ)</t>
  </si>
  <si>
    <t>Nopec</t>
  </si>
  <si>
    <t>Gas recovered (PJ) / Heavy oil production (PJ)</t>
  </si>
  <si>
    <t>Gas recovered (PJ) / Synthetic oil production (PJ)</t>
  </si>
  <si>
    <t>Vented+Flared Gas</t>
  </si>
  <si>
    <t>Vented gas</t>
  </si>
  <si>
    <t>Reinjected gas</t>
  </si>
  <si>
    <t>Table 1 : Flaring, Venting, Recovering Gas</t>
  </si>
  <si>
    <t>Ton(CH4)/PJ production</t>
  </si>
  <si>
    <t>Minimun</t>
  </si>
  <si>
    <t>Regional data</t>
  </si>
  <si>
    <t>From UPS-CH4</t>
  </si>
  <si>
    <t>kt(CO2)/PJ</t>
  </si>
  <si>
    <t>Distr.loss</t>
  </si>
  <si>
    <t>LIGHT OIL</t>
  </si>
  <si>
    <t>Coal</t>
  </si>
  <si>
    <t>Oil</t>
  </si>
  <si>
    <t>Recovered gas (light oil production)</t>
  </si>
  <si>
    <t>Not recovered gas (light oil production)</t>
  </si>
  <si>
    <t>kt CH4</t>
  </si>
  <si>
    <t>NOR</t>
  </si>
  <si>
    <t>Vented gas (per PJ production)</t>
  </si>
  <si>
    <t>kt CH4/PJ</t>
  </si>
  <si>
    <t>kt CH4/PJ flared+vented</t>
  </si>
  <si>
    <t>Flared gas (per PJ production)</t>
  </si>
  <si>
    <t>kt CO2/PJ</t>
  </si>
  <si>
    <t>kt CO2/PJ flared+vented</t>
  </si>
  <si>
    <t>HEAVY OIL</t>
  </si>
  <si>
    <t>Recovered gas (heavy oil production)</t>
  </si>
  <si>
    <t>Not recovered gas (heavy oil production)</t>
  </si>
  <si>
    <t>Former value for vented gas (per PJ production)=(0.06+0.43)/2*1.4</t>
  </si>
  <si>
    <t>OIL SANDS and VERY HEAVY</t>
  </si>
  <si>
    <t>Recovered gas (oil sands)</t>
  </si>
  <si>
    <t>Not recovered gas (oil sands)</t>
  </si>
  <si>
    <t>ktCH4/PJ gas</t>
  </si>
  <si>
    <t>HVO biodiesel production</t>
  </si>
  <si>
    <t>Bioethanol</t>
  </si>
  <si>
    <t>From EnvCan</t>
  </si>
  <si>
    <t xml:space="preserve">Gas Prod. </t>
  </si>
  <si>
    <t>Natural gas processing</t>
  </si>
  <si>
    <t>NATURAL GAS</t>
  </si>
  <si>
    <t>NATURAL GAS - Former values</t>
  </si>
  <si>
    <t>Gas Pipelines</t>
  </si>
  <si>
    <t>billion cubic feet</t>
  </si>
  <si>
    <t>Gas Dist</t>
  </si>
  <si>
    <t>Total w/o Distribution</t>
  </si>
  <si>
    <t>From US-MARKAL</t>
  </si>
  <si>
    <t>Flared gas</t>
  </si>
  <si>
    <t>Domestic NG Production</t>
  </si>
  <si>
    <t>Vented gas (per PJ vented+flared gas)</t>
  </si>
  <si>
    <t>Domestic NG Processing, Transmission &amp; Storage</t>
  </si>
  <si>
    <t>Flared gas (per PJ vented+flared gas)</t>
  </si>
  <si>
    <t>Domestic NG Distribution</t>
  </si>
  <si>
    <t xml:space="preserve">Blast furnace gas </t>
  </si>
  <si>
    <t xml:space="preserve">Coke oven gas </t>
  </si>
  <si>
    <t xml:space="preserve">Gas works gas </t>
  </si>
  <si>
    <t xml:space="preserve">Natural gas (ground) </t>
  </si>
  <si>
    <t xml:space="preserve">Natural gas </t>
  </si>
  <si>
    <t xml:space="preserve">Oxygen steel furnace gas </t>
  </si>
  <si>
    <t xml:space="preserve">Refinery gas </t>
  </si>
  <si>
    <t xml:space="preserve">Natural Gas (UPS) </t>
  </si>
  <si>
    <t xml:space="preserve">Refined Pet Products-Gas (UPS) </t>
  </si>
  <si>
    <t xml:space="preserve">Ethane </t>
  </si>
  <si>
    <t>OILASP</t>
  </si>
  <si>
    <t>Asphalt</t>
  </si>
  <si>
    <t>OILFEE</t>
  </si>
  <si>
    <t>Refinery feedstock</t>
  </si>
  <si>
    <t>OILLUB</t>
  </si>
  <si>
    <t>Lubricants</t>
  </si>
  <si>
    <t>OILWAX</t>
  </si>
  <si>
    <t>Paraffin wax</t>
  </si>
  <si>
    <t>OILWSP</t>
  </si>
  <si>
    <t>White spirit</t>
  </si>
  <si>
    <t xml:space="preserve">Additive (MTBE, etc.) </t>
  </si>
  <si>
    <t xml:space="preserve">Asphalt </t>
  </si>
  <si>
    <t xml:space="preserve">Aviation gas </t>
  </si>
  <si>
    <t xml:space="preserve">Crude oil </t>
  </si>
  <si>
    <t xml:space="preserve">Crude oil - heavy </t>
  </si>
  <si>
    <t xml:space="preserve">Distillates </t>
  </si>
  <si>
    <t xml:space="preserve">Refinery feedstock </t>
  </si>
  <si>
    <t xml:space="preserve">Gasoline </t>
  </si>
  <si>
    <t>OINHEA</t>
  </si>
  <si>
    <t xml:space="preserve">Heavy oil (ground) </t>
  </si>
  <si>
    <t xml:space="preserve">Heavy fuel oil </t>
  </si>
  <si>
    <t xml:space="preserve">Jet fuel gas </t>
  </si>
  <si>
    <t xml:space="preserve">Jet kerosene </t>
  </si>
  <si>
    <t xml:space="preserve">Other kerosene </t>
  </si>
  <si>
    <t>OINLIG</t>
  </si>
  <si>
    <t xml:space="preserve">Light oil (ground) </t>
  </si>
  <si>
    <t xml:space="preserve">Liquid petroleum gas </t>
  </si>
  <si>
    <t xml:space="preserve">Lubricants </t>
  </si>
  <si>
    <t xml:space="preserve">Naphta </t>
  </si>
  <si>
    <t>Synthetic oil (from mined bitumen + liquefac) - No</t>
  </si>
  <si>
    <t xml:space="preserve">Natural gas liquids </t>
  </si>
  <si>
    <t xml:space="preserve">Non spec oil </t>
  </si>
  <si>
    <t>OINOBI</t>
  </si>
  <si>
    <t xml:space="preserve">Oil sands (in situ - ultra hvy) </t>
  </si>
  <si>
    <t>OINOSH</t>
  </si>
  <si>
    <t xml:space="preserve">Shale oil (ground) </t>
  </si>
  <si>
    <t xml:space="preserve">Petroleum coke </t>
  </si>
  <si>
    <t>OINSAN</t>
  </si>
  <si>
    <t xml:space="preserve">Oil sands (mined - synth) </t>
  </si>
  <si>
    <t xml:space="preserve">Shale oil </t>
  </si>
  <si>
    <t xml:space="preserve">Ultra heavy oil (from in-situ bitumen) </t>
  </si>
  <si>
    <t xml:space="preserve">Paraffin wax </t>
  </si>
  <si>
    <t xml:space="preserve">White spirit </t>
  </si>
  <si>
    <t xml:space="preserve">Crude oil (UPS) </t>
  </si>
  <si>
    <t xml:space="preserve">Refined Pet Products-Liq (UPS) </t>
  </si>
  <si>
    <t xml:space="preserve">Brown coal </t>
  </si>
  <si>
    <t>CONBRO</t>
  </si>
  <si>
    <t xml:space="preserve">Brown coal (ground) </t>
  </si>
  <si>
    <t xml:space="preserve">Gas coke </t>
  </si>
  <si>
    <t>CONHAR</t>
  </si>
  <si>
    <t xml:space="preserve">Hard coal (ground) </t>
  </si>
  <si>
    <t xml:space="preserve">Hard coal </t>
  </si>
  <si>
    <t xml:space="preserve">Coke oven coke </t>
  </si>
  <si>
    <t>Solid biomass (mixed)</t>
  </si>
  <si>
    <t>BIOFOR</t>
  </si>
  <si>
    <t>Forest residues</t>
  </si>
  <si>
    <t>BIOSBG</t>
  </si>
  <si>
    <t>Bagasse (AGR)</t>
  </si>
  <si>
    <t>Ethanol from other fuels</t>
  </si>
  <si>
    <t>SYNGAS</t>
  </si>
  <si>
    <t>Syngas substitutable natural gas (SNG)</t>
  </si>
  <si>
    <t xml:space="preserve">Coal (UPS) </t>
  </si>
  <si>
    <t xml:space="preserve">Biofuels (UPS) </t>
  </si>
  <si>
    <t>UPNFHT</t>
  </si>
  <si>
    <t>Heat Released in Flaring - non-OPEC</t>
  </si>
  <si>
    <t>UPNLOSS</t>
  </si>
  <si>
    <t xml:space="preserve">Total UPS Losses </t>
  </si>
  <si>
    <t xml:space="preserve">Heat (UPS) </t>
  </si>
  <si>
    <t xml:space="preserve">CH4 (t CH4/PJ) - UPS energy cons </t>
  </si>
  <si>
    <t xml:space="preserve">CH4 (t CH4/PJ) - UPS process </t>
  </si>
  <si>
    <t xml:space="preserve">CO2 (kt CO2/PJ) - UPS energy cons </t>
  </si>
  <si>
    <t xml:space="preserve">CO2 (kt CO2/PJ) - UPS process </t>
  </si>
  <si>
    <t xml:space="preserve">N2O (t N2O/PJ) - UPS energy cons </t>
  </si>
  <si>
    <t xml:space="preserve">N2O (t N2O/PJ) - UPS process </t>
  </si>
  <si>
    <t>UPNOIL01</t>
  </si>
  <si>
    <t xml:space="preserve">Dmy CH4 for option OIL01 (t CH4/PJ) </t>
  </si>
  <si>
    <t>UPNCOA01</t>
  </si>
  <si>
    <t xml:space="preserve">Dmy CH4 for option COA01 (t CH4/PJ) </t>
  </si>
  <si>
    <t>UPNGAS01</t>
  </si>
  <si>
    <t xml:space="preserve">Dmy CH4 for option GAS01 (t CH4/PJ) </t>
  </si>
  <si>
    <t>FIREWOOD</t>
  </si>
  <si>
    <t>Firewood balancer</t>
  </si>
  <si>
    <t>MAT</t>
  </si>
  <si>
    <t>BIOLOG</t>
  </si>
  <si>
    <t>Stemwood for energy</t>
  </si>
  <si>
    <t>UPXREFO</t>
  </si>
  <si>
    <t>Refinery output</t>
  </si>
  <si>
    <t>N</t>
  </si>
  <si>
    <t>UPNREFC</t>
  </si>
  <si>
    <t>Refinery Carbon</t>
  </si>
  <si>
    <t>Byproduct biogas</t>
  </si>
  <si>
    <t>Byproduct secondary wood</t>
  </si>
  <si>
    <t>Byproduct black liquor</t>
  </si>
  <si>
    <t>Non Renewable Primary Energy Sources</t>
  </si>
  <si>
    <t>CUM</t>
  </si>
  <si>
    <t>COST</t>
  </si>
  <si>
    <t>Located reserves and producing pools: the volume is the remaining resource volume in 2000</t>
  </si>
  <si>
    <t>MINCONBRO0</t>
  </si>
  <si>
    <t xml:space="preserve">Brown coal (ground) - Located reserves </t>
  </si>
  <si>
    <t>MINCONHAR0</t>
  </si>
  <si>
    <t xml:space="preserve">Hard coal (ground) - Located reserves </t>
  </si>
  <si>
    <t>New discovery</t>
  </si>
  <si>
    <t>MINCONBRO1</t>
  </si>
  <si>
    <t xml:space="preserve">Brown coal (ground) - New discovery </t>
  </si>
  <si>
    <t>MINCONHAR1</t>
  </si>
  <si>
    <t xml:space="preserve">Hard coal (ground) - New discovery </t>
  </si>
  <si>
    <t>Additives</t>
  </si>
  <si>
    <t>MINDMNADD0</t>
  </si>
  <si>
    <t xml:space="preserve">Additive (dummy)  - Reserves </t>
  </si>
  <si>
    <t xml:space="preserve">Additive (dummy) </t>
  </si>
  <si>
    <t>Uranium mining</t>
  </si>
  <si>
    <t>MINNUCURA1</t>
  </si>
  <si>
    <t>Uranium - Reserve step 1</t>
  </si>
  <si>
    <t>MINNUCURA2</t>
  </si>
  <si>
    <t>Uranium - Reserve step 2</t>
  </si>
  <si>
    <t>MINNUCURA3</t>
  </si>
  <si>
    <t>Uranium - Reserve step 3</t>
  </si>
  <si>
    <t>Many of the renewable carriers are being treated as Synthetic to allow full control and reporting</t>
  </si>
  <si>
    <t>Primary renewable sources</t>
  </si>
  <si>
    <t>~FI_T: FIN</t>
  </si>
  <si>
    <t>ACT_BND~UP~2010</t>
  </si>
  <si>
    <t>ACT_BND~LO~2010</t>
  </si>
  <si>
    <t>ACT_BND~LO~2017</t>
  </si>
  <si>
    <t>CF</t>
  </si>
  <si>
    <t>NCAP_COM</t>
  </si>
  <si>
    <t>MINHYD0</t>
  </si>
  <si>
    <t>Hydro potential</t>
  </si>
  <si>
    <t>MINGEO0</t>
  </si>
  <si>
    <t>Geothermal potential</t>
  </si>
  <si>
    <t>MINSOL0</t>
  </si>
  <si>
    <t>Solar potential</t>
  </si>
  <si>
    <t>MINTDL0</t>
  </si>
  <si>
    <t>Tide potential</t>
  </si>
  <si>
    <t>MINWAV0</t>
  </si>
  <si>
    <t>Wave potential</t>
  </si>
  <si>
    <t>MINWIN0</t>
  </si>
  <si>
    <t>Wind potential</t>
  </si>
  <si>
    <t>MINBIOFIW0</t>
  </si>
  <si>
    <t>Basic firewood potential</t>
  </si>
  <si>
    <t>Primary solid biomass (wood)</t>
  </si>
  <si>
    <t>MINBIOPCW0</t>
  </si>
  <si>
    <t>Recycled post-consumer wood</t>
  </si>
  <si>
    <t>MINBIOLCW0</t>
  </si>
  <si>
    <t>Landscape care wood</t>
  </si>
  <si>
    <t>MINBIOPFR1</t>
  </si>
  <si>
    <t>Primary forest residues from logging</t>
  </si>
  <si>
    <t>Forest residue</t>
  </si>
  <si>
    <t>IN</t>
  </si>
  <si>
    <t>MINBIOPFR2</t>
  </si>
  <si>
    <t>Primary forest residues from stumps</t>
  </si>
  <si>
    <t>MINBIOPFR3</t>
  </si>
  <si>
    <t>Primary forest residues from thinnings</t>
  </si>
  <si>
    <t>MINBIOSTR1</t>
  </si>
  <si>
    <t>Biomass from straw</t>
  </si>
  <si>
    <t>Primary solid biomass (straw)</t>
  </si>
  <si>
    <t>MINBIOSTR2</t>
  </si>
  <si>
    <t>MINBIOSBG0</t>
  </si>
  <si>
    <t>Biomass from bagasse</t>
  </si>
  <si>
    <t>Primary solid biomass (bagasse)</t>
  </si>
  <si>
    <t>MINBIOSOD0</t>
  </si>
  <si>
    <t>Biomass from sod grass</t>
  </si>
  <si>
    <t>Primary solid biomass (sod grass)</t>
  </si>
  <si>
    <t>MINBIOCRP1</t>
  </si>
  <si>
    <t>Biomass from energy crops</t>
  </si>
  <si>
    <t>Energy crops</t>
  </si>
  <si>
    <t>MINBIOCRP2</t>
  </si>
  <si>
    <t>MINBIOCRP3</t>
  </si>
  <si>
    <t>MINBIOCRP4</t>
  </si>
  <si>
    <t>MINBIOGAS0</t>
  </si>
  <si>
    <t>Biogas from other sources</t>
  </si>
  <si>
    <t>Biogas</t>
  </si>
  <si>
    <t>MINBIOBMU0</t>
  </si>
  <si>
    <t>MINBIOBIN0</t>
  </si>
  <si>
    <t>Wood secondary chips</t>
  </si>
  <si>
    <t>Black liquor</t>
  </si>
  <si>
    <t>BD</t>
  </si>
  <si>
    <t>LO</t>
  </si>
  <si>
    <t>UBIODST00</t>
  </si>
  <si>
    <t>Prod of BIODST from HVO</t>
  </si>
  <si>
    <t>UBIOBSL700</t>
  </si>
  <si>
    <t>Conversion of BIOSBG to BIOFCR</t>
  </si>
  <si>
    <t>FUEL TECHNOLOGIES -- Full region</t>
  </si>
  <si>
    <t>INPUT~2050</t>
  </si>
  <si>
    <t xml:space="preserve">Fuel Tech - Natural Gas Mix (UPS) </t>
  </si>
  <si>
    <t xml:space="preserve">Fuel Tech - Natural Gas (UPS) </t>
  </si>
  <si>
    <t>FT-UPNCOA0</t>
  </si>
  <si>
    <t xml:space="preserve">Fuel Tech - Coal Mix (UPS) </t>
  </si>
  <si>
    <t xml:space="preserve">Fuel Tech - Hard coal (UPS) </t>
  </si>
  <si>
    <t xml:space="preserve">Fuel Tech - Brown coal (UPS) </t>
  </si>
  <si>
    <t>FT-UPNCRD0</t>
  </si>
  <si>
    <t xml:space="preserve">Fuel Tech - Crude oil (UPS) </t>
  </si>
  <si>
    <t>FT-UPNCRD1</t>
  </si>
  <si>
    <t xml:space="preserve">Fuel Tech - Refined Pet Products-Liq (UPS) </t>
  </si>
  <si>
    <t xml:space="preserve">Fuel Tech - Refined Pet Products-Gas (UPS) </t>
  </si>
  <si>
    <t xml:space="preserve">Fuel Tech - Biofuels (UPS) </t>
  </si>
  <si>
    <t xml:space="preserve">Fuel Tech - Electricity (UPS) </t>
  </si>
  <si>
    <t xml:space="preserve">Fuel Tech - Heat (UPS) </t>
  </si>
  <si>
    <t xml:space="preserve">Load Tech - Electricity (UPS) </t>
  </si>
  <si>
    <t xml:space="preserve">Electricity (UPS) </t>
  </si>
  <si>
    <t xml:space="preserve">Steam (UPS) </t>
  </si>
  <si>
    <t>Ref.prod. Currency</t>
  </si>
  <si>
    <t xml:space="preserve">PART I - Full region </t>
  </si>
  <si>
    <t>Re-grouping OPEC and NON-OPEC commodities</t>
  </si>
  <si>
    <t>ACT_BND~2050~UP</t>
  </si>
  <si>
    <t>ACT_BND~0~UP</t>
  </si>
  <si>
    <t>ACT_BND~2100~UP</t>
  </si>
  <si>
    <t>UCRN_SHA00</t>
  </si>
  <si>
    <t xml:space="preserve">Mix OILSHA to OILCRD </t>
  </si>
  <si>
    <t>UNCOAHCO0</t>
  </si>
  <si>
    <t>Mix CONHCO to COAHCO</t>
  </si>
  <si>
    <t>UCRN_NCR00</t>
  </si>
  <si>
    <t xml:space="preserve">Mix OILNCR to OILCRD </t>
  </si>
  <si>
    <t>UNCOABCO0</t>
  </si>
  <si>
    <t>Mix CONBCO to COABCO</t>
  </si>
  <si>
    <t>UCRN_CRH00</t>
  </si>
  <si>
    <t xml:space="preserve">Mix OILCRH to OILCRD </t>
  </si>
  <si>
    <t>UNCOAOVC0</t>
  </si>
  <si>
    <t>Mix CONOVC to COAOVC</t>
  </si>
  <si>
    <t>UCRN_UHV00</t>
  </si>
  <si>
    <t xml:space="preserve">Mix OILUHV to OILCRD </t>
  </si>
  <si>
    <t>UNCOAGSC0</t>
  </si>
  <si>
    <t>Mix CONGSC to COAGSC</t>
  </si>
  <si>
    <t xml:space="preserve">Prod of Hardcoal  - Step 2 - Exist </t>
  </si>
  <si>
    <t>UNGASGWG0</t>
  </si>
  <si>
    <t>Mix GANGWG to GASGWG</t>
  </si>
  <si>
    <t>UNGASCOG0</t>
  </si>
  <si>
    <t>Mix GANCOG to GASCOG</t>
  </si>
  <si>
    <t>UNGASBFG0</t>
  </si>
  <si>
    <t>Mix GANBFG to GASBFG</t>
  </si>
  <si>
    <t>UNGASOXY0</t>
  </si>
  <si>
    <t>Mix GANOXY to GASOXY</t>
  </si>
  <si>
    <t>UNGASNGA0</t>
  </si>
  <si>
    <t>Mix GANNGA to GASNGA</t>
  </si>
  <si>
    <t>UNOILCRD0</t>
  </si>
  <si>
    <t>Mix OINCRD to OILCRD</t>
  </si>
  <si>
    <t>UPRNCH300</t>
  </si>
  <si>
    <t xml:space="preserve">Prod of Hardcoal  - Step 3 - Exist </t>
  </si>
  <si>
    <t>UNOILNGL0</t>
  </si>
  <si>
    <t>Mix OINNGL to OILNGL</t>
  </si>
  <si>
    <t>UNOILFEE0</t>
  </si>
  <si>
    <t>Mix OINFEE to OILFEE</t>
  </si>
  <si>
    <t>UNGASRFG0</t>
  </si>
  <si>
    <t>Mix GANRFG to GASRFG</t>
  </si>
  <si>
    <t>UNGASETH0</t>
  </si>
  <si>
    <t>Mix GANETH to GASETH</t>
  </si>
  <si>
    <t>UNOILLPG0</t>
  </si>
  <si>
    <t>Mix OINLPG to OILLPG</t>
  </si>
  <si>
    <t>UNOILGSL0</t>
  </si>
  <si>
    <t>Mix OINGSL to OILGSL</t>
  </si>
  <si>
    <t>UPRNCB200</t>
  </si>
  <si>
    <t xml:space="preserve">Prod of Browncoal - Step 2  - Exist </t>
  </si>
  <si>
    <t>UNOILAVG0</t>
  </si>
  <si>
    <t>Mix OINAVG to OILAVG</t>
  </si>
  <si>
    <t>UNOILJTG0</t>
  </si>
  <si>
    <t>Mix OINJTG to OILJTG</t>
  </si>
  <si>
    <t>UNOILJTK0</t>
  </si>
  <si>
    <t>Mix OINJTK to OILJTK</t>
  </si>
  <si>
    <t>UNOILKER0</t>
  </si>
  <si>
    <t>Mix OINKER to OILKER</t>
  </si>
  <si>
    <t>UNOILDST0</t>
  </si>
  <si>
    <t>Mix OINDST to OILDST</t>
  </si>
  <si>
    <t>UNOILHFO0</t>
  </si>
  <si>
    <t>Mix OINHFO to OILHFO</t>
  </si>
  <si>
    <t>UPRNADD00</t>
  </si>
  <si>
    <t xml:space="preserve">Prod of Additives - Exist </t>
  </si>
  <si>
    <t>UNOILNAP0</t>
  </si>
  <si>
    <t>Mix OINNAP to OILNAP</t>
  </si>
  <si>
    <t>UPRNBDD00</t>
  </si>
  <si>
    <t xml:space="preserve">Prod of Bioadditives - Exist </t>
  </si>
  <si>
    <t>UNOILWSP0</t>
  </si>
  <si>
    <t>Mix OINWSP to OILWSP</t>
  </si>
  <si>
    <t xml:space="preserve">Existing oil and gas pipelines </t>
  </si>
  <si>
    <t>UNOILLUB0</t>
  </si>
  <si>
    <t>Mix OINLUB to OILLUB</t>
  </si>
  <si>
    <t>UNOILASP0</t>
  </si>
  <si>
    <t>Mix OINASP to OILASP</t>
  </si>
  <si>
    <t xml:space="preserve">Existing gas distr. losses </t>
  </si>
  <si>
    <t>UNOILWAX0</t>
  </si>
  <si>
    <t>Mix OINWAX to OILWAX</t>
  </si>
  <si>
    <t>UNOILPTC0</t>
  </si>
  <si>
    <t>Mix OINPTC to OILPTC</t>
  </si>
  <si>
    <t>UNOILNSP0</t>
  </si>
  <si>
    <t>Mix OINNSP to OILNSP</t>
  </si>
  <si>
    <t>\I:FINAL ENERGY (output)</t>
  </si>
  <si>
    <t>\I:Mult.</t>
  </si>
  <si>
    <t>Note 1 : ENONSPEC (energy non specified) associated to TNONSPEC (transformation non spectified)</t>
  </si>
  <si>
    <t>Existing secondary transformation processes</t>
  </si>
  <si>
    <t xml:space="preserve">\I:FINAL ENERGY (input) </t>
  </si>
  <si>
    <t xml:space="preserve">\I:FINAL ENERGY (output) </t>
  </si>
  <si>
    <t>ACT_BND~LO~2050</t>
  </si>
  <si>
    <t>INPUT~0</t>
  </si>
  <si>
    <t>UTRNCKOV00</t>
  </si>
  <si>
    <t xml:space="preserve">TCOKEOVS- Pd coke and coke-oven-gas </t>
  </si>
  <si>
    <t>UTRNGWKS00</t>
  </si>
  <si>
    <t xml:space="preserve">TGASWKS- Prod of town gas </t>
  </si>
  <si>
    <t>UTRNBLSFU0</t>
  </si>
  <si>
    <t xml:space="preserve">BLASTFUR- Blast furnace </t>
  </si>
  <si>
    <t>UTRNPETC00</t>
  </si>
  <si>
    <t xml:space="preserve">PETCHEM- Petrochemicals/Refinery </t>
  </si>
  <si>
    <t>Refinery feedstock  - Distr los</t>
  </si>
  <si>
    <t>UTRNLIQU00</t>
  </si>
  <si>
    <t xml:space="preserve">LIQUEFAC,ELNG- Liquef processes </t>
  </si>
  <si>
    <t xml:space="preserve">Synthetic oil (from mined bitumen + liquefac) </t>
  </si>
  <si>
    <t xml:space="preserve">Additives </t>
  </si>
  <si>
    <t>UTRNCHRC00</t>
  </si>
  <si>
    <t xml:space="preserve">TCHARCOAL- Transfo charcoal </t>
  </si>
  <si>
    <t>UTRNNSPC00</t>
  </si>
  <si>
    <t xml:space="preserve">TNONSPEC - Transfo non spec </t>
  </si>
  <si>
    <t>Total refinery input</t>
  </si>
  <si>
    <t>(used for losses calculation)</t>
  </si>
  <si>
    <t>Total refinery output</t>
  </si>
  <si>
    <t>Products losses total</t>
  </si>
  <si>
    <t>Existing secondary transformation processes (Flexible Refinery)</t>
  </si>
  <si>
    <t>Share-O~LO</t>
  </si>
  <si>
    <t>Share~UP</t>
  </si>
  <si>
    <t>Input~2050</t>
  </si>
  <si>
    <t>ACT_BND~2050~LO</t>
  </si>
  <si>
    <t>ACT_BND~2090~LO</t>
  </si>
  <si>
    <t>RESID~2100</t>
  </si>
  <si>
    <t>UTRNREFX00</t>
  </si>
  <si>
    <t xml:space="preserve">Existing flexible refinery </t>
  </si>
  <si>
    <t>*</t>
  </si>
  <si>
    <t>HEAT production in refinery sector</t>
  </si>
  <si>
    <t>\I:Final energy</t>
  </si>
  <si>
    <t>\I:EFF</t>
  </si>
  <si>
    <t>\I:Service Demand</t>
  </si>
  <si>
    <t>\I: Eff. Multiplier</t>
  </si>
  <si>
    <t>\I: INPUT</t>
  </si>
  <si>
    <t>EFF</t>
  </si>
  <si>
    <t>EFF~2050</t>
  </si>
  <si>
    <t>EFF~2100</t>
  </si>
  <si>
    <t>AFA</t>
  </si>
  <si>
    <t>DELIV</t>
  </si>
  <si>
    <t>RESID~2020</t>
  </si>
  <si>
    <t>RESID~2030</t>
  </si>
  <si>
    <t>RESID~2040</t>
  </si>
  <si>
    <t>FLO_MARK~UP~0</t>
  </si>
  <si>
    <t>UHETNNGA00</t>
  </si>
  <si>
    <t xml:space="preserve">Cogen - Refinery sector - RPP </t>
  </si>
  <si>
    <t>UHETNRPP00</t>
  </si>
  <si>
    <t xml:space="preserve">Cogen - Refinery sector - RPG </t>
  </si>
  <si>
    <t>UHETNRPG00</t>
  </si>
  <si>
    <t xml:space="preserve">Cogen - Refinery sector - NGA </t>
  </si>
  <si>
    <t>UHETNCOA00</t>
  </si>
  <si>
    <t xml:space="preserve">Cogen - Refinery sector - COA </t>
  </si>
  <si>
    <t xml:space="preserve">\I: </t>
  </si>
  <si>
    <t>Dummy technologies to close the energy balance in 2010</t>
  </si>
  <si>
    <t>\I: Comm</t>
  </si>
  <si>
    <t>ACT_BND~2025~UP</t>
  </si>
  <si>
    <t>USTOCKCN00</t>
  </si>
  <si>
    <t>Stock changes - Exist - Nopec</t>
  </si>
  <si>
    <t>USTATDIN00</t>
  </si>
  <si>
    <t>Stat differences - Exist - Nopec</t>
  </si>
  <si>
    <t>UTRANSFN00</t>
  </si>
  <si>
    <t>Transfer - Exist - Nopec</t>
  </si>
  <si>
    <t>PART 0 - International trade (no differences)</t>
  </si>
  <si>
    <t>Endogenous trade (full region)</t>
  </si>
  <si>
    <t>Methanol (non-fossil)</t>
  </si>
  <si>
    <t>IMPELCCY</t>
  </si>
  <si>
    <t>Import of ELCC</t>
  </si>
  <si>
    <t>Electricity</t>
  </si>
  <si>
    <t>Coke oven coke - Nopec</t>
  </si>
  <si>
    <t>IMPCONBCOY</t>
  </si>
  <si>
    <t>Import of CONBCO</t>
  </si>
  <si>
    <t>Brown coal IMP</t>
  </si>
  <si>
    <t>Natural gas liquids - Nopec</t>
  </si>
  <si>
    <t>Bioliquid refining additives</t>
  </si>
  <si>
    <t>Emission Dynamic coefficients - NON OPEC</t>
  </si>
  <si>
    <t>~COMEMI</t>
  </si>
  <si>
    <t>Attribute</t>
  </si>
  <si>
    <t>Coke oven gas - Nopec</t>
  </si>
  <si>
    <t>FLO_MARK</t>
  </si>
  <si>
    <t>Blast furnace gas - Nopec</t>
  </si>
  <si>
    <t>FLO_EMIS</t>
  </si>
  <si>
    <t>Oxygen steel furnace gas - Nopec</t>
  </si>
  <si>
    <t>Crude oil - Nopec</t>
  </si>
  <si>
    <t xml:space="preserve">Stat differences - Exist </t>
  </si>
  <si>
    <t xml:space="preserve">Stock changes - Exist </t>
  </si>
  <si>
    <t xml:space="preserve">Transfer - Exist </t>
  </si>
  <si>
    <t xml:space="preserve">LIQUEFAC_ELNG- Liquef processes </t>
  </si>
  <si>
    <t xml:space="preserve">TNONSPEC_TCHARCOAL- Transfo non spec </t>
  </si>
  <si>
    <t xml:space="preserve">PETCHEM- Petrochemicals_Refinery </t>
  </si>
  <si>
    <t>IMPCONOVCY</t>
  </si>
  <si>
    <t>Import of CONOVC</t>
  </si>
  <si>
    <t>IMPOINNGLY</t>
  </si>
  <si>
    <t>Import of OINNGL</t>
  </si>
  <si>
    <t>IMPBIOCHRY</t>
  </si>
  <si>
    <t>Import of BIOCHR</t>
  </si>
  <si>
    <t>IMPBIOTRDY</t>
  </si>
  <si>
    <t>IRE(U)-BIOTRD Import from GLB</t>
  </si>
  <si>
    <t>IMPBIOADDY</t>
  </si>
  <si>
    <t>Import of BIOADD</t>
  </si>
  <si>
    <t>IMPOILFEEY</t>
  </si>
  <si>
    <t>Import of OINFEE</t>
  </si>
  <si>
    <t>IMPSYNMETY</t>
  </si>
  <si>
    <t>Import of SYNMET</t>
  </si>
  <si>
    <t>IMPSYNETHY</t>
  </si>
  <si>
    <t>IRE(U)-SYNETH Import from GLB</t>
  </si>
  <si>
    <t>IMP,EXP</t>
  </si>
  <si>
    <t>X-ELC-RUS-FIN</t>
  </si>
  <si>
    <t>IRE(U)-ELCE Import from CIS</t>
  </si>
  <si>
    <t>RESID~2025</t>
  </si>
</sst>
</file>

<file path=xl/styles.xml><?xml version="1.0" encoding="utf-8"?>
<styleSheet xmlns="http://schemas.openxmlformats.org/spreadsheetml/2006/main">
  <numFmts count="9">
    <numFmt numFmtId="187" formatCode="0.000"/>
    <numFmt numFmtId="188" formatCode="0.0000"/>
    <numFmt numFmtId="189" formatCode="0.00000"/>
    <numFmt numFmtId="190" formatCode="0.0"/>
    <numFmt numFmtId="191" formatCode="#,##0.000"/>
    <numFmt numFmtId="195" formatCode="0.00000E+00"/>
    <numFmt numFmtId="196" formatCode="0.0%"/>
    <numFmt numFmtId="200" formatCode="0.0000E+00"/>
    <numFmt numFmtId="201" formatCode="_([$€]* #,##0.00_);_([$€]* \(#,##0.00\);_([$€]* &quot;-&quot;??_);_(@_)"/>
  </numFmts>
  <fonts count="63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sz val="14"/>
      <color indexed="12"/>
      <name val="Arial"/>
      <family val="2"/>
    </font>
    <font>
      <sz val="14"/>
      <color indexed="9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sz val="8"/>
      <name val="Arial"/>
    </font>
    <font>
      <sz val="10"/>
      <color indexed="12"/>
      <name val="Arial"/>
    </font>
    <font>
      <sz val="8"/>
      <color indexed="9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sz val="9"/>
      <name val="Arial"/>
    </font>
    <font>
      <sz val="8"/>
      <color indexed="12"/>
      <name val="Arial"/>
      <family val="2"/>
    </font>
    <font>
      <b/>
      <sz val="14"/>
      <color indexed="9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name val="Arial"/>
    </font>
    <font>
      <b/>
      <sz val="8"/>
      <name val="Arial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Geneva"/>
    </font>
    <font>
      <sz val="10"/>
      <name val="Courier"/>
    </font>
    <font>
      <sz val="10"/>
      <name val="Courier"/>
      <family val="3"/>
    </font>
    <font>
      <sz val="10"/>
      <color indexed="8"/>
      <name val="MS Sans Serif"/>
      <family val="2"/>
    </font>
    <font>
      <sz val="12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8"/>
      <color indexed="81"/>
      <name val="Tahoma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3"/>
        <bgColor indexed="27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indexed="9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6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4" fontId="50" fillId="20" borderId="1">
      <alignment horizontal="right" vertical="center"/>
    </xf>
    <xf numFmtId="4" fontId="50" fillId="20" borderId="1">
      <alignment horizontal="right" vertical="center"/>
    </xf>
    <xf numFmtId="0" fontId="4" fillId="3" borderId="0" applyNumberFormat="0" applyBorder="0" applyAlignment="0" applyProtection="0"/>
    <xf numFmtId="0" fontId="5" fillId="21" borderId="2" applyNumberFormat="0" applyAlignment="0" applyProtection="0"/>
    <xf numFmtId="0" fontId="6" fillId="22" borderId="3" applyNumberFormat="0" applyAlignment="0" applyProtection="0"/>
    <xf numFmtId="0" fontId="51" fillId="0" borderId="4">
      <alignment horizontal="left" vertical="center" wrapText="1" indent="2"/>
    </xf>
    <xf numFmtId="201" fontId="2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4" fontId="51" fillId="0" borderId="0" applyBorder="0">
      <alignment horizontal="right" vertical="center"/>
    </xf>
    <xf numFmtId="0" fontId="13" fillId="0" borderId="8" applyNumberFormat="0" applyFill="0" applyAlignment="0" applyProtection="0"/>
    <xf numFmtId="0" fontId="14" fillId="23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" fillId="0" borderId="0"/>
    <xf numFmtId="0" fontId="21" fillId="0" borderId="0"/>
    <xf numFmtId="4" fontId="51" fillId="0" borderId="1" applyFill="0" applyBorder="0" applyProtection="0">
      <alignment horizontal="right" vertical="center"/>
    </xf>
    <xf numFmtId="0" fontId="52" fillId="0" borderId="0" applyNumberFormat="0" applyFill="0" applyBorder="0" applyProtection="0">
      <alignment horizontal="left" vertical="center"/>
    </xf>
    <xf numFmtId="0" fontId="21" fillId="24" borderId="0" applyNumberFormat="0" applyFont="0" applyBorder="0" applyAlignment="0" applyProtection="0"/>
    <xf numFmtId="0" fontId="53" fillId="0" borderId="0"/>
    <xf numFmtId="0" fontId="54" fillId="0" borderId="0"/>
    <xf numFmtId="0" fontId="55" fillId="0" borderId="0"/>
    <xf numFmtId="0" fontId="1" fillId="25" borderId="9" applyNumberFormat="0" applyFont="0" applyAlignment="0" applyProtection="0"/>
    <xf numFmtId="0" fontId="15" fillId="21" borderId="10" applyNumberFormat="0" applyAlignment="0" applyProtection="0"/>
    <xf numFmtId="9" fontId="1" fillId="0" borderId="0" applyFont="0" applyFill="0" applyBorder="0" applyAlignment="0" applyProtection="0"/>
    <xf numFmtId="0" fontId="56" fillId="0" borderId="0"/>
    <xf numFmtId="0" fontId="1" fillId="0" borderId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4" fontId="51" fillId="0" borderId="0"/>
  </cellStyleXfs>
  <cellXfs count="741">
    <xf numFmtId="0" fontId="0" fillId="0" borderId="0" xfId="0"/>
    <xf numFmtId="0" fontId="19" fillId="26" borderId="12" xfId="0" applyFont="1" applyFill="1" applyBorder="1" applyAlignment="1">
      <alignment horizontal="left"/>
    </xf>
    <xf numFmtId="0" fontId="19" fillId="27" borderId="13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wrapText="1"/>
    </xf>
    <xf numFmtId="0" fontId="0" fillId="20" borderId="0" xfId="0" applyFill="1" applyAlignment="1">
      <alignment horizontal="center"/>
    </xf>
    <xf numFmtId="11" fontId="0" fillId="20" borderId="0" xfId="0" applyNumberFormat="1" applyFill="1"/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0" fontId="0" fillId="0" borderId="0" xfId="0" applyFill="1" applyAlignment="1">
      <alignment horizontal="right"/>
    </xf>
    <xf numFmtId="0" fontId="19" fillId="28" borderId="14" xfId="0" applyFont="1" applyFill="1" applyBorder="1" applyAlignment="1">
      <alignment horizontal="left" wrapText="1"/>
    </xf>
    <xf numFmtId="0" fontId="20" fillId="27" borderId="15" xfId="0" applyFont="1" applyFill="1" applyBorder="1" applyAlignment="1">
      <alignment horizontal="left" wrapText="1"/>
    </xf>
    <xf numFmtId="0" fontId="20" fillId="0" borderId="0" xfId="0" applyFont="1"/>
    <xf numFmtId="0" fontId="2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wrapText="1"/>
    </xf>
    <xf numFmtId="0" fontId="20" fillId="0" borderId="0" xfId="0" applyFont="1" applyBorder="1"/>
    <xf numFmtId="0" fontId="23" fillId="0" borderId="0" xfId="0" applyFont="1" applyFill="1" applyBorder="1"/>
    <xf numFmtId="0" fontId="21" fillId="28" borderId="0" xfId="0" applyFont="1" applyFill="1" applyAlignment="1">
      <alignment horizontal="center"/>
    </xf>
    <xf numFmtId="0" fontId="24" fillId="29" borderId="0" xfId="0" applyFont="1" applyFill="1" applyBorder="1" applyAlignment="1" applyProtection="1"/>
    <xf numFmtId="190" fontId="24" fillId="29" borderId="0" xfId="0" applyNumberFormat="1" applyFont="1" applyFill="1" applyBorder="1" applyAlignment="1">
      <alignment horizontal="right"/>
    </xf>
    <xf numFmtId="0" fontId="24" fillId="29" borderId="0" xfId="0" applyFont="1" applyFill="1" applyBorder="1" applyAlignment="1">
      <alignment horizontal="right"/>
    </xf>
    <xf numFmtId="0" fontId="0" fillId="29" borderId="0" xfId="0" applyFill="1" applyBorder="1" applyAlignment="1">
      <alignment horizontal="right"/>
    </xf>
    <xf numFmtId="190" fontId="20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20" fillId="30" borderId="16" xfId="0" applyFont="1" applyFill="1" applyBorder="1" applyAlignment="1">
      <alignment horizontal="center" wrapText="1"/>
    </xf>
    <xf numFmtId="0" fontId="20" fillId="30" borderId="16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190" fontId="20" fillId="0" borderId="0" xfId="0" applyNumberFormat="1" applyFont="1" applyFill="1" applyBorder="1" applyAlignment="1">
      <alignment horizontal="right"/>
    </xf>
    <xf numFmtId="0" fontId="0" fillId="30" borderId="17" xfId="0" applyFill="1" applyBorder="1" applyAlignment="1">
      <alignment horizontal="center"/>
    </xf>
    <xf numFmtId="2" fontId="0" fillId="30" borderId="18" xfId="0" applyNumberFormat="1" applyFill="1" applyBorder="1" applyAlignment="1">
      <alignment horizontal="center"/>
    </xf>
    <xf numFmtId="0" fontId="0" fillId="30" borderId="19" xfId="0" applyFill="1" applyBorder="1" applyAlignment="1">
      <alignment horizontal="center"/>
    </xf>
    <xf numFmtId="0" fontId="20" fillId="30" borderId="0" xfId="0" applyFont="1" applyFill="1" applyBorder="1" applyAlignment="1">
      <alignment horizontal="left"/>
    </xf>
    <xf numFmtId="2" fontId="20" fillId="30" borderId="0" xfId="0" applyNumberFormat="1" applyFont="1" applyFill="1" applyBorder="1" applyAlignment="1">
      <alignment horizontal="right"/>
    </xf>
    <xf numFmtId="0" fontId="0" fillId="30" borderId="19" xfId="0" applyFill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0" applyFont="1" applyAlignment="1">
      <alignment horizontal="right"/>
    </xf>
    <xf numFmtId="190" fontId="20" fillId="29" borderId="0" xfId="0" applyNumberFormat="1" applyFont="1" applyFill="1" applyBorder="1" applyAlignment="1">
      <alignment horizontal="right"/>
    </xf>
    <xf numFmtId="0" fontId="0" fillId="29" borderId="0" xfId="0" applyFill="1" applyBorder="1"/>
    <xf numFmtId="0" fontId="21" fillId="0" borderId="0" xfId="0" applyFont="1" applyFill="1" applyAlignment="1">
      <alignment horizontal="right"/>
    </xf>
    <xf numFmtId="0" fontId="19" fillId="0" borderId="0" xfId="0" applyFont="1" applyFill="1" applyBorder="1"/>
    <xf numFmtId="0" fontId="20" fillId="0" borderId="0" xfId="0" applyFont="1" applyFill="1" applyBorder="1" applyAlignment="1" applyProtection="1"/>
    <xf numFmtId="187" fontId="20" fillId="30" borderId="0" xfId="0" applyNumberFormat="1" applyFont="1" applyFill="1" applyBorder="1" applyAlignment="1">
      <alignment horizontal="right"/>
    </xf>
    <xf numFmtId="190" fontId="20" fillId="30" borderId="0" xfId="0" applyNumberFormat="1" applyFont="1" applyFill="1" applyBorder="1" applyAlignment="1">
      <alignment horizontal="left"/>
    </xf>
    <xf numFmtId="190" fontId="20" fillId="30" borderId="0" xfId="0" applyNumberFormat="1" applyFont="1" applyFill="1" applyBorder="1" applyAlignment="1">
      <alignment horizontal="right"/>
    </xf>
    <xf numFmtId="2" fontId="20" fillId="0" borderId="0" xfId="0" applyNumberFormat="1" applyFont="1" applyFill="1" applyBorder="1" applyAlignment="1">
      <alignment horizontal="right"/>
    </xf>
    <xf numFmtId="187" fontId="20" fillId="27" borderId="0" xfId="0" applyNumberFormat="1" applyFont="1" applyFill="1" applyBorder="1" applyAlignment="1">
      <alignment horizontal="right"/>
    </xf>
    <xf numFmtId="0" fontId="20" fillId="30" borderId="20" xfId="0" applyFont="1" applyFill="1" applyBorder="1" applyAlignment="1">
      <alignment horizontal="left"/>
    </xf>
    <xf numFmtId="2" fontId="20" fillId="30" borderId="20" xfId="0" applyNumberFormat="1" applyFont="1" applyFill="1" applyBorder="1" applyAlignment="1">
      <alignment horizontal="right"/>
    </xf>
    <xf numFmtId="0" fontId="24" fillId="29" borderId="0" xfId="0" applyFont="1" applyFill="1" applyBorder="1"/>
    <xf numFmtId="0" fontId="0" fillId="0" borderId="0" xfId="0" applyFill="1" applyBorder="1" applyAlignment="1">
      <alignment horizontal="right"/>
    </xf>
    <xf numFmtId="190" fontId="0" fillId="0" borderId="0" xfId="0" applyNumberFormat="1" applyBorder="1" applyAlignment="1">
      <alignment horizontal="right"/>
    </xf>
    <xf numFmtId="0" fontId="20" fillId="30" borderId="16" xfId="0" applyFont="1" applyFill="1" applyBorder="1" applyAlignment="1" applyProtection="1">
      <alignment horizontal="right" wrapText="1"/>
    </xf>
    <xf numFmtId="0" fontId="20" fillId="0" borderId="0" xfId="0" applyFont="1" applyBorder="1" applyAlignment="1">
      <alignment horizontal="right"/>
    </xf>
    <xf numFmtId="190" fontId="20" fillId="30" borderId="20" xfId="0" applyNumberFormat="1" applyFont="1" applyFill="1" applyBorder="1" applyAlignment="1">
      <alignment horizontal="right"/>
    </xf>
    <xf numFmtId="190" fontId="20" fillId="27" borderId="0" xfId="0" applyNumberFormat="1" applyFont="1" applyFill="1" applyBorder="1" applyAlignment="1">
      <alignment horizontal="right"/>
    </xf>
    <xf numFmtId="190" fontId="0" fillId="0" borderId="0" xfId="0" applyNumberForma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24" fillId="29" borderId="0" xfId="0" applyFont="1" applyFill="1" applyBorder="1" applyAlignment="1">
      <alignment horizontal="left"/>
    </xf>
    <xf numFmtId="0" fontId="0" fillId="0" borderId="0" xfId="0" applyBorder="1" applyAlignment="1">
      <alignment horizontal="right"/>
    </xf>
    <xf numFmtId="0" fontId="20" fillId="30" borderId="16" xfId="0" applyFont="1" applyFill="1" applyBorder="1" applyAlignment="1">
      <alignment horizontal="left" wrapText="1"/>
    </xf>
    <xf numFmtId="190" fontId="20" fillId="30" borderId="16" xfId="0" applyNumberFormat="1" applyFont="1" applyFill="1" applyBorder="1" applyAlignment="1">
      <alignment horizontal="right" wrapText="1"/>
    </xf>
    <xf numFmtId="190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25" fillId="0" borderId="0" xfId="0" applyFont="1" applyBorder="1"/>
    <xf numFmtId="190" fontId="24" fillId="29" borderId="0" xfId="0" applyNumberFormat="1" applyFont="1" applyFill="1" applyBorder="1" applyAlignment="1">
      <alignment horizontal="left"/>
    </xf>
    <xf numFmtId="190" fontId="0" fillId="29" borderId="0" xfId="0" applyNumberFormat="1" applyFill="1" applyBorder="1" applyAlignment="1">
      <alignment horizontal="right"/>
    </xf>
    <xf numFmtId="0" fontId="20" fillId="0" borderId="0" xfId="0" applyFont="1" applyBorder="1" applyAlignment="1">
      <alignment wrapText="1"/>
    </xf>
    <xf numFmtId="190" fontId="20" fillId="27" borderId="20" xfId="0" applyNumberFormat="1" applyFont="1" applyFill="1" applyBorder="1" applyAlignment="1">
      <alignment horizontal="right"/>
    </xf>
    <xf numFmtId="0" fontId="20" fillId="27" borderId="20" xfId="0" applyFont="1" applyFill="1" applyBorder="1" applyAlignment="1">
      <alignment horizontal="right"/>
    </xf>
    <xf numFmtId="0" fontId="20" fillId="0" borderId="0" xfId="0" applyFont="1" applyBorder="1" applyAlignment="1">
      <alignment horizontal="right" wrapText="1"/>
    </xf>
    <xf numFmtId="0" fontId="20" fillId="30" borderId="21" xfId="0" applyFont="1" applyFill="1" applyBorder="1" applyAlignment="1">
      <alignment horizontal="left"/>
    </xf>
    <xf numFmtId="190" fontId="20" fillId="27" borderId="21" xfId="0" applyNumberFormat="1" applyFont="1" applyFill="1" applyBorder="1" applyAlignment="1">
      <alignment horizontal="right"/>
    </xf>
    <xf numFmtId="190" fontId="20" fillId="30" borderId="21" xfId="0" applyNumberFormat="1" applyFont="1" applyFill="1" applyBorder="1" applyAlignment="1">
      <alignment horizontal="right"/>
    </xf>
    <xf numFmtId="0" fontId="20" fillId="27" borderId="21" xfId="0" applyFont="1" applyFill="1" applyBorder="1" applyAlignment="1">
      <alignment horizontal="right"/>
    </xf>
    <xf numFmtId="0" fontId="0" fillId="30" borderId="22" xfId="0" applyFill="1" applyBorder="1" applyAlignment="1">
      <alignment horizontal="right"/>
    </xf>
    <xf numFmtId="0" fontId="0" fillId="30" borderId="23" xfId="0" applyFill="1" applyBorder="1" applyAlignment="1">
      <alignment horizontal="right"/>
    </xf>
    <xf numFmtId="0" fontId="0" fillId="30" borderId="24" xfId="0" applyFill="1" applyBorder="1" applyAlignment="1">
      <alignment horizontal="right"/>
    </xf>
    <xf numFmtId="2" fontId="0" fillId="30" borderId="25" xfId="0" applyNumberFormat="1" applyFill="1" applyBorder="1" applyAlignment="1">
      <alignment horizontal="right"/>
    </xf>
    <xf numFmtId="0" fontId="20" fillId="30" borderId="0" xfId="0" applyFont="1" applyFill="1" applyBorder="1" applyAlignment="1">
      <alignment horizontal="right"/>
    </xf>
    <xf numFmtId="2" fontId="20" fillId="27" borderId="0" xfId="0" applyNumberFormat="1" applyFont="1" applyFill="1" applyBorder="1" applyAlignment="1">
      <alignment horizontal="right"/>
    </xf>
    <xf numFmtId="0" fontId="0" fillId="30" borderId="17" xfId="0" applyFill="1" applyBorder="1" applyAlignment="1">
      <alignment horizontal="right"/>
    </xf>
    <xf numFmtId="2" fontId="0" fillId="30" borderId="18" xfId="0" applyNumberFormat="1" applyFill="1" applyBorder="1" applyAlignment="1">
      <alignment horizontal="right"/>
    </xf>
    <xf numFmtId="0" fontId="0" fillId="30" borderId="26" xfId="0" applyFill="1" applyBorder="1" applyAlignment="1">
      <alignment horizontal="right"/>
    </xf>
    <xf numFmtId="2" fontId="0" fillId="30" borderId="27" xfId="0" applyNumberFormat="1" applyFill="1" applyBorder="1" applyAlignment="1">
      <alignment horizontal="right"/>
    </xf>
    <xf numFmtId="0" fontId="26" fillId="30" borderId="22" xfId="0" applyFont="1" applyFill="1" applyBorder="1" applyAlignment="1">
      <alignment horizontal="right"/>
    </xf>
    <xf numFmtId="0" fontId="26" fillId="30" borderId="23" xfId="0" applyFont="1" applyFill="1" applyBorder="1" applyAlignment="1">
      <alignment horizontal="right"/>
    </xf>
    <xf numFmtId="0" fontId="20" fillId="30" borderId="20" xfId="0" applyFont="1" applyFill="1" applyBorder="1" applyAlignment="1">
      <alignment horizontal="right"/>
    </xf>
    <xf numFmtId="0" fontId="0" fillId="0" borderId="0" xfId="0" applyFill="1" applyBorder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/>
    <xf numFmtId="0" fontId="27" fillId="29" borderId="0" xfId="0" applyFont="1" applyFill="1" applyBorder="1"/>
    <xf numFmtId="0" fontId="28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25" fillId="30" borderId="20" xfId="0" applyFont="1" applyFill="1" applyBorder="1" applyAlignment="1" applyProtection="1">
      <alignment horizontal="center"/>
    </xf>
    <xf numFmtId="0" fontId="25" fillId="30" borderId="20" xfId="0" applyFont="1" applyFill="1" applyBorder="1" applyAlignment="1" applyProtection="1">
      <alignment horizontal="right" wrapText="1"/>
    </xf>
    <xf numFmtId="0" fontId="20" fillId="30" borderId="16" xfId="0" applyFont="1" applyFill="1" applyBorder="1"/>
    <xf numFmtId="0" fontId="20" fillId="30" borderId="16" xfId="0" applyFont="1" applyFill="1" applyBorder="1" applyAlignment="1" applyProtection="1">
      <alignment horizontal="center"/>
    </xf>
    <xf numFmtId="0" fontId="20" fillId="30" borderId="16" xfId="0" applyFont="1" applyFill="1" applyBorder="1" applyAlignment="1" applyProtection="1">
      <alignment horizontal="right"/>
    </xf>
    <xf numFmtId="0" fontId="20" fillId="30" borderId="16" xfId="0" quotePrefix="1" applyFont="1" applyFill="1" applyBorder="1" applyAlignment="1" applyProtection="1">
      <alignment horizontal="right"/>
    </xf>
    <xf numFmtId="0" fontId="20" fillId="30" borderId="16" xfId="0" applyFont="1" applyFill="1" applyBorder="1" applyAlignment="1">
      <alignment horizontal="right" wrapText="1"/>
    </xf>
    <xf numFmtId="190" fontId="20" fillId="20" borderId="0" xfId="0" applyNumberFormat="1" applyFont="1" applyFill="1" applyBorder="1"/>
    <xf numFmtId="190" fontId="20" fillId="20" borderId="0" xfId="0" applyNumberFormat="1" applyFont="1" applyFill="1" applyBorder="1" applyAlignment="1">
      <alignment horizontal="right"/>
    </xf>
    <xf numFmtId="0" fontId="25" fillId="30" borderId="0" xfId="0" applyFont="1" applyFill="1" applyBorder="1" applyAlignment="1">
      <alignment horizontal="right"/>
    </xf>
    <xf numFmtId="190" fontId="20" fillId="20" borderId="20" xfId="0" applyNumberFormat="1" applyFont="1" applyFill="1" applyBorder="1"/>
    <xf numFmtId="190" fontId="20" fillId="20" borderId="20" xfId="0" applyNumberFormat="1" applyFont="1" applyFill="1" applyBorder="1" applyAlignment="1">
      <alignment horizontal="right"/>
    </xf>
    <xf numFmtId="0" fontId="20" fillId="30" borderId="20" xfId="0" applyFont="1" applyFill="1" applyBorder="1"/>
    <xf numFmtId="0" fontId="20" fillId="30" borderId="0" xfId="0" applyFont="1" applyFill="1" applyBorder="1"/>
    <xf numFmtId="0" fontId="30" fillId="30" borderId="0" xfId="0" applyFont="1" applyFill="1" applyBorder="1"/>
    <xf numFmtId="190" fontId="30" fillId="20" borderId="0" xfId="0" applyNumberFormat="1" applyFont="1" applyFill="1" applyBorder="1"/>
    <xf numFmtId="190" fontId="30" fillId="20" borderId="0" xfId="0" applyNumberFormat="1" applyFont="1" applyFill="1" applyBorder="1" applyAlignment="1">
      <alignment horizontal="right"/>
    </xf>
    <xf numFmtId="190" fontId="31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 applyProtection="1">
      <alignment horizontal="left"/>
    </xf>
    <xf numFmtId="190" fontId="0" fillId="0" borderId="0" xfId="0" applyNumberFormat="1" applyBorder="1"/>
    <xf numFmtId="0" fontId="24" fillId="29" borderId="0" xfId="0" applyFont="1" applyFill="1" applyBorder="1" applyAlignment="1" applyProtection="1">
      <alignment horizontal="left"/>
    </xf>
    <xf numFmtId="190" fontId="24" fillId="29" borderId="0" xfId="0" applyNumberFormat="1" applyFont="1" applyFill="1" applyBorder="1"/>
    <xf numFmtId="187" fontId="0" fillId="0" borderId="0" xfId="0" applyNumberFormat="1" applyBorder="1" applyAlignment="1">
      <alignment horizontal="right"/>
    </xf>
    <xf numFmtId="190" fontId="0" fillId="0" borderId="0" xfId="0" applyNumberFormat="1" applyBorder="1" applyAlignment="1"/>
    <xf numFmtId="190" fontId="25" fillId="0" borderId="0" xfId="0" applyNumberFormat="1" applyFont="1" applyBorder="1" applyAlignment="1">
      <alignment horizontal="left"/>
    </xf>
    <xf numFmtId="0" fontId="20" fillId="30" borderId="28" xfId="0" applyFont="1" applyFill="1" applyBorder="1" applyAlignment="1" applyProtection="1">
      <alignment horizontal="left"/>
    </xf>
    <xf numFmtId="0" fontId="20" fillId="30" borderId="28" xfId="0" applyFont="1" applyFill="1" applyBorder="1" applyAlignment="1" applyProtection="1">
      <alignment horizontal="center"/>
    </xf>
    <xf numFmtId="0" fontId="20" fillId="26" borderId="28" xfId="0" applyFont="1" applyFill="1" applyBorder="1" applyAlignment="1">
      <alignment horizontal="right"/>
    </xf>
    <xf numFmtId="0" fontId="21" fillId="30" borderId="28" xfId="0" applyFont="1" applyFill="1" applyBorder="1" applyAlignment="1">
      <alignment horizontal="right"/>
    </xf>
    <xf numFmtId="190" fontId="21" fillId="0" borderId="0" xfId="0" applyNumberFormat="1" applyFont="1" applyFill="1" applyBorder="1" applyAlignment="1">
      <alignment horizontal="right"/>
    </xf>
    <xf numFmtId="0" fontId="20" fillId="31" borderId="0" xfId="0" applyFont="1" applyFill="1" applyBorder="1" applyAlignment="1" applyProtection="1"/>
    <xf numFmtId="190" fontId="20" fillId="31" borderId="0" xfId="0" applyNumberFormat="1" applyFont="1" applyFill="1" applyBorder="1" applyAlignment="1">
      <alignment horizontal="right"/>
    </xf>
    <xf numFmtId="0" fontId="20" fillId="30" borderId="0" xfId="0" applyFont="1" applyFill="1" applyBorder="1" applyAlignment="1" applyProtection="1"/>
    <xf numFmtId="0" fontId="20" fillId="32" borderId="0" xfId="0" applyFont="1" applyFill="1" applyBorder="1" applyAlignment="1" applyProtection="1"/>
    <xf numFmtId="0" fontId="20" fillId="30" borderId="28" xfId="0" applyFont="1" applyFill="1" applyBorder="1" applyAlignment="1" applyProtection="1">
      <alignment horizontal="right" wrapText="1"/>
    </xf>
    <xf numFmtId="0" fontId="20" fillId="30" borderId="0" xfId="0" applyFont="1" applyFill="1" applyBorder="1" applyAlignment="1" applyProtection="1">
      <alignment horizontal="left"/>
    </xf>
    <xf numFmtId="0" fontId="19" fillId="30" borderId="0" xfId="0" applyFont="1" applyFill="1" applyBorder="1" applyAlignment="1" applyProtection="1">
      <alignment horizontal="center"/>
    </xf>
    <xf numFmtId="190" fontId="20" fillId="30" borderId="0" xfId="0" applyNumberFormat="1" applyFont="1" applyFill="1" applyBorder="1" applyAlignment="1" applyProtection="1">
      <alignment horizontal="right"/>
    </xf>
    <xf numFmtId="187" fontId="20" fillId="30" borderId="0" xfId="0" applyNumberFormat="1" applyFont="1" applyFill="1" applyBorder="1" applyAlignment="1" applyProtection="1">
      <alignment horizontal="right"/>
    </xf>
    <xf numFmtId="0" fontId="20" fillId="30" borderId="28" xfId="0" applyFont="1" applyFill="1" applyBorder="1" applyAlignment="1">
      <alignment horizontal="right"/>
    </xf>
    <xf numFmtId="190" fontId="20" fillId="30" borderId="28" xfId="0" applyNumberFormat="1" applyFont="1" applyFill="1" applyBorder="1" applyAlignment="1">
      <alignment horizontal="right"/>
    </xf>
    <xf numFmtId="190" fontId="20" fillId="30" borderId="0" xfId="0" applyNumberFormat="1" applyFont="1" applyFill="1" applyBorder="1"/>
    <xf numFmtId="0" fontId="20" fillId="31" borderId="0" xfId="0" applyFont="1" applyFill="1" applyBorder="1"/>
    <xf numFmtId="190" fontId="20" fillId="31" borderId="0" xfId="0" applyNumberFormat="1" applyFont="1" applyFill="1" applyBorder="1"/>
    <xf numFmtId="0" fontId="20" fillId="32" borderId="0" xfId="0" applyFont="1" applyFill="1" applyBorder="1"/>
    <xf numFmtId="190" fontId="20" fillId="32" borderId="0" xfId="0" applyNumberFormat="1" applyFont="1" applyFill="1" applyBorder="1"/>
    <xf numFmtId="190" fontId="20" fillId="0" borderId="0" xfId="0" applyNumberFormat="1" applyFont="1" applyBorder="1" applyAlignment="1">
      <alignment horizontal="right"/>
    </xf>
    <xf numFmtId="0" fontId="27" fillId="29" borderId="0" xfId="0" applyFont="1" applyFill="1" applyBorder="1" applyAlignment="1">
      <alignment horizontal="right"/>
    </xf>
    <xf numFmtId="0" fontId="20" fillId="30" borderId="29" xfId="0" applyFont="1" applyFill="1" applyBorder="1" applyAlignment="1">
      <alignment wrapText="1"/>
    </xf>
    <xf numFmtId="0" fontId="20" fillId="30" borderId="29" xfId="0" applyFont="1" applyFill="1" applyBorder="1" applyAlignment="1" applyProtection="1">
      <alignment horizontal="right" wrapText="1"/>
    </xf>
    <xf numFmtId="0" fontId="20" fillId="30" borderId="28" xfId="0" applyFont="1" applyFill="1" applyBorder="1" applyAlignment="1">
      <alignment horizontal="center"/>
    </xf>
    <xf numFmtId="190" fontId="0" fillId="20" borderId="0" xfId="0" applyNumberFormat="1" applyFill="1" applyBorder="1" applyAlignment="1">
      <alignment horizontal="right"/>
    </xf>
    <xf numFmtId="190" fontId="20" fillId="30" borderId="20" xfId="0" applyNumberFormat="1" applyFont="1" applyFill="1" applyBorder="1"/>
    <xf numFmtId="0" fontId="20" fillId="28" borderId="0" xfId="0" applyFont="1" applyFill="1" applyBorder="1"/>
    <xf numFmtId="190" fontId="20" fillId="28" borderId="0" xfId="0" applyNumberFormat="1" applyFont="1" applyFill="1" applyBorder="1"/>
    <xf numFmtId="190" fontId="20" fillId="28" borderId="0" xfId="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left"/>
    </xf>
    <xf numFmtId="190" fontId="20" fillId="0" borderId="0" xfId="0" applyNumberFormat="1" applyFont="1" applyFill="1" applyBorder="1" applyAlignment="1">
      <alignment horizontal="center"/>
    </xf>
    <xf numFmtId="0" fontId="24" fillId="29" borderId="0" xfId="0" applyNumberFormat="1" applyFont="1" applyFill="1" applyBorder="1" applyAlignment="1"/>
    <xf numFmtId="0" fontId="27" fillId="29" borderId="0" xfId="0" applyNumberFormat="1" applyFont="1" applyFill="1" applyBorder="1" applyAlignment="1"/>
    <xf numFmtId="0" fontId="32" fillId="29" borderId="0" xfId="0" applyNumberFormat="1" applyFont="1" applyFill="1" applyBorder="1" applyAlignment="1"/>
    <xf numFmtId="0" fontId="33" fillId="29" borderId="0" xfId="0" applyNumberFormat="1" applyFont="1" applyFill="1" applyBorder="1" applyAlignment="1"/>
    <xf numFmtId="0" fontId="0" fillId="30" borderId="29" xfId="0" applyFill="1" applyBorder="1"/>
    <xf numFmtId="9" fontId="33" fillId="30" borderId="29" xfId="0" applyNumberFormat="1" applyFont="1" applyFill="1" applyBorder="1" applyAlignment="1">
      <alignment horizontal="center"/>
    </xf>
    <xf numFmtId="0" fontId="33" fillId="30" borderId="29" xfId="0" applyNumberFormat="1" applyFont="1" applyFill="1" applyBorder="1" applyAlignment="1">
      <alignment horizontal="right"/>
    </xf>
    <xf numFmtId="0" fontId="34" fillId="30" borderId="0" xfId="0" applyNumberFormat="1" applyFont="1" applyFill="1" applyBorder="1" applyAlignment="1"/>
    <xf numFmtId="196" fontId="34" fillId="20" borderId="1" xfId="56" applyNumberFormat="1" applyFont="1" applyFill="1" applyBorder="1" applyAlignment="1"/>
    <xf numFmtId="0" fontId="34" fillId="0" borderId="0" xfId="0" applyNumberFormat="1" applyFont="1" applyFill="1" applyBorder="1" applyAlignment="1"/>
    <xf numFmtId="0" fontId="35" fillId="0" borderId="0" xfId="0" applyFont="1"/>
    <xf numFmtId="0" fontId="32" fillId="30" borderId="0" xfId="0" applyNumberFormat="1" applyFont="1" applyFill="1" applyBorder="1" applyAlignment="1"/>
    <xf numFmtId="0" fontId="29" fillId="30" borderId="0" xfId="0" applyNumberFormat="1" applyFont="1" applyFill="1" applyBorder="1" applyAlignment="1"/>
    <xf numFmtId="0" fontId="25" fillId="30" borderId="0" xfId="0" applyNumberFormat="1" applyFont="1" applyFill="1" applyBorder="1" applyAlignment="1">
      <alignment horizontal="right"/>
    </xf>
    <xf numFmtId="0" fontId="25" fillId="30" borderId="0" xfId="0" applyNumberFormat="1" applyFont="1" applyFill="1" applyBorder="1" applyAlignment="1"/>
    <xf numFmtId="0" fontId="32" fillId="30" borderId="28" xfId="0" applyNumberFormat="1" applyFont="1" applyFill="1" applyBorder="1" applyAlignment="1"/>
    <xf numFmtId="0" fontId="33" fillId="30" borderId="28" xfId="0" applyNumberFormat="1" applyFont="1" applyFill="1" applyBorder="1" applyAlignment="1">
      <alignment horizontal="center" vertical="center"/>
    </xf>
    <xf numFmtId="0" fontId="33" fillId="30" borderId="28" xfId="0" applyNumberFormat="1" applyFont="1" applyFill="1" applyBorder="1" applyAlignment="1">
      <alignment horizontal="right" vertical="center" wrapText="1"/>
    </xf>
    <xf numFmtId="0" fontId="34" fillId="30" borderId="16" xfId="0" applyNumberFormat="1" applyFont="1" applyFill="1" applyBorder="1" applyAlignment="1"/>
    <xf numFmtId="0" fontId="34" fillId="30" borderId="16" xfId="0" applyNumberFormat="1" applyFont="1" applyFill="1" applyBorder="1" applyAlignment="1">
      <alignment horizontal="right"/>
    </xf>
    <xf numFmtId="0" fontId="34" fillId="30" borderId="16" xfId="0" applyNumberFormat="1" applyFont="1" applyFill="1" applyBorder="1" applyAlignment="1">
      <alignment horizontal="left"/>
    </xf>
    <xf numFmtId="2" fontId="0" fillId="31" borderId="1" xfId="0" applyNumberFormat="1" applyFill="1" applyBorder="1"/>
    <xf numFmtId="0" fontId="33" fillId="26" borderId="0" xfId="0" applyNumberFormat="1" applyFont="1" applyFill="1" applyBorder="1" applyAlignment="1">
      <alignment horizontal="left"/>
    </xf>
    <xf numFmtId="0" fontId="33" fillId="30" borderId="0" xfId="0" applyNumberFormat="1" applyFont="1" applyFill="1" applyBorder="1" applyAlignment="1">
      <alignment horizontal="left"/>
    </xf>
    <xf numFmtId="2" fontId="33" fillId="20" borderId="0" xfId="0" applyNumberFormat="1" applyFont="1" applyFill="1" applyBorder="1" applyAlignment="1">
      <alignment horizontal="right"/>
    </xf>
    <xf numFmtId="2" fontId="33" fillId="20" borderId="0" xfId="0" applyNumberFormat="1" applyFont="1" applyFill="1" applyBorder="1" applyAlignment="1"/>
    <xf numFmtId="0" fontId="26" fillId="26" borderId="0" xfId="0" applyFont="1" applyFill="1" applyBorder="1" applyAlignment="1">
      <alignment horizontal="left"/>
    </xf>
    <xf numFmtId="2" fontId="33" fillId="28" borderId="0" xfId="0" applyNumberFormat="1" applyFont="1" applyFill="1" applyBorder="1" applyAlignment="1">
      <alignment horizontal="right"/>
    </xf>
    <xf numFmtId="2" fontId="0" fillId="20" borderId="0" xfId="0" applyNumberFormat="1" applyFill="1"/>
    <xf numFmtId="2" fontId="0" fillId="31" borderId="30" xfId="0" applyNumberFormat="1" applyFill="1" applyBorder="1"/>
    <xf numFmtId="1" fontId="0" fillId="20" borderId="31" xfId="0" applyNumberFormat="1" applyFill="1" applyBorder="1"/>
    <xf numFmtId="190" fontId="0" fillId="20" borderId="30" xfId="0" applyNumberFormat="1" applyFill="1" applyBorder="1"/>
    <xf numFmtId="0" fontId="20" fillId="26" borderId="0" xfId="0" applyFont="1" applyFill="1" applyBorder="1" applyAlignment="1">
      <alignment horizontal="left"/>
    </xf>
    <xf numFmtId="0" fontId="20" fillId="30" borderId="0" xfId="0" applyFont="1" applyFill="1" applyBorder="1" applyAlignment="1">
      <alignment horizontal="left" wrapText="1"/>
    </xf>
    <xf numFmtId="0" fontId="0" fillId="20" borderId="0" xfId="0" applyFill="1" applyBorder="1"/>
    <xf numFmtId="0" fontId="33" fillId="30" borderId="16" xfId="0" applyNumberFormat="1" applyFont="1" applyFill="1" applyBorder="1" applyAlignment="1">
      <alignment horizontal="right"/>
    </xf>
    <xf numFmtId="0" fontId="20" fillId="30" borderId="16" xfId="0" applyFont="1" applyFill="1" applyBorder="1" applyAlignment="1">
      <alignment horizontal="right"/>
    </xf>
    <xf numFmtId="0" fontId="33" fillId="26" borderId="20" xfId="0" applyNumberFormat="1" applyFont="1" applyFill="1" applyBorder="1" applyAlignment="1">
      <alignment horizontal="left"/>
    </xf>
    <xf numFmtId="0" fontId="33" fillId="30" borderId="20" xfId="0" applyNumberFormat="1" applyFont="1" applyFill="1" applyBorder="1" applyAlignment="1">
      <alignment horizontal="left"/>
    </xf>
    <xf numFmtId="2" fontId="33" fillId="20" borderId="20" xfId="0" applyNumberFormat="1" applyFont="1" applyFill="1" applyBorder="1" applyAlignment="1">
      <alignment horizontal="right"/>
    </xf>
    <xf numFmtId="2" fontId="33" fillId="20" borderId="20" xfId="0" applyNumberFormat="1" applyFont="1" applyFill="1" applyBorder="1" applyAlignment="1"/>
    <xf numFmtId="0" fontId="19" fillId="26" borderId="0" xfId="0" applyFont="1" applyFill="1" applyBorder="1" applyAlignment="1">
      <alignment horizontal="right"/>
    </xf>
    <xf numFmtId="2" fontId="33" fillId="30" borderId="0" xfId="0" applyNumberFormat="1" applyFont="1" applyFill="1" applyBorder="1" applyAlignment="1">
      <alignment horizontal="right"/>
    </xf>
    <xf numFmtId="0" fontId="20" fillId="27" borderId="0" xfId="0" applyFont="1" applyFill="1" applyBorder="1"/>
    <xf numFmtId="2" fontId="20" fillId="27" borderId="0" xfId="0" applyNumberFormat="1" applyFont="1" applyFill="1" applyBorder="1"/>
    <xf numFmtId="2" fontId="20" fillId="0" borderId="0" xfId="0" applyNumberFormat="1" applyFont="1" applyBorder="1"/>
    <xf numFmtId="187" fontId="20" fillId="0" borderId="0" xfId="0" applyNumberFormat="1" applyFont="1" applyFill="1" applyBorder="1"/>
    <xf numFmtId="2" fontId="0" fillId="0" borderId="0" xfId="0" applyNumberFormat="1"/>
    <xf numFmtId="190" fontId="0" fillId="0" borderId="0" xfId="0" applyNumberFormat="1"/>
    <xf numFmtId="190" fontId="0" fillId="20" borderId="16" xfId="0" applyNumberFormat="1" applyFill="1" applyBorder="1"/>
    <xf numFmtId="0" fontId="32" fillId="20" borderId="0" xfId="0" applyNumberFormat="1" applyFont="1" applyFill="1" applyBorder="1" applyAlignment="1"/>
    <xf numFmtId="187" fontId="32" fillId="20" borderId="0" xfId="0" applyNumberFormat="1" applyFont="1" applyFill="1" applyBorder="1" applyAlignment="1"/>
    <xf numFmtId="190" fontId="32" fillId="20" borderId="0" xfId="0" applyNumberFormat="1" applyFont="1" applyFill="1" applyBorder="1" applyAlignment="1"/>
    <xf numFmtId="0" fontId="0" fillId="20" borderId="0" xfId="0" applyFill="1"/>
    <xf numFmtId="2" fontId="33" fillId="26" borderId="0" xfId="0" applyNumberFormat="1" applyFont="1" applyFill="1" applyBorder="1" applyAlignment="1">
      <alignment horizontal="left"/>
    </xf>
    <xf numFmtId="0" fontId="33" fillId="26" borderId="0" xfId="0" applyNumberFormat="1" applyFont="1" applyFill="1" applyBorder="1" applyAlignment="1"/>
    <xf numFmtId="190" fontId="0" fillId="20" borderId="1" xfId="0" applyNumberFormat="1" applyFill="1" applyBorder="1"/>
    <xf numFmtId="0" fontId="33" fillId="26" borderId="20" xfId="0" applyNumberFormat="1" applyFont="1" applyFill="1" applyBorder="1" applyAlignment="1"/>
    <xf numFmtId="0" fontId="32" fillId="26" borderId="20" xfId="0" applyNumberFormat="1" applyFont="1" applyFill="1" applyBorder="1" applyAlignment="1"/>
    <xf numFmtId="0" fontId="20" fillId="27" borderId="1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9" fillId="0" borderId="20" xfId="0" applyFont="1" applyFill="1" applyBorder="1" applyAlignment="1">
      <alignment horizontal="left"/>
    </xf>
    <xf numFmtId="0" fontId="26" fillId="26" borderId="0" xfId="0" applyFont="1" applyFill="1"/>
    <xf numFmtId="0" fontId="0" fillId="32" borderId="0" xfId="0" applyFill="1"/>
    <xf numFmtId="0" fontId="0" fillId="32" borderId="0" xfId="0" applyFill="1" applyAlignment="1">
      <alignment horizontal="center"/>
    </xf>
    <xf numFmtId="0" fontId="0" fillId="28" borderId="0" xfId="0" applyFill="1"/>
    <xf numFmtId="0" fontId="39" fillId="32" borderId="0" xfId="0" applyFont="1" applyFill="1"/>
    <xf numFmtId="0" fontId="1" fillId="32" borderId="0" xfId="0" applyFont="1" applyFill="1"/>
    <xf numFmtId="0" fontId="1" fillId="32" borderId="0" xfId="0" applyFont="1" applyFill="1" applyBorder="1"/>
    <xf numFmtId="3" fontId="40" fillId="29" borderId="0" xfId="0" applyNumberFormat="1" applyFont="1" applyFill="1" applyBorder="1" applyAlignment="1">
      <alignment horizontal="left"/>
    </xf>
    <xf numFmtId="0" fontId="27" fillId="29" borderId="0" xfId="0" applyFont="1" applyFill="1" applyBorder="1" applyAlignment="1">
      <alignment horizontal="left"/>
    </xf>
    <xf numFmtId="0" fontId="27" fillId="29" borderId="0" xfId="0" applyFont="1" applyFill="1"/>
    <xf numFmtId="0" fontId="0" fillId="0" borderId="0" xfId="0" applyAlignment="1">
      <alignment horizontal="left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>
      <alignment horizontal="right"/>
    </xf>
    <xf numFmtId="0" fontId="20" fillId="0" borderId="0" xfId="0" applyFont="1" applyFill="1" applyBorder="1" applyAlignment="1">
      <alignment horizontal="left"/>
    </xf>
    <xf numFmtId="0" fontId="29" fillId="0" borderId="0" xfId="0" applyFont="1"/>
    <xf numFmtId="0" fontId="0" fillId="0" borderId="0" xfId="0" applyFill="1"/>
    <xf numFmtId="0" fontId="24" fillId="29" borderId="0" xfId="0" applyFont="1" applyFill="1" applyAlignment="1">
      <alignment horizontal="left"/>
    </xf>
    <xf numFmtId="0" fontId="40" fillId="29" borderId="0" xfId="0" applyFont="1" applyFill="1" applyBorder="1" applyAlignment="1">
      <alignment horizontal="left"/>
    </xf>
    <xf numFmtId="0" fontId="41" fillId="0" borderId="0" xfId="0" applyFont="1" applyFill="1"/>
    <xf numFmtId="0" fontId="20" fillId="30" borderId="16" xfId="0" applyFont="1" applyFill="1" applyBorder="1" applyAlignment="1">
      <alignment vertical="center" wrapText="1"/>
    </xf>
    <xf numFmtId="0" fontId="20" fillId="30" borderId="16" xfId="0" applyFont="1" applyFill="1" applyBorder="1" applyAlignment="1">
      <alignment horizontal="left" vertical="center" wrapText="1"/>
    </xf>
    <xf numFmtId="0" fontId="20" fillId="30" borderId="16" xfId="0" applyFont="1" applyFill="1" applyBorder="1" applyAlignment="1">
      <alignment horizontal="right" vertical="center" wrapText="1"/>
    </xf>
    <xf numFmtId="0" fontId="20" fillId="27" borderId="32" xfId="0" applyFont="1" applyFill="1" applyBorder="1" applyAlignment="1">
      <alignment horizontal="right" vertical="center" wrapText="1"/>
    </xf>
    <xf numFmtId="0" fontId="20" fillId="26" borderId="0" xfId="0" applyFont="1" applyFill="1" applyBorder="1"/>
    <xf numFmtId="2" fontId="20" fillId="30" borderId="0" xfId="0" applyNumberFormat="1" applyFont="1" applyFill="1" applyBorder="1" applyAlignment="1">
      <alignment horizontal="left"/>
    </xf>
    <xf numFmtId="0" fontId="20" fillId="27" borderId="0" xfId="0" applyFont="1" applyFill="1" applyBorder="1" applyAlignment="1">
      <alignment horizontal="right"/>
    </xf>
    <xf numFmtId="190" fontId="20" fillId="30" borderId="19" xfId="0" applyNumberFormat="1" applyFont="1" applyFill="1" applyBorder="1" applyAlignment="1">
      <alignment horizontal="right" vertical="center" wrapText="1"/>
    </xf>
    <xf numFmtId="0" fontId="20" fillId="30" borderId="19" xfId="0" applyFont="1" applyFill="1" applyBorder="1" applyAlignment="1">
      <alignment horizontal="right" vertical="center" wrapText="1"/>
    </xf>
    <xf numFmtId="2" fontId="20" fillId="30" borderId="20" xfId="0" applyNumberFormat="1" applyFont="1" applyFill="1" applyBorder="1" applyAlignment="1">
      <alignment horizontal="left"/>
    </xf>
    <xf numFmtId="2" fontId="20" fillId="26" borderId="20" xfId="0" applyNumberFormat="1" applyFont="1" applyFill="1" applyBorder="1" applyAlignment="1">
      <alignment horizontal="left"/>
    </xf>
    <xf numFmtId="188" fontId="20" fillId="30" borderId="20" xfId="0" applyNumberFormat="1" applyFont="1" applyFill="1" applyBorder="1" applyAlignment="1">
      <alignment horizontal="right"/>
    </xf>
    <xf numFmtId="0" fontId="20" fillId="30" borderId="33" xfId="0" applyFont="1" applyFill="1" applyBorder="1" applyAlignment="1">
      <alignment horizontal="right"/>
    </xf>
    <xf numFmtId="0" fontId="0" fillId="0" borderId="20" xfId="0" applyFill="1" applyBorder="1"/>
    <xf numFmtId="0" fontId="20" fillId="0" borderId="20" xfId="0" applyFont="1" applyBorder="1"/>
    <xf numFmtId="0" fontId="0" fillId="0" borderId="20" xfId="0" applyBorder="1"/>
    <xf numFmtId="0" fontId="20" fillId="0" borderId="0" xfId="0" applyFont="1" applyAlignment="1">
      <alignment horizontal="left"/>
    </xf>
    <xf numFmtId="0" fontId="35" fillId="30" borderId="16" xfId="0" applyFont="1" applyFill="1" applyBorder="1" applyAlignment="1">
      <alignment horizontal="center" vertical="center" wrapText="1"/>
    </xf>
    <xf numFmtId="0" fontId="35" fillId="30" borderId="34" xfId="0" applyFont="1" applyFill="1" applyBorder="1" applyAlignment="1">
      <alignment horizontal="right" vertical="center" wrapText="1"/>
    </xf>
    <xf numFmtId="0" fontId="35" fillId="30" borderId="16" xfId="0" applyFont="1" applyFill="1" applyBorder="1" applyAlignment="1">
      <alignment horizontal="right" vertical="center" wrapText="1"/>
    </xf>
    <xf numFmtId="0" fontId="35" fillId="26" borderId="0" xfId="0" applyFont="1" applyFill="1" applyBorder="1"/>
    <xf numFmtId="0" fontId="35" fillId="30" borderId="0" xfId="0" applyFont="1" applyFill="1" applyBorder="1"/>
    <xf numFmtId="2" fontId="35" fillId="30" borderId="0" xfId="0" applyNumberFormat="1" applyFont="1" applyFill="1" applyBorder="1" applyAlignment="1">
      <alignment horizontal="left"/>
    </xf>
    <xf numFmtId="0" fontId="35" fillId="30" borderId="0" xfId="0" applyFont="1" applyFill="1" applyBorder="1" applyAlignment="1">
      <alignment horizontal="right"/>
    </xf>
    <xf numFmtId="1" fontId="35" fillId="30" borderId="0" xfId="0" applyNumberFormat="1" applyFont="1" applyFill="1" applyBorder="1" applyAlignment="1"/>
    <xf numFmtId="1" fontId="20" fillId="30" borderId="0" xfId="0" applyNumberFormat="1" applyFont="1" applyFill="1" applyBorder="1" applyAlignment="1">
      <alignment horizontal="right"/>
    </xf>
    <xf numFmtId="0" fontId="35" fillId="27" borderId="0" xfId="0" applyFont="1" applyFill="1" applyBorder="1" applyAlignment="1">
      <alignment horizontal="right"/>
    </xf>
    <xf numFmtId="0" fontId="35" fillId="27" borderId="17" xfId="0" applyFont="1" applyFill="1" applyBorder="1" applyAlignment="1">
      <alignment horizontal="right"/>
    </xf>
    <xf numFmtId="0" fontId="35" fillId="30" borderId="20" xfId="0" applyFont="1" applyFill="1" applyBorder="1"/>
    <xf numFmtId="2" fontId="35" fillId="30" borderId="20" xfId="0" applyNumberFormat="1" applyFont="1" applyFill="1" applyBorder="1" applyAlignment="1">
      <alignment horizontal="left"/>
    </xf>
    <xf numFmtId="2" fontId="35" fillId="26" borderId="20" xfId="0" applyNumberFormat="1" applyFont="1" applyFill="1" applyBorder="1" applyAlignment="1">
      <alignment horizontal="left"/>
    </xf>
    <xf numFmtId="0" fontId="35" fillId="30" borderId="20" xfId="0" applyFont="1" applyFill="1" applyBorder="1" applyAlignment="1">
      <alignment horizontal="right"/>
    </xf>
    <xf numFmtId="1" fontId="35" fillId="30" borderId="20" xfId="0" applyNumberFormat="1" applyFont="1" applyFill="1" applyBorder="1" applyAlignment="1"/>
    <xf numFmtId="1" fontId="20" fillId="30" borderId="20" xfId="0" applyNumberFormat="1" applyFont="1" applyFill="1" applyBorder="1" applyAlignment="1">
      <alignment horizontal="right"/>
    </xf>
    <xf numFmtId="2" fontId="35" fillId="27" borderId="20" xfId="0" applyNumberFormat="1" applyFont="1" applyFill="1" applyBorder="1" applyAlignment="1">
      <alignment horizontal="right"/>
    </xf>
    <xf numFmtId="2" fontId="35" fillId="27" borderId="35" xfId="0" applyNumberFormat="1" applyFont="1" applyFill="1" applyBorder="1" applyAlignment="1">
      <alignment horizontal="right"/>
    </xf>
    <xf numFmtId="0" fontId="35" fillId="27" borderId="20" xfId="0" applyFont="1" applyFill="1" applyBorder="1" applyAlignment="1">
      <alignment horizontal="right"/>
    </xf>
    <xf numFmtId="0" fontId="35" fillId="27" borderId="35" xfId="0" applyFont="1" applyFill="1" applyBorder="1" applyAlignment="1">
      <alignment horizontal="right"/>
    </xf>
    <xf numFmtId="0" fontId="35" fillId="30" borderId="0" xfId="0" applyFont="1" applyFill="1" applyBorder="1" applyAlignment="1">
      <alignment horizontal="left" vertical="center" wrapText="1"/>
    </xf>
    <xf numFmtId="2" fontId="35" fillId="27" borderId="0" xfId="0" applyNumberFormat="1" applyFont="1" applyFill="1" applyBorder="1" applyAlignment="1">
      <alignment horizontal="right"/>
    </xf>
    <xf numFmtId="2" fontId="35" fillId="27" borderId="17" xfId="0" applyNumberFormat="1" applyFont="1" applyFill="1" applyBorder="1" applyAlignment="1">
      <alignment horizontal="right"/>
    </xf>
    <xf numFmtId="2" fontId="35" fillId="30" borderId="20" xfId="0" applyNumberFormat="1" applyFont="1" applyFill="1" applyBorder="1" applyAlignment="1">
      <alignment horizontal="right"/>
    </xf>
    <xf numFmtId="2" fontId="35" fillId="30" borderId="0" xfId="0" applyNumberFormat="1" applyFont="1" applyFill="1" applyBorder="1" applyAlignment="1">
      <alignment horizontal="right"/>
    </xf>
    <xf numFmtId="0" fontId="35" fillId="27" borderId="0" xfId="0" applyFont="1" applyFill="1" applyBorder="1" applyAlignment="1">
      <alignment horizontal="center"/>
    </xf>
    <xf numFmtId="0" fontId="35" fillId="27" borderId="17" xfId="0" applyFont="1" applyFill="1" applyBorder="1" applyAlignment="1">
      <alignment horizontal="center"/>
    </xf>
    <xf numFmtId="2" fontId="0" fillId="0" borderId="0" xfId="0" applyNumberFormat="1" applyBorder="1"/>
    <xf numFmtId="0" fontId="42" fillId="0" borderId="0" xfId="0" applyFont="1" applyFill="1" applyBorder="1" applyAlignment="1">
      <alignment horizontal="left"/>
    </xf>
    <xf numFmtId="0" fontId="20" fillId="30" borderId="34" xfId="0" applyFont="1" applyFill="1" applyBorder="1" applyAlignment="1">
      <alignment horizontal="right" vertical="center" wrapText="1"/>
    </xf>
    <xf numFmtId="0" fontId="0" fillId="30" borderId="0" xfId="0" applyFill="1" applyBorder="1" applyAlignment="1">
      <alignment horizontal="left"/>
    </xf>
    <xf numFmtId="0" fontId="43" fillId="27" borderId="0" xfId="0" applyFont="1" applyFill="1" applyBorder="1" applyAlignment="1">
      <alignment horizontal="left"/>
    </xf>
    <xf numFmtId="2" fontId="20" fillId="30" borderId="17" xfId="0" applyNumberFormat="1" applyFont="1" applyFill="1" applyBorder="1" applyAlignment="1">
      <alignment horizontal="right"/>
    </xf>
    <xf numFmtId="0" fontId="0" fillId="30" borderId="0" xfId="0" applyFill="1" applyBorder="1" applyAlignment="1">
      <alignment horizontal="right"/>
    </xf>
    <xf numFmtId="188" fontId="20" fillId="30" borderId="0" xfId="0" applyNumberFormat="1" applyFont="1" applyFill="1" applyBorder="1" applyAlignment="1">
      <alignment horizontal="right"/>
    </xf>
    <xf numFmtId="0" fontId="0" fillId="27" borderId="0" xfId="0" applyFill="1" applyBorder="1" applyAlignment="1">
      <alignment horizontal="right"/>
    </xf>
    <xf numFmtId="0" fontId="0" fillId="27" borderId="0" xfId="0" applyFill="1" applyBorder="1" applyAlignment="1">
      <alignment horizontal="left"/>
    </xf>
    <xf numFmtId="0" fontId="0" fillId="30" borderId="0" xfId="0" applyFill="1" applyBorder="1"/>
    <xf numFmtId="2" fontId="20" fillId="20" borderId="17" xfId="0" applyNumberFormat="1" applyFont="1" applyFill="1" applyBorder="1" applyAlignment="1">
      <alignment horizontal="right"/>
    </xf>
    <xf numFmtId="0" fontId="0" fillId="30" borderId="20" xfId="0" applyFill="1" applyBorder="1"/>
    <xf numFmtId="2" fontId="20" fillId="30" borderId="35" xfId="0" applyNumberFormat="1" applyFont="1" applyFill="1" applyBorder="1" applyAlignment="1">
      <alignment horizontal="right"/>
    </xf>
    <xf numFmtId="0" fontId="0" fillId="30" borderId="35" xfId="0" applyFill="1" applyBorder="1" applyAlignment="1">
      <alignment horizontal="right"/>
    </xf>
    <xf numFmtId="0" fontId="0" fillId="30" borderId="20" xfId="0" applyFill="1" applyBorder="1" applyAlignment="1">
      <alignment horizontal="right"/>
    </xf>
    <xf numFmtId="2" fontId="20" fillId="26" borderId="0" xfId="0" applyNumberFormat="1" applyFont="1" applyFill="1" applyBorder="1" applyAlignment="1">
      <alignment horizontal="left"/>
    </xf>
    <xf numFmtId="0" fontId="20" fillId="0" borderId="0" xfId="0" applyFont="1" applyFill="1"/>
    <xf numFmtId="0" fontId="20" fillId="33" borderId="36" xfId="0" applyFont="1" applyFill="1" applyBorder="1" applyAlignment="1">
      <alignment vertical="center" wrapText="1"/>
    </xf>
    <xf numFmtId="0" fontId="20" fillId="33" borderId="36" xfId="0" applyFont="1" applyFill="1" applyBorder="1" applyAlignment="1">
      <alignment horizontal="left" vertical="center" wrapText="1"/>
    </xf>
    <xf numFmtId="0" fontId="20" fillId="33" borderId="16" xfId="0" applyFont="1" applyFill="1" applyBorder="1" applyAlignment="1">
      <alignment horizontal="left" vertical="center" wrapText="1"/>
    </xf>
    <xf numFmtId="0" fontId="20" fillId="33" borderId="36" xfId="0" applyFont="1" applyFill="1" applyBorder="1" applyAlignment="1">
      <alignment horizontal="right" vertical="center" wrapText="1"/>
    </xf>
    <xf numFmtId="2" fontId="20" fillId="30" borderId="0" xfId="0" applyNumberFormat="1" applyFont="1" applyFill="1" applyBorder="1" applyAlignment="1">
      <alignment horizontal="center"/>
    </xf>
    <xf numFmtId="2" fontId="43" fillId="30" borderId="0" xfId="0" applyNumberFormat="1" applyFont="1" applyFill="1"/>
    <xf numFmtId="2" fontId="0" fillId="34" borderId="0" xfId="0" applyNumberFormat="1" applyFill="1"/>
    <xf numFmtId="0" fontId="20" fillId="34" borderId="0" xfId="0" applyFont="1" applyFill="1" applyBorder="1" applyAlignment="1">
      <alignment horizontal="right"/>
    </xf>
    <xf numFmtId="0" fontId="0" fillId="34" borderId="0" xfId="0" applyFill="1"/>
    <xf numFmtId="0" fontId="44" fillId="30" borderId="20" xfId="0" applyFont="1" applyFill="1" applyBorder="1"/>
    <xf numFmtId="0" fontId="20" fillId="30" borderId="20" xfId="0" applyFont="1" applyFill="1" applyBorder="1" applyAlignment="1">
      <alignment wrapText="1"/>
    </xf>
    <xf numFmtId="0" fontId="45" fillId="29" borderId="0" xfId="0" applyFont="1" applyFill="1" applyBorder="1" applyAlignment="1">
      <alignment horizontal="left"/>
    </xf>
    <xf numFmtId="0" fontId="0" fillId="29" borderId="0" xfId="0" applyFill="1"/>
    <xf numFmtId="0" fontId="38" fillId="0" borderId="0" xfId="0" applyFont="1"/>
    <xf numFmtId="0" fontId="41" fillId="0" borderId="0" xfId="0" applyFont="1"/>
    <xf numFmtId="0" fontId="46" fillId="30" borderId="16" xfId="0" applyFont="1" applyFill="1" applyBorder="1" applyAlignment="1"/>
    <xf numFmtId="0" fontId="46" fillId="30" borderId="16" xfId="0" applyFont="1" applyFill="1" applyBorder="1" applyAlignment="1">
      <alignment wrapText="1"/>
    </xf>
    <xf numFmtId="188" fontId="0" fillId="32" borderId="0" xfId="0" applyNumberFormat="1" applyFill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2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3" fontId="2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4" fillId="29" borderId="0" xfId="0" applyFont="1" applyFill="1"/>
    <xf numFmtId="0" fontId="40" fillId="29" borderId="0" xfId="0" applyFont="1" applyFill="1"/>
    <xf numFmtId="0" fontId="40" fillId="29" borderId="0" xfId="0" applyFont="1" applyFill="1" applyAlignment="1">
      <alignment horizontal="left"/>
    </xf>
    <xf numFmtId="0" fontId="20" fillId="30" borderId="16" xfId="0" applyFont="1" applyFill="1" applyBorder="1" applyAlignment="1">
      <alignment horizontal="left" vertical="center"/>
    </xf>
    <xf numFmtId="0" fontId="20" fillId="30" borderId="16" xfId="0" applyFont="1" applyFill="1" applyBorder="1" applyAlignment="1">
      <alignment horizontal="center" vertical="center" wrapText="1"/>
    </xf>
    <xf numFmtId="0" fontId="20" fillId="30" borderId="34" xfId="0" applyFont="1" applyFill="1" applyBorder="1" applyAlignment="1">
      <alignment horizontal="center" vertical="center" wrapText="1"/>
    </xf>
    <xf numFmtId="0" fontId="35" fillId="27" borderId="32" xfId="0" applyFont="1" applyFill="1" applyBorder="1" applyAlignment="1">
      <alignment horizontal="right" vertical="center" wrapText="1"/>
    </xf>
    <xf numFmtId="0" fontId="35" fillId="27" borderId="37" xfId="0" applyFont="1" applyFill="1" applyBorder="1" applyAlignment="1">
      <alignment horizontal="right" vertical="center" wrapText="1"/>
    </xf>
    <xf numFmtId="0" fontId="35" fillId="27" borderId="16" xfId="0" applyFont="1" applyFill="1" applyBorder="1" applyAlignment="1">
      <alignment horizontal="right" vertical="center" wrapText="1"/>
    </xf>
    <xf numFmtId="0" fontId="20" fillId="30" borderId="0" xfId="0" applyFont="1" applyFill="1"/>
    <xf numFmtId="0" fontId="20" fillId="30" borderId="0" xfId="0" applyFont="1" applyFill="1" applyBorder="1" applyAlignment="1"/>
    <xf numFmtId="1" fontId="20" fillId="30" borderId="0" xfId="0" applyNumberFormat="1" applyFont="1" applyFill="1" applyBorder="1" applyAlignment="1">
      <alignment horizontal="left"/>
    </xf>
    <xf numFmtId="0" fontId="20" fillId="30" borderId="0" xfId="0" applyFont="1" applyFill="1" applyBorder="1" applyAlignment="1" applyProtection="1">
      <alignment horizontal="center"/>
      <protection locked="0"/>
    </xf>
    <xf numFmtId="187" fontId="20" fillId="20" borderId="17" xfId="0" applyNumberFormat="1" applyFont="1" applyFill="1" applyBorder="1" applyAlignment="1">
      <alignment horizontal="right"/>
    </xf>
    <xf numFmtId="187" fontId="20" fillId="20" borderId="0" xfId="0" applyNumberFormat="1" applyFont="1" applyFill="1" applyBorder="1" applyAlignment="1">
      <alignment horizontal="right"/>
    </xf>
    <xf numFmtId="0" fontId="20" fillId="30" borderId="17" xfId="0" applyFont="1" applyFill="1" applyBorder="1" applyAlignment="1" applyProtection="1">
      <alignment horizontal="center"/>
      <protection locked="0"/>
    </xf>
    <xf numFmtId="0" fontId="20" fillId="30" borderId="20" xfId="0" applyFont="1" applyFill="1" applyBorder="1" applyAlignment="1"/>
    <xf numFmtId="1" fontId="20" fillId="30" borderId="20" xfId="0" applyNumberFormat="1" applyFont="1" applyFill="1" applyBorder="1" applyAlignment="1">
      <alignment horizontal="left" vertical="center"/>
    </xf>
    <xf numFmtId="0" fontId="20" fillId="30" borderId="20" xfId="0" applyFont="1" applyFill="1" applyBorder="1" applyAlignment="1" applyProtection="1">
      <alignment horizontal="center"/>
      <protection locked="0"/>
    </xf>
    <xf numFmtId="2" fontId="20" fillId="20" borderId="35" xfId="0" applyNumberFormat="1" applyFont="1" applyFill="1" applyBorder="1" applyAlignment="1">
      <alignment horizontal="right"/>
    </xf>
    <xf numFmtId="2" fontId="20" fillId="20" borderId="20" xfId="0" applyNumberFormat="1" applyFont="1" applyFill="1" applyBorder="1" applyAlignment="1">
      <alignment horizontal="right"/>
    </xf>
    <xf numFmtId="0" fontId="20" fillId="30" borderId="35" xfId="0" applyFont="1" applyFill="1" applyBorder="1" applyAlignment="1" applyProtection="1">
      <alignment horizontal="center"/>
      <protection locked="0"/>
    </xf>
    <xf numFmtId="0" fontId="20" fillId="30" borderId="0" xfId="0" applyFont="1" applyFill="1" applyBorder="1" applyAlignment="1">
      <alignment horizontal="left" vertical="center"/>
    </xf>
    <xf numFmtId="0" fontId="20" fillId="30" borderId="0" xfId="0" applyFont="1" applyFill="1" applyBorder="1" applyAlignment="1">
      <alignment horizontal="center"/>
    </xf>
    <xf numFmtId="0" fontId="20" fillId="30" borderId="17" xfId="0" applyFont="1" applyFill="1" applyBorder="1" applyAlignment="1">
      <alignment horizontal="center"/>
    </xf>
    <xf numFmtId="0" fontId="20" fillId="30" borderId="20" xfId="0" applyFont="1" applyFill="1" applyBorder="1" applyAlignment="1">
      <alignment horizontal="center"/>
    </xf>
    <xf numFmtId="0" fontId="20" fillId="20" borderId="35" xfId="0" applyFont="1" applyFill="1" applyBorder="1" applyAlignment="1">
      <alignment horizontal="right"/>
    </xf>
    <xf numFmtId="0" fontId="20" fillId="20" borderId="20" xfId="0" applyFont="1" applyFill="1" applyBorder="1" applyAlignment="1">
      <alignment horizontal="right"/>
    </xf>
    <xf numFmtId="0" fontId="20" fillId="30" borderId="35" xfId="0" applyFont="1" applyFill="1" applyBorder="1" applyAlignment="1">
      <alignment horizontal="center"/>
    </xf>
    <xf numFmtId="0" fontId="29" fillId="30" borderId="20" xfId="0" applyFont="1" applyFill="1" applyBorder="1"/>
    <xf numFmtId="0" fontId="35" fillId="30" borderId="0" xfId="0" applyFont="1" applyFill="1"/>
    <xf numFmtId="0" fontId="35" fillId="30" borderId="0" xfId="0" applyFont="1" applyFill="1" applyBorder="1" applyAlignment="1">
      <alignment horizontal="left"/>
    </xf>
    <xf numFmtId="0" fontId="35" fillId="26" borderId="0" xfId="0" applyFont="1" applyFill="1" applyBorder="1" applyAlignment="1">
      <alignment horizontal="left" vertical="center"/>
    </xf>
    <xf numFmtId="0" fontId="35" fillId="30" borderId="0" xfId="0" applyFont="1" applyFill="1" applyBorder="1" applyAlignment="1">
      <alignment horizontal="left" vertical="center"/>
    </xf>
    <xf numFmtId="0" fontId="35" fillId="30" borderId="0" xfId="0" applyFont="1" applyFill="1" applyBorder="1" applyAlignment="1">
      <alignment horizontal="center"/>
    </xf>
    <xf numFmtId="190" fontId="35" fillId="20" borderId="17" xfId="0" applyNumberFormat="1" applyFont="1" applyFill="1" applyBorder="1" applyAlignment="1">
      <alignment horizontal="right"/>
    </xf>
    <xf numFmtId="190" fontId="35" fillId="20" borderId="0" xfId="0" applyNumberFormat="1" applyFont="1" applyFill="1" applyBorder="1" applyAlignment="1">
      <alignment horizontal="right"/>
    </xf>
    <xf numFmtId="0" fontId="35" fillId="30" borderId="0" xfId="0" applyFont="1" applyFill="1" applyAlignment="1">
      <alignment horizontal="center"/>
    </xf>
    <xf numFmtId="0" fontId="35" fillId="27" borderId="19" xfId="0" applyFont="1" applyFill="1" applyBorder="1" applyAlignment="1">
      <alignment horizontal="right"/>
    </xf>
    <xf numFmtId="0" fontId="35" fillId="27" borderId="18" xfId="0" applyFont="1" applyFill="1" applyBorder="1" applyAlignment="1">
      <alignment horizontal="right"/>
    </xf>
    <xf numFmtId="0" fontId="35" fillId="30" borderId="0" xfId="0" applyFont="1" applyFill="1" applyBorder="1" applyAlignment="1"/>
    <xf numFmtId="187" fontId="35" fillId="20" borderId="17" xfId="0" applyNumberFormat="1" applyFont="1" applyFill="1" applyBorder="1" applyAlignment="1">
      <alignment horizontal="right"/>
    </xf>
    <xf numFmtId="187" fontId="35" fillId="20" borderId="0" xfId="0" applyNumberFormat="1" applyFont="1" applyFill="1" applyBorder="1" applyAlignment="1">
      <alignment horizontal="right"/>
    </xf>
    <xf numFmtId="2" fontId="35" fillId="27" borderId="19" xfId="0" applyNumberFormat="1" applyFont="1" applyFill="1" applyBorder="1" applyAlignment="1">
      <alignment horizontal="right"/>
    </xf>
    <xf numFmtId="2" fontId="35" fillId="27" borderId="18" xfId="0" applyNumberFormat="1" applyFont="1" applyFill="1" applyBorder="1" applyAlignment="1">
      <alignment horizontal="right"/>
    </xf>
    <xf numFmtId="0" fontId="35" fillId="30" borderId="20" xfId="0" applyFont="1" applyFill="1" applyBorder="1" applyAlignment="1"/>
    <xf numFmtId="0" fontId="35" fillId="30" borderId="20" xfId="0" applyFont="1" applyFill="1" applyBorder="1" applyAlignment="1">
      <alignment horizontal="left"/>
    </xf>
    <xf numFmtId="0" fontId="35" fillId="26" borderId="20" xfId="0" applyFont="1" applyFill="1" applyBorder="1" applyAlignment="1">
      <alignment horizontal="left" vertical="center"/>
    </xf>
    <xf numFmtId="0" fontId="35" fillId="30" borderId="20" xfId="0" applyFont="1" applyFill="1" applyBorder="1" applyAlignment="1">
      <alignment horizontal="left" vertical="center"/>
    </xf>
    <xf numFmtId="0" fontId="35" fillId="30" borderId="20" xfId="0" applyFont="1" applyFill="1" applyBorder="1" applyAlignment="1">
      <alignment horizontal="center"/>
    </xf>
    <xf numFmtId="0" fontId="35" fillId="20" borderId="35" xfId="0" applyFont="1" applyFill="1" applyBorder="1" applyAlignment="1">
      <alignment horizontal="right"/>
    </xf>
    <xf numFmtId="0" fontId="35" fillId="20" borderId="20" xfId="0" applyFont="1" applyFill="1" applyBorder="1" applyAlignment="1">
      <alignment horizontal="right"/>
    </xf>
    <xf numFmtId="0" fontId="35" fillId="30" borderId="17" xfId="0" applyFont="1" applyFill="1" applyBorder="1"/>
    <xf numFmtId="0" fontId="35" fillId="26" borderId="0" xfId="0" applyFont="1" applyFill="1"/>
    <xf numFmtId="0" fontId="35" fillId="30" borderId="0" xfId="0" applyFont="1" applyFill="1" applyAlignment="1"/>
    <xf numFmtId="0" fontId="35" fillId="26" borderId="0" xfId="0" applyFont="1" applyFill="1" applyAlignment="1"/>
    <xf numFmtId="0" fontId="35" fillId="30" borderId="0" xfId="0" applyFont="1" applyFill="1" applyAlignment="1">
      <alignment horizontal="left"/>
    </xf>
    <xf numFmtId="0" fontId="47" fillId="30" borderId="20" xfId="0" applyFont="1" applyFill="1" applyBorder="1" applyAlignment="1">
      <alignment horizontal="left"/>
    </xf>
    <xf numFmtId="187" fontId="35" fillId="30" borderId="17" xfId="0" applyNumberFormat="1" applyFont="1" applyFill="1" applyBorder="1"/>
    <xf numFmtId="187" fontId="35" fillId="30" borderId="0" xfId="0" applyNumberFormat="1" applyFont="1" applyFill="1"/>
    <xf numFmtId="2" fontId="20" fillId="0" borderId="0" xfId="0" applyNumberFormat="1" applyFont="1"/>
    <xf numFmtId="0" fontId="32" fillId="0" borderId="0" xfId="0" applyNumberFormat="1" applyFont="1" applyFill="1" applyBorder="1" applyAlignment="1"/>
    <xf numFmtId="0" fontId="29" fillId="0" borderId="0" xfId="0" applyNumberFormat="1" applyFont="1" applyFill="1" applyBorder="1" applyAlignment="1">
      <alignment horizontal="left"/>
    </xf>
    <xf numFmtId="0" fontId="20" fillId="0" borderId="0" xfId="0" applyFont="1" applyAlignment="1"/>
    <xf numFmtId="0" fontId="35" fillId="30" borderId="16" xfId="0" applyFont="1" applyFill="1" applyBorder="1" applyAlignment="1">
      <alignment horizontal="left" vertical="center" wrapText="1"/>
    </xf>
    <xf numFmtId="0" fontId="35" fillId="0" borderId="0" xfId="0" applyFont="1" applyBorder="1"/>
    <xf numFmtId="0" fontId="35" fillId="30" borderId="16" xfId="0" applyFont="1" applyFill="1" applyBorder="1" applyAlignment="1">
      <alignment horizontal="right" vertical="center"/>
    </xf>
    <xf numFmtId="1" fontId="34" fillId="30" borderId="16" xfId="0" applyNumberFormat="1" applyFont="1" applyFill="1" applyBorder="1" applyAlignment="1">
      <alignment horizontal="right"/>
    </xf>
    <xf numFmtId="0" fontId="20" fillId="30" borderId="32" xfId="0" applyFont="1" applyFill="1" applyBorder="1" applyAlignment="1">
      <alignment horizontal="right" vertical="center" wrapText="1"/>
    </xf>
    <xf numFmtId="2" fontId="35" fillId="27" borderId="0" xfId="0" applyNumberFormat="1" applyFont="1" applyFill="1"/>
    <xf numFmtId="190" fontId="21" fillId="27" borderId="0" xfId="0" applyNumberFormat="1" applyFont="1" applyFill="1" applyBorder="1" applyAlignment="1">
      <alignment horizontal="right"/>
    </xf>
    <xf numFmtId="1" fontId="35" fillId="30" borderId="0" xfId="0" applyNumberFormat="1" applyFont="1" applyFill="1" applyBorder="1" applyAlignment="1">
      <alignment vertical="center" wrapText="1"/>
    </xf>
    <xf numFmtId="2" fontId="20" fillId="27" borderId="20" xfId="0" applyNumberFormat="1" applyFont="1" applyFill="1" applyBorder="1" applyAlignment="1">
      <alignment horizontal="right"/>
    </xf>
    <xf numFmtId="0" fontId="35" fillId="30" borderId="0" xfId="0" applyFont="1" applyFill="1" applyBorder="1" applyAlignment="1">
      <alignment vertical="center" wrapText="1"/>
    </xf>
    <xf numFmtId="190" fontId="35" fillId="27" borderId="0" xfId="0" applyNumberFormat="1" applyFont="1" applyFill="1" applyBorder="1" applyAlignment="1">
      <alignment horizontal="right"/>
    </xf>
    <xf numFmtId="1" fontId="20" fillId="27" borderId="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6" fillId="30" borderId="22" xfId="0" applyFont="1" applyFill="1" applyBorder="1"/>
    <xf numFmtId="0" fontId="26" fillId="30" borderId="36" xfId="0" applyFont="1" applyFill="1" applyBorder="1"/>
    <xf numFmtId="0" fontId="26" fillId="30" borderId="23" xfId="0" applyFont="1" applyFill="1" applyBorder="1"/>
    <xf numFmtId="0" fontId="0" fillId="35" borderId="0" xfId="0" applyFill="1"/>
    <xf numFmtId="0" fontId="46" fillId="30" borderId="28" xfId="0" applyFont="1" applyFill="1" applyBorder="1"/>
    <xf numFmtId="0" fontId="48" fillId="30" borderId="28" xfId="0" applyFont="1" applyFill="1" applyBorder="1" applyAlignment="1">
      <alignment horizontal="left"/>
    </xf>
    <xf numFmtId="0" fontId="49" fillId="30" borderId="28" xfId="0" applyFont="1" applyFill="1" applyBorder="1" applyAlignment="1">
      <alignment horizontal="left"/>
    </xf>
    <xf numFmtId="0" fontId="38" fillId="32" borderId="0" xfId="0" applyFont="1" applyFill="1"/>
    <xf numFmtId="200" fontId="1" fillId="32" borderId="0" xfId="0" applyNumberFormat="1" applyFont="1" applyFill="1"/>
    <xf numFmtId="0" fontId="33" fillId="30" borderId="38" xfId="0" applyNumberFormat="1" applyFont="1" applyFill="1" applyBorder="1" applyAlignment="1">
      <alignment horizontal="left" vertical="center"/>
    </xf>
    <xf numFmtId="0" fontId="33" fillId="30" borderId="38" xfId="0" applyNumberFormat="1" applyFont="1" applyFill="1" applyBorder="1" applyAlignment="1">
      <alignment horizontal="right" vertical="center" wrapText="1"/>
    </xf>
    <xf numFmtId="0" fontId="33" fillId="30" borderId="39" xfId="0" applyNumberFormat="1" applyFont="1" applyFill="1" applyBorder="1" applyAlignment="1"/>
    <xf numFmtId="0" fontId="20" fillId="30" borderId="39" xfId="0" applyFont="1" applyFill="1" applyBorder="1"/>
    <xf numFmtId="0" fontId="20" fillId="30" borderId="39" xfId="0" applyFont="1" applyFill="1" applyBorder="1" applyAlignment="1">
      <alignment horizontal="center"/>
    </xf>
    <xf numFmtId="2" fontId="33" fillId="27" borderId="39" xfId="0" applyNumberFormat="1" applyFont="1" applyFill="1" applyBorder="1" applyAlignment="1"/>
    <xf numFmtId="2" fontId="20" fillId="30" borderId="20" xfId="0" applyNumberFormat="1" applyFont="1" applyFill="1" applyBorder="1" applyAlignment="1">
      <alignment horizontal="center"/>
    </xf>
    <xf numFmtId="0" fontId="33" fillId="30" borderId="39" xfId="0" applyNumberFormat="1" applyFont="1" applyFill="1" applyBorder="1" applyAlignment="1">
      <alignment horizontal="center"/>
    </xf>
    <xf numFmtId="0" fontId="0" fillId="30" borderId="36" xfId="0" applyFill="1" applyBorder="1" applyAlignment="1">
      <alignment horizontal="center"/>
    </xf>
    <xf numFmtId="0" fontId="0" fillId="28" borderId="1" xfId="0" applyFill="1" applyBorder="1"/>
    <xf numFmtId="0" fontId="0" fillId="27" borderId="1" xfId="0" applyFill="1" applyBorder="1" applyAlignment="1">
      <alignment horizontal="center"/>
    </xf>
    <xf numFmtId="0" fontId="21" fillId="28" borderId="0" xfId="0" applyFont="1" applyFill="1" applyAlignment="1">
      <alignment horizontal="right"/>
    </xf>
    <xf numFmtId="187" fontId="0" fillId="30" borderId="18" xfId="0" applyNumberFormat="1" applyFill="1" applyBorder="1" applyAlignment="1">
      <alignment horizontal="center"/>
    </xf>
    <xf numFmtId="187" fontId="0" fillId="30" borderId="19" xfId="0" applyNumberFormat="1" applyFill="1" applyBorder="1" applyAlignment="1">
      <alignment horizontal="center"/>
    </xf>
    <xf numFmtId="0" fontId="20" fillId="30" borderId="16" xfId="52" applyFont="1" applyFill="1" applyBorder="1" applyAlignment="1" applyProtection="1">
      <alignment horizontal="right" wrapText="1"/>
    </xf>
    <xf numFmtId="190" fontId="26" fillId="30" borderId="23" xfId="0" applyNumberFormat="1" applyFont="1" applyFill="1" applyBorder="1" applyAlignment="1">
      <alignment horizontal="right"/>
    </xf>
    <xf numFmtId="0" fontId="25" fillId="30" borderId="20" xfId="52" applyFont="1" applyFill="1" applyBorder="1" applyAlignment="1" applyProtection="1">
      <alignment horizontal="center"/>
    </xf>
    <xf numFmtId="0" fontId="25" fillId="30" borderId="20" xfId="52" applyFont="1" applyFill="1" applyBorder="1" applyAlignment="1" applyProtection="1">
      <alignment horizontal="right" wrapText="1"/>
    </xf>
    <xf numFmtId="0" fontId="20" fillId="30" borderId="16" xfId="52" applyFont="1" applyFill="1" applyBorder="1" applyAlignment="1" applyProtection="1">
      <alignment horizontal="center"/>
    </xf>
    <xf numFmtId="0" fontId="20" fillId="30" borderId="16" xfId="52" applyFont="1" applyFill="1" applyBorder="1" applyAlignment="1" applyProtection="1">
      <alignment horizontal="right"/>
    </xf>
    <xf numFmtId="0" fontId="20" fillId="30" borderId="16" xfId="52" quotePrefix="1" applyFont="1" applyFill="1" applyBorder="1" applyAlignment="1" applyProtection="1">
      <alignment horizontal="right"/>
    </xf>
    <xf numFmtId="0" fontId="20" fillId="30" borderId="28" xfId="52" applyFont="1" applyFill="1" applyBorder="1" applyAlignment="1" applyProtection="1">
      <alignment horizontal="right" wrapText="1"/>
    </xf>
    <xf numFmtId="0" fontId="20" fillId="30" borderId="29" xfId="52" applyFont="1" applyFill="1" applyBorder="1" applyAlignment="1" applyProtection="1">
      <alignment horizontal="right" wrapText="1"/>
    </xf>
    <xf numFmtId="0" fontId="46" fillId="26" borderId="12" xfId="0" applyFont="1" applyFill="1" applyBorder="1" applyAlignment="1">
      <alignment horizontal="left"/>
    </xf>
    <xf numFmtId="0" fontId="19" fillId="0" borderId="0" xfId="51" applyFont="1" applyFill="1" applyBorder="1"/>
    <xf numFmtId="1" fontId="0" fillId="0" borderId="0" xfId="0" applyNumberFormat="1" applyAlignment="1">
      <alignment horizontal="right"/>
    </xf>
    <xf numFmtId="0" fontId="0" fillId="30" borderId="22" xfId="0" applyFill="1" applyBorder="1"/>
    <xf numFmtId="0" fontId="0" fillId="30" borderId="1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30" borderId="22" xfId="0" applyFill="1" applyBorder="1" applyAlignment="1">
      <alignment horizontal="center"/>
    </xf>
    <xf numFmtId="0" fontId="0" fillId="30" borderId="23" xfId="0" applyFill="1" applyBorder="1" applyAlignment="1">
      <alignment horizontal="center"/>
    </xf>
    <xf numFmtId="0" fontId="57" fillId="29" borderId="0" xfId="0" quotePrefix="1" applyFont="1" applyFill="1" applyAlignment="1">
      <alignment horizontal="left"/>
    </xf>
    <xf numFmtId="0" fontId="26" fillId="30" borderId="29" xfId="0" applyFont="1" applyFill="1" applyBorder="1"/>
    <xf numFmtId="0" fontId="26" fillId="30" borderId="29" xfId="0" applyFont="1" applyFill="1" applyBorder="1" applyAlignment="1">
      <alignment horizontal="center"/>
    </xf>
    <xf numFmtId="0" fontId="26" fillId="30" borderId="31" xfId="0" applyFont="1" applyFill="1" applyBorder="1" applyAlignment="1">
      <alignment horizontal="center"/>
    </xf>
    <xf numFmtId="0" fontId="26" fillId="30" borderId="1" xfId="0" applyFont="1" applyFill="1" applyBorder="1" applyAlignment="1">
      <alignment horizontal="center"/>
    </xf>
    <xf numFmtId="0" fontId="26" fillId="0" borderId="36" xfId="0" applyFont="1" applyBorder="1"/>
    <xf numFmtId="0" fontId="26" fillId="0" borderId="36" xfId="0" applyFont="1" applyFill="1" applyBorder="1"/>
    <xf numFmtId="0" fontId="26" fillId="0" borderId="1" xfId="0" applyFont="1" applyFill="1" applyBorder="1"/>
    <xf numFmtId="0" fontId="0" fillId="30" borderId="1" xfId="0" applyFill="1" applyBorder="1"/>
    <xf numFmtId="0" fontId="0" fillId="30" borderId="0" xfId="0" applyFill="1"/>
    <xf numFmtId="0" fontId="0" fillId="30" borderId="19" xfId="0" applyFill="1" applyBorder="1"/>
    <xf numFmtId="0" fontId="0" fillId="30" borderId="30" xfId="0" applyFill="1" applyBorder="1"/>
    <xf numFmtId="0" fontId="0" fillId="27" borderId="0" xfId="0" applyFill="1"/>
    <xf numFmtId="0" fontId="58" fillId="0" borderId="0" xfId="0" applyFont="1" applyBorder="1"/>
    <xf numFmtId="0" fontId="20" fillId="30" borderId="29" xfId="0" applyFont="1" applyFill="1" applyBorder="1"/>
    <xf numFmtId="0" fontId="20" fillId="30" borderId="29" xfId="0" applyFont="1" applyFill="1" applyBorder="1" applyAlignment="1">
      <alignment horizontal="right"/>
    </xf>
    <xf numFmtId="0" fontId="21" fillId="30" borderId="16" xfId="0" applyFont="1" applyFill="1" applyBorder="1"/>
    <xf numFmtId="0" fontId="31" fillId="32" borderId="0" xfId="0" applyFont="1" applyFill="1"/>
    <xf numFmtId="0" fontId="20" fillId="30" borderId="36" xfId="0" applyFont="1" applyFill="1" applyBorder="1"/>
    <xf numFmtId="2" fontId="20" fillId="30" borderId="36" xfId="0" applyNumberFormat="1" applyFont="1" applyFill="1" applyBorder="1"/>
    <xf numFmtId="0" fontId="26" fillId="32" borderId="36" xfId="0" applyFont="1" applyFill="1" applyBorder="1" applyAlignment="1">
      <alignment horizontal="center"/>
    </xf>
    <xf numFmtId="0" fontId="26" fillId="32" borderId="40" xfId="0" applyFont="1" applyFill="1" applyBorder="1" applyAlignment="1">
      <alignment horizontal="center"/>
    </xf>
    <xf numFmtId="9" fontId="20" fillId="27" borderId="0" xfId="56" applyFont="1" applyFill="1" applyBorder="1"/>
    <xf numFmtId="1" fontId="0" fillId="32" borderId="0" xfId="0" applyNumberFormat="1" applyFill="1"/>
    <xf numFmtId="190" fontId="0" fillId="32" borderId="0" xfId="0" applyNumberFormat="1" applyFill="1"/>
    <xf numFmtId="2" fontId="0" fillId="32" borderId="0" xfId="0" applyNumberFormat="1" applyFill="1"/>
    <xf numFmtId="2" fontId="20" fillId="30" borderId="0" xfId="0" applyNumberFormat="1" applyFont="1" applyFill="1" applyBorder="1"/>
    <xf numFmtId="196" fontId="35" fillId="30" borderId="0" xfId="56" applyNumberFormat="1" applyFont="1" applyFill="1" applyBorder="1"/>
    <xf numFmtId="9" fontId="20" fillId="30" borderId="0" xfId="0" applyNumberFormat="1" applyFont="1" applyFill="1" applyBorder="1"/>
    <xf numFmtId="9" fontId="20" fillId="30" borderId="20" xfId="0" applyNumberFormat="1" applyFont="1" applyFill="1" applyBorder="1"/>
    <xf numFmtId="1" fontId="0" fillId="0" borderId="0" xfId="0" applyNumberFormat="1"/>
    <xf numFmtId="0" fontId="20" fillId="36" borderId="0" xfId="0" applyFont="1" applyFill="1" applyBorder="1"/>
    <xf numFmtId="187" fontId="0" fillId="30" borderId="0" xfId="0" applyNumberFormat="1" applyFill="1" applyBorder="1"/>
    <xf numFmtId="2" fontId="20" fillId="30" borderId="20" xfId="0" applyNumberFormat="1" applyFont="1" applyFill="1" applyBorder="1"/>
    <xf numFmtId="2" fontId="20" fillId="36" borderId="0" xfId="0" applyNumberFormat="1" applyFont="1" applyFill="1" applyBorder="1"/>
    <xf numFmtId="0" fontId="26" fillId="0" borderId="0" xfId="0" applyFont="1"/>
    <xf numFmtId="0" fontId="31" fillId="20" borderId="0" xfId="0" applyFont="1" applyFill="1"/>
    <xf numFmtId="0" fontId="0" fillId="30" borderId="16" xfId="0" applyFill="1" applyBorder="1"/>
    <xf numFmtId="0" fontId="0" fillId="30" borderId="16" xfId="0" applyFill="1" applyBorder="1" applyAlignment="1">
      <alignment horizontal="center"/>
    </xf>
    <xf numFmtId="0" fontId="0" fillId="30" borderId="34" xfId="0" applyFill="1" applyBorder="1" applyAlignment="1">
      <alignment horizontal="center"/>
    </xf>
    <xf numFmtId="187" fontId="1" fillId="20" borderId="0" xfId="0" applyNumberFormat="1" applyFont="1" applyFill="1"/>
    <xf numFmtId="0" fontId="1" fillId="20" borderId="0" xfId="0" applyFont="1" applyFill="1"/>
    <xf numFmtId="190" fontId="0" fillId="30" borderId="0" xfId="0" applyNumberFormat="1" applyFill="1" applyAlignment="1">
      <alignment horizontal="center"/>
    </xf>
    <xf numFmtId="190" fontId="0" fillId="30" borderId="17" xfId="0" applyNumberFormat="1" applyFill="1" applyBorder="1" applyAlignment="1">
      <alignment horizontal="center"/>
    </xf>
    <xf numFmtId="9" fontId="20" fillId="30" borderId="36" xfId="0" applyNumberFormat="1" applyFont="1" applyFill="1" applyBorder="1"/>
    <xf numFmtId="0" fontId="0" fillId="30" borderId="36" xfId="0" applyFill="1" applyBorder="1"/>
    <xf numFmtId="191" fontId="20" fillId="27" borderId="0" xfId="0" applyNumberFormat="1" applyFont="1" applyFill="1" applyBorder="1"/>
    <xf numFmtId="3" fontId="20" fillId="30" borderId="0" xfId="0" applyNumberFormat="1" applyFont="1" applyFill="1" applyBorder="1"/>
    <xf numFmtId="191" fontId="20" fillId="30" borderId="0" xfId="0" applyNumberFormat="1" applyFont="1" applyFill="1" applyBorder="1"/>
    <xf numFmtId="187" fontId="0" fillId="20" borderId="0" xfId="0" applyNumberFormat="1" applyFill="1"/>
    <xf numFmtId="9" fontId="20" fillId="27" borderId="0" xfId="0" applyNumberFormat="1" applyFont="1" applyFill="1" applyBorder="1"/>
    <xf numFmtId="0" fontId="59" fillId="20" borderId="0" xfId="0" applyFont="1" applyFill="1"/>
    <xf numFmtId="187" fontId="20" fillId="0" borderId="0" xfId="0" applyNumberFormat="1" applyFont="1" applyBorder="1"/>
    <xf numFmtId="0" fontId="26" fillId="30" borderId="36" xfId="0" applyFont="1" applyFill="1" applyBorder="1" applyAlignment="1">
      <alignment horizontal="center"/>
    </xf>
    <xf numFmtId="0" fontId="26" fillId="30" borderId="22" xfId="0" applyFont="1" applyFill="1" applyBorder="1" applyAlignment="1">
      <alignment horizontal="center"/>
    </xf>
    <xf numFmtId="3" fontId="20" fillId="27" borderId="0" xfId="0" applyNumberFormat="1" applyFont="1" applyFill="1" applyBorder="1"/>
    <xf numFmtId="0" fontId="0" fillId="0" borderId="0" xfId="0" quotePrefix="1" applyBorder="1"/>
    <xf numFmtId="0" fontId="39" fillId="37" borderId="0" xfId="0" applyFont="1" applyFill="1"/>
    <xf numFmtId="0" fontId="0" fillId="37" borderId="0" xfId="0" applyFill="1"/>
    <xf numFmtId="0" fontId="0" fillId="38" borderId="0" xfId="0" applyFill="1"/>
    <xf numFmtId="0" fontId="0" fillId="37" borderId="0" xfId="0" applyFill="1" applyAlignment="1">
      <alignment horizontal="center"/>
    </xf>
    <xf numFmtId="0" fontId="35" fillId="37" borderId="0" xfId="0" applyFont="1" applyFill="1"/>
    <xf numFmtId="2" fontId="35" fillId="37" borderId="0" xfId="0" applyNumberFormat="1" applyFont="1" applyFill="1" applyBorder="1" applyAlignment="1">
      <alignment horizontal="left"/>
    </xf>
    <xf numFmtId="0" fontId="35" fillId="37" borderId="0" xfId="0" applyFont="1" applyFill="1" applyBorder="1"/>
    <xf numFmtId="0" fontId="0" fillId="39" borderId="0" xfId="0" applyFill="1"/>
    <xf numFmtId="0" fontId="0" fillId="39" borderId="0" xfId="0" applyFill="1" applyAlignment="1">
      <alignment horizontal="center"/>
    </xf>
    <xf numFmtId="0" fontId="24" fillId="29" borderId="20" xfId="0" applyFont="1" applyFill="1" applyBorder="1" applyAlignment="1">
      <alignment horizontal="left"/>
    </xf>
    <xf numFmtId="0" fontId="40" fillId="29" borderId="20" xfId="0" applyFont="1" applyFill="1" applyBorder="1" applyAlignment="1">
      <alignment horizontal="right"/>
    </xf>
    <xf numFmtId="0" fontId="40" fillId="29" borderId="20" xfId="0" applyFont="1" applyFill="1" applyBorder="1" applyAlignment="1">
      <alignment horizontal="left"/>
    </xf>
    <xf numFmtId="0" fontId="20" fillId="0" borderId="20" xfId="0" applyFont="1" applyFill="1" applyBorder="1" applyAlignment="1">
      <alignment horizontal="right"/>
    </xf>
    <xf numFmtId="0" fontId="0" fillId="0" borderId="20" xfId="0" applyBorder="1" applyAlignment="1">
      <alignment horizontal="left" vertical="center"/>
    </xf>
    <xf numFmtId="0" fontId="19" fillId="30" borderId="0" xfId="0" applyFont="1" applyFill="1" applyBorder="1" applyAlignment="1">
      <alignment horizontal="left"/>
    </xf>
    <xf numFmtId="0" fontId="19" fillId="30" borderId="0" xfId="0" applyFont="1" applyFill="1" applyBorder="1" applyAlignment="1">
      <alignment horizontal="right"/>
    </xf>
    <xf numFmtId="0" fontId="43" fillId="30" borderId="0" xfId="0" applyFont="1" applyFill="1" applyAlignment="1">
      <alignment horizontal="center"/>
    </xf>
    <xf numFmtId="2" fontId="20" fillId="31" borderId="0" xfId="0" applyNumberFormat="1" applyFont="1" applyFill="1" applyBorder="1" applyAlignment="1">
      <alignment horizontal="right"/>
    </xf>
    <xf numFmtId="0" fontId="20" fillId="26" borderId="20" xfId="0" applyFont="1" applyFill="1" applyBorder="1" applyAlignment="1">
      <alignment horizontal="left"/>
    </xf>
    <xf numFmtId="2" fontId="20" fillId="31" borderId="20" xfId="0" applyNumberFormat="1" applyFont="1" applyFill="1" applyBorder="1" applyAlignment="1">
      <alignment horizontal="right"/>
    </xf>
    <xf numFmtId="189" fontId="20" fillId="31" borderId="0" xfId="0" applyNumberFormat="1" applyFont="1" applyFill="1" applyBorder="1" applyAlignment="1">
      <alignment horizontal="right"/>
    </xf>
    <xf numFmtId="0" fontId="26" fillId="30" borderId="0" xfId="0" applyFont="1" applyFill="1" applyAlignment="1">
      <alignment horizontal="left"/>
    </xf>
    <xf numFmtId="0" fontId="0" fillId="30" borderId="0" xfId="0" applyFill="1" applyAlignment="1">
      <alignment horizontal="left"/>
    </xf>
    <xf numFmtId="0" fontId="20" fillId="30" borderId="0" xfId="0" applyFont="1" applyFill="1" applyAlignment="1">
      <alignment horizontal="left"/>
    </xf>
    <xf numFmtId="0" fontId="20" fillId="30" borderId="0" xfId="0" applyFont="1" applyFill="1" applyAlignment="1">
      <alignment horizontal="right"/>
    </xf>
    <xf numFmtId="0" fontId="20" fillId="30" borderId="16" xfId="0" applyFont="1" applyFill="1" applyBorder="1" applyAlignment="1">
      <alignment horizontal="center"/>
    </xf>
    <xf numFmtId="0" fontId="35" fillId="30" borderId="16" xfId="0" applyFont="1" applyFill="1" applyBorder="1" applyAlignment="1">
      <alignment horizontal="center"/>
    </xf>
    <xf numFmtId="0" fontId="20" fillId="30" borderId="16" xfId="0" applyFont="1" applyFill="1" applyBorder="1" applyAlignment="1">
      <alignment horizontal="center" vertical="center"/>
    </xf>
    <xf numFmtId="0" fontId="35" fillId="30" borderId="0" xfId="0" applyFont="1" applyFill="1" applyBorder="1" applyAlignment="1">
      <alignment horizontal="left" wrapText="1"/>
    </xf>
    <xf numFmtId="0" fontId="35" fillId="32" borderId="0" xfId="0" applyFont="1" applyFill="1" applyAlignment="1">
      <alignment horizontal="center"/>
    </xf>
    <xf numFmtId="0" fontId="0" fillId="27" borderId="0" xfId="0" applyFill="1" applyAlignment="1">
      <alignment horizontal="center"/>
    </xf>
    <xf numFmtId="1" fontId="0" fillId="32" borderId="0" xfId="0" applyNumberFormat="1" applyFill="1" applyAlignment="1">
      <alignment horizontal="center"/>
    </xf>
    <xf numFmtId="0" fontId="34" fillId="30" borderId="39" xfId="0" applyNumberFormat="1" applyFont="1" applyFill="1" applyBorder="1" applyAlignment="1"/>
    <xf numFmtId="0" fontId="35" fillId="30" borderId="39" xfId="0" applyFont="1" applyFill="1" applyBorder="1"/>
    <xf numFmtId="0" fontId="35" fillId="30" borderId="39" xfId="0" applyFont="1" applyFill="1" applyBorder="1" applyAlignment="1">
      <alignment horizontal="center"/>
    </xf>
    <xf numFmtId="0" fontId="34" fillId="30" borderId="39" xfId="0" applyNumberFormat="1" applyFont="1" applyFill="1" applyBorder="1" applyAlignment="1">
      <alignment horizontal="center"/>
    </xf>
    <xf numFmtId="2" fontId="33" fillId="27" borderId="39" xfId="0" applyNumberFormat="1" applyFont="1" applyFill="1" applyBorder="1" applyAlignment="1">
      <alignment horizontal="center"/>
    </xf>
    <xf numFmtId="0" fontId="35" fillId="30" borderId="16" xfId="0" applyFont="1" applyFill="1" applyBorder="1" applyAlignment="1">
      <alignment vertical="center" wrapText="1"/>
    </xf>
    <xf numFmtId="2" fontId="35" fillId="30" borderId="0" xfId="0" applyNumberFormat="1" applyFont="1" applyFill="1" applyBorder="1" applyAlignment="1">
      <alignment horizontal="center"/>
    </xf>
    <xf numFmtId="190" fontId="35" fillId="30" borderId="19" xfId="0" applyNumberFormat="1" applyFont="1" applyFill="1" applyBorder="1" applyAlignment="1">
      <alignment horizontal="center" vertical="center" wrapText="1"/>
    </xf>
    <xf numFmtId="0" fontId="35" fillId="30" borderId="19" xfId="0" applyFont="1" applyFill="1" applyBorder="1" applyAlignment="1">
      <alignment horizontal="right" vertical="center" wrapText="1"/>
    </xf>
    <xf numFmtId="0" fontId="35" fillId="30" borderId="0" xfId="0" applyFont="1" applyFill="1" applyBorder="1" applyAlignment="1">
      <alignment horizontal="right" vertical="center" wrapText="1"/>
    </xf>
    <xf numFmtId="2" fontId="35" fillId="30" borderId="0" xfId="0" applyNumberFormat="1" applyFont="1" applyFill="1" applyAlignment="1">
      <alignment horizontal="center"/>
    </xf>
    <xf numFmtId="2" fontId="35" fillId="30" borderId="20" xfId="0" applyNumberFormat="1" applyFont="1" applyFill="1" applyBorder="1" applyAlignment="1">
      <alignment horizontal="center"/>
    </xf>
    <xf numFmtId="188" fontId="35" fillId="30" borderId="20" xfId="0" applyNumberFormat="1" applyFont="1" applyFill="1" applyBorder="1" applyAlignment="1">
      <alignment horizontal="right"/>
    </xf>
    <xf numFmtId="0" fontId="35" fillId="30" borderId="33" xfId="0" applyFont="1" applyFill="1" applyBorder="1" applyAlignment="1">
      <alignment horizontal="right"/>
    </xf>
    <xf numFmtId="0" fontId="35" fillId="30" borderId="0" xfId="0" applyFont="1" applyFill="1" applyAlignment="1">
      <alignment horizontal="right"/>
    </xf>
    <xf numFmtId="190" fontId="35" fillId="30" borderId="0" xfId="0" applyNumberFormat="1" applyFont="1" applyFill="1" applyAlignment="1">
      <alignment horizontal="center"/>
    </xf>
    <xf numFmtId="1" fontId="35" fillId="30" borderId="33" xfId="0" applyNumberFormat="1" applyFont="1" applyFill="1" applyBorder="1" applyAlignment="1">
      <alignment horizontal="center"/>
    </xf>
    <xf numFmtId="1" fontId="35" fillId="30" borderId="0" xfId="0" applyNumberFormat="1" applyFont="1" applyFill="1" applyAlignment="1">
      <alignment horizontal="center"/>
    </xf>
    <xf numFmtId="187" fontId="35" fillId="30" borderId="20" xfId="0" applyNumberFormat="1" applyFont="1" applyFill="1" applyBorder="1" applyAlignment="1">
      <alignment horizontal="right"/>
    </xf>
    <xf numFmtId="1" fontId="35" fillId="30" borderId="0" xfId="0" applyNumberFormat="1" applyFont="1" applyFill="1" applyBorder="1" applyAlignment="1">
      <alignment horizontal="right"/>
    </xf>
    <xf numFmtId="1" fontId="35" fillId="30" borderId="20" xfId="0" applyNumberFormat="1" applyFont="1" applyFill="1" applyBorder="1" applyAlignment="1">
      <alignment horizontal="right"/>
    </xf>
    <xf numFmtId="0" fontId="25" fillId="0" borderId="0" xfId="0" applyFont="1" applyFill="1" applyAlignment="1">
      <alignment horizontal="right"/>
    </xf>
    <xf numFmtId="0" fontId="20" fillId="27" borderId="37" xfId="0" applyFont="1" applyFill="1" applyBorder="1" applyAlignment="1">
      <alignment horizontal="right" vertical="center" wrapText="1"/>
    </xf>
    <xf numFmtId="0" fontId="20" fillId="27" borderId="16" xfId="0" applyFont="1" applyFill="1" applyBorder="1" applyAlignment="1">
      <alignment horizontal="right" vertical="center" wrapText="1"/>
    </xf>
    <xf numFmtId="0" fontId="20" fillId="27" borderId="18" xfId="0" applyFont="1" applyFill="1" applyBorder="1" applyAlignment="1">
      <alignment horizontal="right"/>
    </xf>
    <xf numFmtId="0" fontId="20" fillId="30" borderId="18" xfId="0" applyFont="1" applyFill="1" applyBorder="1" applyAlignment="1">
      <alignment horizontal="right"/>
    </xf>
    <xf numFmtId="0" fontId="20" fillId="30" borderId="41" xfId="0" applyFont="1" applyFill="1" applyBorder="1" applyAlignment="1">
      <alignment horizontal="right"/>
    </xf>
    <xf numFmtId="1" fontId="20" fillId="30" borderId="0" xfId="0" applyNumberFormat="1" applyFont="1" applyFill="1" applyBorder="1" applyAlignment="1">
      <alignment horizontal="center"/>
    </xf>
    <xf numFmtId="1" fontId="20" fillId="30" borderId="18" xfId="0" applyNumberFormat="1" applyFont="1" applyFill="1" applyBorder="1" applyAlignment="1">
      <alignment horizontal="right"/>
    </xf>
    <xf numFmtId="0" fontId="0" fillId="30" borderId="0" xfId="0" applyFill="1" applyBorder="1" applyAlignment="1">
      <alignment horizontal="center"/>
    </xf>
    <xf numFmtId="0" fontId="0" fillId="30" borderId="18" xfId="0" applyFill="1" applyBorder="1" applyAlignment="1">
      <alignment horizontal="right"/>
    </xf>
    <xf numFmtId="1" fontId="20" fillId="30" borderId="20" xfId="0" applyNumberFormat="1" applyFont="1" applyFill="1" applyBorder="1" applyAlignment="1">
      <alignment horizontal="left"/>
    </xf>
    <xf numFmtId="1" fontId="20" fillId="30" borderId="0" xfId="0" applyNumberFormat="1" applyFont="1" applyFill="1" applyBorder="1" applyAlignment="1">
      <alignment horizontal="left" vertical="center"/>
    </xf>
    <xf numFmtId="0" fontId="44" fillId="30" borderId="0" xfId="0" applyFont="1" applyFill="1" applyBorder="1"/>
    <xf numFmtId="0" fontId="20" fillId="20" borderId="0" xfId="0" applyFont="1" applyFill="1" applyBorder="1" applyAlignment="1">
      <alignment horizontal="right"/>
    </xf>
    <xf numFmtId="0" fontId="20" fillId="26" borderId="0" xfId="0" applyFont="1" applyFill="1" applyBorder="1" applyAlignment="1">
      <alignment horizontal="left" vertical="center"/>
    </xf>
    <xf numFmtId="2" fontId="20" fillId="27" borderId="18" xfId="0" applyNumberFormat="1" applyFont="1" applyFill="1" applyBorder="1" applyAlignment="1">
      <alignment horizontal="right"/>
    </xf>
    <xf numFmtId="0" fontId="20" fillId="26" borderId="20" xfId="0" applyFont="1" applyFill="1" applyBorder="1" applyAlignment="1">
      <alignment horizontal="left" vertical="center"/>
    </xf>
    <xf numFmtId="0" fontId="20" fillId="30" borderId="20" xfId="0" applyFont="1" applyFill="1" applyBorder="1" applyAlignment="1">
      <alignment horizontal="left" vertical="center"/>
    </xf>
    <xf numFmtId="0" fontId="20" fillId="26" borderId="0" xfId="0" applyFont="1" applyFill="1"/>
    <xf numFmtId="0" fontId="20" fillId="30" borderId="0" xfId="0" applyFont="1" applyFill="1" applyAlignment="1"/>
    <xf numFmtId="0" fontId="20" fillId="26" borderId="0" xfId="0" applyFont="1" applyFill="1" applyAlignment="1"/>
    <xf numFmtId="0" fontId="0" fillId="0" borderId="0" xfId="0" applyAlignment="1"/>
    <xf numFmtId="0" fontId="26" fillId="31" borderId="0" xfId="0" applyFont="1" applyFill="1"/>
    <xf numFmtId="0" fontId="20" fillId="36" borderId="16" xfId="0" applyFont="1" applyFill="1" applyBorder="1" applyAlignment="1">
      <alignment horizontal="right" vertical="center" wrapText="1"/>
    </xf>
    <xf numFmtId="0" fontId="20" fillId="36" borderId="37" xfId="0" applyFont="1" applyFill="1" applyBorder="1" applyAlignment="1">
      <alignment horizontal="right" vertical="center" wrapText="1"/>
    </xf>
    <xf numFmtId="2" fontId="25" fillId="30" borderId="0" xfId="0" applyNumberFormat="1" applyFont="1" applyFill="1" applyBorder="1" applyAlignment="1">
      <alignment horizontal="left"/>
    </xf>
    <xf numFmtId="0" fontId="38" fillId="30" borderId="0" xfId="0" applyFont="1" applyFill="1" applyBorder="1" applyAlignment="1">
      <alignment horizontal="right"/>
    </xf>
    <xf numFmtId="0" fontId="20" fillId="30" borderId="0" xfId="0" applyFont="1" applyFill="1" applyBorder="1" applyAlignment="1">
      <alignment horizontal="left" vertical="center" wrapText="1"/>
    </xf>
    <xf numFmtId="0" fontId="20" fillId="30" borderId="0" xfId="0" applyFont="1" applyFill="1" applyBorder="1" applyAlignment="1">
      <alignment horizontal="right" vertical="center" wrapText="1"/>
    </xf>
    <xf numFmtId="0" fontId="20" fillId="27" borderId="0" xfId="0" applyFont="1" applyFill="1"/>
    <xf numFmtId="0" fontId="44" fillId="30" borderId="20" xfId="0" applyFont="1" applyFill="1" applyBorder="1" applyAlignment="1"/>
    <xf numFmtId="0" fontId="0" fillId="30" borderId="41" xfId="0" applyFill="1" applyBorder="1" applyAlignment="1">
      <alignment horizontal="right"/>
    </xf>
    <xf numFmtId="0" fontId="38" fillId="30" borderId="20" xfId="0" applyFont="1" applyFill="1" applyBorder="1" applyAlignment="1">
      <alignment horizontal="right"/>
    </xf>
    <xf numFmtId="2" fontId="29" fillId="30" borderId="0" xfId="0" applyNumberFormat="1" applyFont="1" applyFill="1" applyBorder="1" applyAlignment="1">
      <alignment horizontal="left"/>
    </xf>
    <xf numFmtId="2" fontId="20" fillId="40" borderId="0" xfId="0" applyNumberFormat="1" applyFont="1" applyFill="1" applyBorder="1" applyAlignment="1">
      <alignment horizontal="right"/>
    </xf>
    <xf numFmtId="2" fontId="20" fillId="40" borderId="18" xfId="0" applyNumberFormat="1" applyFont="1" applyFill="1" applyBorder="1" applyAlignment="1">
      <alignment horizontal="right"/>
    </xf>
    <xf numFmtId="0" fontId="38" fillId="27" borderId="0" xfId="0" applyFont="1" applyFill="1" applyBorder="1" applyAlignment="1">
      <alignment horizontal="right"/>
    </xf>
    <xf numFmtId="0" fontId="20" fillId="20" borderId="0" xfId="0" applyFont="1" applyFill="1" applyBorder="1" applyAlignment="1">
      <alignment horizontal="right" vertical="center" wrapText="1"/>
    </xf>
    <xf numFmtId="190" fontId="20" fillId="27" borderId="0" xfId="0" applyNumberFormat="1" applyFont="1" applyFill="1" applyBorder="1" applyAlignment="1">
      <alignment horizontal="right" vertical="center" wrapText="1"/>
    </xf>
    <xf numFmtId="1" fontId="20" fillId="27" borderId="0" xfId="0" applyNumberFormat="1" applyFont="1" applyFill="1" applyBorder="1" applyAlignment="1">
      <alignment horizontal="right" vertical="center" wrapText="1"/>
    </xf>
    <xf numFmtId="0" fontId="0" fillId="30" borderId="0" xfId="0" applyFill="1" applyBorder="1" applyAlignment="1"/>
    <xf numFmtId="1" fontId="20" fillId="30" borderId="20" xfId="0" applyNumberFormat="1" applyFont="1" applyFill="1" applyBorder="1"/>
    <xf numFmtId="1" fontId="20" fillId="30" borderId="0" xfId="0" applyNumberFormat="1" applyFont="1" applyFill="1"/>
    <xf numFmtId="0" fontId="20" fillId="0" borderId="20" xfId="0" applyFont="1" applyFill="1" applyBorder="1"/>
    <xf numFmtId="0" fontId="44" fillId="30" borderId="0" xfId="0" applyFont="1" applyFill="1" applyBorder="1" applyAlignment="1"/>
    <xf numFmtId="2" fontId="20" fillId="20" borderId="0" xfId="0" applyNumberFormat="1" applyFont="1" applyFill="1" applyBorder="1" applyAlignment="1">
      <alignment horizontal="right"/>
    </xf>
    <xf numFmtId="2" fontId="60" fillId="30" borderId="0" xfId="0" applyNumberFormat="1" applyFont="1" applyFill="1" applyBorder="1" applyAlignment="1">
      <alignment horizontal="right"/>
    </xf>
    <xf numFmtId="2" fontId="20" fillId="30" borderId="0" xfId="0" applyNumberFormat="1" applyFont="1" applyFill="1"/>
    <xf numFmtId="2" fontId="20" fillId="20" borderId="20" xfId="0" quotePrefix="1" applyNumberFormat="1" applyFont="1" applyFill="1" applyBorder="1" applyAlignment="1">
      <alignment horizontal="right"/>
    </xf>
    <xf numFmtId="188" fontId="0" fillId="30" borderId="0" xfId="0" applyNumberFormat="1" applyFill="1" applyBorder="1" applyAlignment="1">
      <alignment horizontal="right"/>
    </xf>
    <xf numFmtId="0" fontId="20" fillId="27" borderId="0" xfId="0" applyFont="1" applyFill="1" applyBorder="1" applyAlignment="1">
      <alignment horizontal="right" vertical="center" wrapText="1"/>
    </xf>
    <xf numFmtId="0" fontId="20" fillId="27" borderId="18" xfId="0" applyFont="1" applyFill="1" applyBorder="1" applyAlignment="1">
      <alignment horizontal="right" vertical="center" wrapText="1"/>
    </xf>
    <xf numFmtId="0" fontId="25" fillId="30" borderId="0" xfId="0" applyFont="1" applyFill="1" applyAlignment="1">
      <alignment horizontal="left"/>
    </xf>
    <xf numFmtId="0" fontId="20" fillId="26" borderId="0" xfId="0" applyFont="1" applyFill="1" applyBorder="1" applyAlignment="1"/>
    <xf numFmtId="0" fontId="20" fillId="30" borderId="20" xfId="0" applyFont="1" applyFill="1" applyBorder="1" applyAlignment="1">
      <alignment horizontal="left" vertical="center" wrapText="1"/>
    </xf>
    <xf numFmtId="2" fontId="20" fillId="30" borderId="20" xfId="0" quotePrefix="1" applyNumberFormat="1" applyFont="1" applyFill="1" applyBorder="1" applyAlignment="1">
      <alignment horizontal="right"/>
    </xf>
    <xf numFmtId="0" fontId="19" fillId="30" borderId="20" xfId="0" applyFont="1" applyFill="1" applyBorder="1" applyAlignment="1"/>
    <xf numFmtId="2" fontId="20" fillId="30" borderId="18" xfId="0" applyNumberFormat="1" applyFont="1" applyFill="1" applyBorder="1" applyAlignment="1">
      <alignment horizontal="right"/>
    </xf>
    <xf numFmtId="0" fontId="0" fillId="30" borderId="20" xfId="0" applyFill="1" applyBorder="1" applyAlignment="1"/>
    <xf numFmtId="187" fontId="20" fillId="30" borderId="20" xfId="0" applyNumberFormat="1" applyFont="1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20" fillId="41" borderId="0" xfId="0" applyFont="1" applyFill="1"/>
    <xf numFmtId="2" fontId="20" fillId="41" borderId="0" xfId="0" applyNumberFormat="1" applyFont="1" applyFill="1"/>
    <xf numFmtId="0" fontId="29" fillId="41" borderId="20" xfId="0" applyFont="1" applyFill="1" applyBorder="1"/>
    <xf numFmtId="0" fontId="44" fillId="41" borderId="20" xfId="0" applyFont="1" applyFill="1" applyBorder="1"/>
    <xf numFmtId="0" fontId="20" fillId="41" borderId="20" xfId="0" applyFont="1" applyFill="1" applyBorder="1"/>
    <xf numFmtId="0" fontId="20" fillId="33" borderId="16" xfId="0" applyFont="1" applyFill="1" applyBorder="1" applyAlignment="1">
      <alignment vertical="center" wrapText="1"/>
    </xf>
    <xf numFmtId="0" fontId="20" fillId="33" borderId="16" xfId="0" applyFont="1" applyFill="1" applyBorder="1" applyAlignment="1">
      <alignment horizontal="right" vertical="center" wrapText="1"/>
    </xf>
    <xf numFmtId="2" fontId="43" fillId="30" borderId="0" xfId="58" applyNumberFormat="1" applyFont="1" applyFill="1"/>
    <xf numFmtId="2" fontId="1" fillId="34" borderId="0" xfId="58" applyNumberFormat="1" applyFill="1"/>
    <xf numFmtId="0" fontId="1" fillId="34" borderId="0" xfId="58" applyFill="1"/>
    <xf numFmtId="0" fontId="20" fillId="30" borderId="16" xfId="0" applyFont="1" applyFill="1" applyBorder="1" applyAlignment="1">
      <alignment vertical="center"/>
    </xf>
    <xf numFmtId="0" fontId="20" fillId="30" borderId="37" xfId="0" applyFont="1" applyFill="1" applyBorder="1" applyAlignment="1">
      <alignment horizontal="right" vertical="center" wrapText="1"/>
    </xf>
    <xf numFmtId="0" fontId="20" fillId="27" borderId="29" xfId="0" applyFont="1" applyFill="1" applyBorder="1" applyAlignment="1">
      <alignment horizontal="right" vertical="center" wrapText="1"/>
    </xf>
    <xf numFmtId="0" fontId="20" fillId="42" borderId="0" xfId="52" applyFont="1" applyFill="1" applyBorder="1" applyAlignment="1" applyProtection="1">
      <alignment horizontal="left"/>
    </xf>
    <xf numFmtId="2" fontId="20" fillId="20" borderId="17" xfId="52" applyNumberFormat="1" applyFont="1" applyFill="1" applyBorder="1" applyAlignment="1" applyProtection="1">
      <alignment horizontal="right"/>
    </xf>
    <xf numFmtId="2" fontId="20" fillId="20" borderId="18" xfId="0" applyNumberFormat="1" applyFont="1" applyFill="1" applyBorder="1" applyAlignment="1">
      <alignment horizontal="right"/>
    </xf>
    <xf numFmtId="188" fontId="20" fillId="30" borderId="0" xfId="52" applyNumberFormat="1" applyFont="1" applyFill="1" applyBorder="1" applyAlignment="1" applyProtection="1">
      <alignment horizontal="right"/>
    </xf>
    <xf numFmtId="190" fontId="20" fillId="27" borderId="42" xfId="0" applyNumberFormat="1" applyFont="1" applyFill="1" applyBorder="1" applyAlignment="1">
      <alignment horizontal="right"/>
    </xf>
    <xf numFmtId="0" fontId="29" fillId="30" borderId="0" xfId="0" applyFont="1" applyFill="1" applyBorder="1" applyAlignment="1"/>
    <xf numFmtId="0" fontId="20" fillId="30" borderId="0" xfId="52" applyFont="1" applyFill="1" applyBorder="1" applyAlignment="1" applyProtection="1">
      <alignment horizontal="left"/>
    </xf>
    <xf numFmtId="0" fontId="20" fillId="30" borderId="0" xfId="0" applyFont="1" applyFill="1" applyBorder="1" applyAlignment="1">
      <alignment vertical="center"/>
    </xf>
    <xf numFmtId="2" fontId="20" fillId="20" borderId="18" xfId="52" applyNumberFormat="1" applyFont="1" applyFill="1" applyBorder="1" applyAlignment="1" applyProtection="1">
      <alignment horizontal="right"/>
    </xf>
    <xf numFmtId="0" fontId="20" fillId="30" borderId="0" xfId="52" applyFont="1" applyFill="1" applyBorder="1" applyAlignment="1" applyProtection="1">
      <alignment horizontal="right"/>
    </xf>
    <xf numFmtId="0" fontId="21" fillId="30" borderId="0" xfId="0" applyFont="1" applyFill="1" applyBorder="1" applyAlignment="1"/>
    <xf numFmtId="0" fontId="21" fillId="30" borderId="0" xfId="0" applyFont="1" applyFill="1" applyBorder="1" applyAlignment="1">
      <alignment horizontal="left"/>
    </xf>
    <xf numFmtId="0" fontId="21" fillId="30" borderId="0" xfId="0" applyFont="1" applyFill="1" applyBorder="1" applyAlignment="1">
      <alignment horizontal="right"/>
    </xf>
    <xf numFmtId="0" fontId="42" fillId="30" borderId="0" xfId="0" applyFont="1" applyFill="1" applyBorder="1" applyAlignment="1"/>
    <xf numFmtId="0" fontId="42" fillId="30" borderId="0" xfId="0" applyFont="1" applyFill="1" applyBorder="1" applyAlignment="1">
      <alignment horizontal="left"/>
    </xf>
    <xf numFmtId="2" fontId="25" fillId="20" borderId="17" xfId="0" applyNumberFormat="1" applyFont="1" applyFill="1" applyBorder="1" applyAlignment="1">
      <alignment horizontal="right"/>
    </xf>
    <xf numFmtId="2" fontId="25" fillId="20" borderId="18" xfId="0" applyNumberFormat="1" applyFont="1" applyFill="1" applyBorder="1" applyAlignment="1">
      <alignment horizontal="right"/>
    </xf>
    <xf numFmtId="0" fontId="42" fillId="30" borderId="0" xfId="0" applyFont="1" applyFill="1" applyBorder="1" applyAlignment="1">
      <alignment horizontal="right"/>
    </xf>
    <xf numFmtId="0" fontId="42" fillId="30" borderId="0" xfId="0" applyFont="1" applyFill="1" applyBorder="1" applyAlignment="1">
      <alignment horizontal="center"/>
    </xf>
    <xf numFmtId="0" fontId="20" fillId="20" borderId="0" xfId="0" applyFont="1" applyFill="1" applyBorder="1" applyAlignment="1">
      <alignment horizontal="center"/>
    </xf>
    <xf numFmtId="1" fontId="20" fillId="30" borderId="0" xfId="0" applyNumberFormat="1" applyFont="1" applyFill="1" applyBorder="1" applyAlignment="1"/>
    <xf numFmtId="0" fontId="42" fillId="20" borderId="0" xfId="0" applyFont="1" applyFill="1" applyBorder="1" applyAlignment="1">
      <alignment horizontal="center"/>
    </xf>
    <xf numFmtId="2" fontId="25" fillId="20" borderId="18" xfId="0" applyNumberFormat="1" applyFont="1" applyFill="1" applyBorder="1" applyAlignment="1">
      <alignment horizontal="center"/>
    </xf>
    <xf numFmtId="1" fontId="25" fillId="20" borderId="18" xfId="0" applyNumberFormat="1" applyFont="1" applyFill="1" applyBorder="1" applyAlignment="1">
      <alignment horizontal="center"/>
    </xf>
    <xf numFmtId="2" fontId="29" fillId="30" borderId="0" xfId="0" applyNumberFormat="1" applyFont="1" applyFill="1" applyBorder="1" applyAlignment="1"/>
    <xf numFmtId="188" fontId="20" fillId="32" borderId="0" xfId="0" applyNumberFormat="1" applyFont="1" applyFill="1" applyBorder="1" applyAlignment="1">
      <alignment horizontal="right"/>
    </xf>
    <xf numFmtId="189" fontId="20" fillId="27" borderId="0" xfId="0" applyNumberFormat="1" applyFont="1" applyFill="1" applyBorder="1" applyAlignment="1">
      <alignment horizontal="right"/>
    </xf>
    <xf numFmtId="2" fontId="0" fillId="20" borderId="17" xfId="0" applyNumberFormat="1" applyFill="1" applyBorder="1" applyAlignment="1">
      <alignment horizontal="right"/>
    </xf>
    <xf numFmtId="188" fontId="20" fillId="28" borderId="0" xfId="0" applyNumberFormat="1" applyFont="1" applyFill="1" applyBorder="1" applyAlignment="1">
      <alignment horizontal="right"/>
    </xf>
    <xf numFmtId="2" fontId="20" fillId="28" borderId="18" xfId="0" applyNumberFormat="1" applyFont="1" applyFill="1" applyBorder="1" applyAlignment="1">
      <alignment horizontal="right"/>
    </xf>
    <xf numFmtId="0" fontId="20" fillId="30" borderId="0" xfId="52" applyFont="1" applyFill="1" applyBorder="1" applyAlignment="1" applyProtection="1"/>
    <xf numFmtId="2" fontId="0" fillId="30" borderId="0" xfId="0" applyNumberFormat="1" applyFill="1" applyBorder="1" applyAlignment="1">
      <alignment horizontal="right"/>
    </xf>
    <xf numFmtId="2" fontId="25" fillId="30" borderId="20" xfId="0" applyNumberFormat="1" applyFont="1" applyFill="1" applyBorder="1" applyAlignment="1">
      <alignment horizontal="left"/>
    </xf>
    <xf numFmtId="0" fontId="42" fillId="30" borderId="20" xfId="0" applyFont="1" applyFill="1" applyBorder="1" applyAlignment="1">
      <alignment horizontal="left"/>
    </xf>
    <xf numFmtId="2" fontId="25" fillId="20" borderId="35" xfId="0" applyNumberFormat="1" applyFont="1" applyFill="1" applyBorder="1" applyAlignment="1">
      <alignment horizontal="right"/>
    </xf>
    <xf numFmtId="2" fontId="25" fillId="20" borderId="41" xfId="0" applyNumberFormat="1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29" fillId="0" borderId="0" xfId="0" applyFont="1" applyBorder="1"/>
    <xf numFmtId="2" fontId="20" fillId="0" borderId="0" xfId="0" applyNumberFormat="1" applyFont="1" applyFill="1" applyBorder="1"/>
    <xf numFmtId="188" fontId="20" fillId="42" borderId="0" xfId="0" applyNumberFormat="1" applyFont="1" applyFill="1" applyBorder="1" applyAlignment="1">
      <alignment horizontal="right"/>
    </xf>
    <xf numFmtId="0" fontId="0" fillId="29" borderId="0" xfId="0" applyFill="1" applyBorder="1" applyAlignment="1">
      <alignment wrapText="1"/>
    </xf>
    <xf numFmtId="0" fontId="0" fillId="29" borderId="0" xfId="0" applyFill="1" applyBorder="1" applyAlignment="1">
      <alignment horizontal="left"/>
    </xf>
    <xf numFmtId="0" fontId="58" fillId="0" borderId="0" xfId="0" applyFont="1" applyBorder="1" applyAlignment="1">
      <alignment horizontal="right"/>
    </xf>
    <xf numFmtId="0" fontId="20" fillId="42" borderId="16" xfId="0" applyFont="1" applyFill="1" applyBorder="1" applyAlignment="1">
      <alignment horizontal="right" vertical="center" wrapText="1"/>
    </xf>
    <xf numFmtId="0" fontId="33" fillId="30" borderId="16" xfId="0" applyNumberFormat="1" applyFont="1" applyFill="1" applyBorder="1" applyAlignment="1">
      <alignment horizontal="right" vertical="center" wrapText="1"/>
    </xf>
    <xf numFmtId="0" fontId="41" fillId="42" borderId="0" xfId="0" applyFont="1" applyFill="1" applyBorder="1" applyAlignment="1">
      <alignment horizontal="left"/>
    </xf>
    <xf numFmtId="0" fontId="0" fillId="30" borderId="0" xfId="0" applyFill="1" applyBorder="1" applyAlignment="1">
      <alignment wrapText="1"/>
    </xf>
    <xf numFmtId="2" fontId="20" fillId="20" borderId="43" xfId="52" applyNumberFormat="1" applyFont="1" applyFill="1" applyBorder="1" applyAlignment="1" applyProtection="1">
      <alignment horizontal="right"/>
    </xf>
    <xf numFmtId="2" fontId="20" fillId="20" borderId="44" xfId="0" applyNumberFormat="1" applyFont="1" applyFill="1" applyBorder="1" applyAlignment="1">
      <alignment horizontal="right"/>
    </xf>
    <xf numFmtId="0" fontId="20" fillId="42" borderId="0" xfId="0" applyFont="1" applyFill="1" applyBorder="1" applyAlignment="1">
      <alignment horizontal="right"/>
    </xf>
    <xf numFmtId="1" fontId="20" fillId="36" borderId="0" xfId="0" applyNumberFormat="1" applyFont="1" applyFill="1" applyBorder="1" applyAlignment="1">
      <alignment horizontal="right"/>
    </xf>
    <xf numFmtId="2" fontId="20" fillId="26" borderId="0" xfId="0" applyNumberFormat="1" applyFont="1" applyFill="1" applyBorder="1" applyAlignment="1">
      <alignment horizontal="right"/>
    </xf>
    <xf numFmtId="0" fontId="29" fillId="30" borderId="0" xfId="0" applyFont="1" applyFill="1" applyBorder="1"/>
    <xf numFmtId="0" fontId="29" fillId="30" borderId="0" xfId="0" applyFont="1" applyFill="1" applyBorder="1" applyAlignment="1">
      <alignment wrapText="1"/>
    </xf>
    <xf numFmtId="0" fontId="20" fillId="30" borderId="0" xfId="0" applyFont="1" applyFill="1" applyBorder="1" applyAlignment="1">
      <alignment vertical="center" wrapText="1"/>
    </xf>
    <xf numFmtId="0" fontId="19" fillId="30" borderId="0" xfId="0" applyFont="1" applyFill="1" applyBorder="1"/>
    <xf numFmtId="0" fontId="26" fillId="30" borderId="0" xfId="0" applyFont="1" applyFill="1" applyBorder="1" applyAlignment="1">
      <alignment wrapText="1"/>
    </xf>
    <xf numFmtId="0" fontId="26" fillId="30" borderId="0" xfId="0" applyFont="1" applyFill="1" applyBorder="1"/>
    <xf numFmtId="0" fontId="61" fillId="30" borderId="0" xfId="0" applyFont="1" applyFill="1" applyBorder="1" applyAlignment="1">
      <alignment wrapText="1"/>
    </xf>
    <xf numFmtId="0" fontId="42" fillId="30" borderId="0" xfId="0" applyFont="1" applyFill="1" applyBorder="1" applyAlignment="1">
      <alignment wrapText="1"/>
    </xf>
    <xf numFmtId="188" fontId="42" fillId="30" borderId="0" xfId="0" applyNumberFormat="1" applyFont="1" applyFill="1" applyBorder="1" applyAlignment="1">
      <alignment horizontal="right"/>
    </xf>
    <xf numFmtId="0" fontId="42" fillId="27" borderId="0" xfId="0" applyFont="1" applyFill="1" applyBorder="1" applyAlignment="1">
      <alignment horizontal="right"/>
    </xf>
    <xf numFmtId="0" fontId="25" fillId="27" borderId="0" xfId="0" applyFont="1" applyFill="1" applyBorder="1" applyAlignment="1">
      <alignment horizontal="right"/>
    </xf>
    <xf numFmtId="0" fontId="61" fillId="30" borderId="0" xfId="0" applyFont="1" applyFill="1" applyBorder="1"/>
    <xf numFmtId="2" fontId="0" fillId="30" borderId="36" xfId="0" applyNumberFormat="1" applyFill="1" applyBorder="1"/>
    <xf numFmtId="188" fontId="0" fillId="30" borderId="36" xfId="0" applyNumberFormat="1" applyFill="1" applyBorder="1"/>
    <xf numFmtId="0" fontId="29" fillId="0" borderId="0" xfId="0" applyNumberFormat="1" applyFont="1" applyFill="1" applyBorder="1" applyAlignment="1"/>
    <xf numFmtId="0" fontId="0" fillId="29" borderId="0" xfId="0" applyFill="1" applyAlignment="1">
      <alignment wrapText="1"/>
    </xf>
    <xf numFmtId="0" fontId="0" fillId="29" borderId="0" xfId="0" applyFill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33" fillId="30" borderId="16" xfId="0" applyNumberFormat="1" applyFont="1" applyFill="1" applyBorder="1" applyAlignment="1">
      <alignment horizontal="center" vertical="center" wrapText="1"/>
    </xf>
    <xf numFmtId="0" fontId="33" fillId="27" borderId="16" xfId="0" applyNumberFormat="1" applyFont="1" applyFill="1" applyBorder="1" applyAlignment="1">
      <alignment horizontal="right" vertical="center" wrapText="1"/>
    </xf>
    <xf numFmtId="2" fontId="20" fillId="20" borderId="45" xfId="0" applyNumberFormat="1" applyFont="1" applyFill="1" applyBorder="1"/>
    <xf numFmtId="187" fontId="20" fillId="20" borderId="0" xfId="0" applyNumberFormat="1" applyFont="1" applyFill="1"/>
    <xf numFmtId="2" fontId="20" fillId="27" borderId="0" xfId="0" applyNumberFormat="1" applyFont="1" applyFill="1"/>
    <xf numFmtId="187" fontId="20" fillId="30" borderId="0" xfId="0" applyNumberFormat="1" applyFont="1" applyFill="1"/>
    <xf numFmtId="187" fontId="20" fillId="27" borderId="0" xfId="0" applyNumberFormat="1" applyFont="1" applyFill="1"/>
    <xf numFmtId="2" fontId="20" fillId="20" borderId="19" xfId="0" applyNumberFormat="1" applyFont="1" applyFill="1" applyBorder="1"/>
    <xf numFmtId="0" fontId="20" fillId="30" borderId="0" xfId="0" applyFont="1" applyFill="1" applyAlignment="1">
      <alignment wrapText="1"/>
    </xf>
    <xf numFmtId="2" fontId="20" fillId="20" borderId="33" xfId="0" applyNumberFormat="1" applyFont="1" applyFill="1" applyBorder="1"/>
    <xf numFmtId="187" fontId="20" fillId="20" borderId="20" xfId="0" applyNumberFormat="1" applyFont="1" applyFill="1" applyBorder="1"/>
    <xf numFmtId="2" fontId="20" fillId="27" borderId="20" xfId="0" applyNumberFormat="1" applyFont="1" applyFill="1" applyBorder="1"/>
    <xf numFmtId="187" fontId="20" fillId="30" borderId="20" xfId="0" applyNumberFormat="1" applyFont="1" applyFill="1" applyBorder="1"/>
    <xf numFmtId="0" fontId="20" fillId="27" borderId="20" xfId="0" applyFont="1" applyFill="1" applyBorder="1"/>
    <xf numFmtId="187" fontId="20" fillId="27" borderId="20" xfId="0" applyNumberFormat="1" applyFont="1" applyFill="1" applyBorder="1"/>
    <xf numFmtId="187" fontId="20" fillId="36" borderId="0" xfId="0" applyNumberFormat="1" applyFont="1" applyFill="1" applyBorder="1" applyAlignment="1">
      <alignment horizontal="right"/>
    </xf>
    <xf numFmtId="0" fontId="20" fillId="36" borderId="0" xfId="0" applyFont="1" applyFill="1" applyBorder="1" applyAlignment="1">
      <alignment horizontal="right"/>
    </xf>
    <xf numFmtId="0" fontId="25" fillId="30" borderId="0" xfId="0" applyFont="1" applyFill="1" applyBorder="1"/>
    <xf numFmtId="0" fontId="28" fillId="30" borderId="0" xfId="0" applyFont="1" applyFill="1" applyBorder="1"/>
    <xf numFmtId="0" fontId="25" fillId="36" borderId="0" xfId="0" applyFont="1" applyFill="1" applyBorder="1" applyAlignment="1">
      <alignment horizontal="right"/>
    </xf>
    <xf numFmtId="0" fontId="20" fillId="36" borderId="20" xfId="0" applyFont="1" applyFill="1" applyBorder="1" applyAlignment="1">
      <alignment horizontal="right"/>
    </xf>
    <xf numFmtId="0" fontId="20" fillId="36" borderId="0" xfId="0" applyFont="1" applyFill="1"/>
    <xf numFmtId="187" fontId="20" fillId="36" borderId="0" xfId="0" applyNumberFormat="1" applyFont="1" applyFill="1" applyAlignment="1">
      <alignment horizontal="right"/>
    </xf>
    <xf numFmtId="0" fontId="23" fillId="0" borderId="0" xfId="0" applyFont="1" applyFill="1"/>
    <xf numFmtId="0" fontId="23" fillId="0" borderId="0" xfId="0" applyNumberFormat="1" applyFont="1" applyFill="1" applyBorder="1" applyAlignment="1"/>
    <xf numFmtId="0" fontId="58" fillId="0" borderId="0" xfId="0" applyFont="1" applyFill="1"/>
    <xf numFmtId="0" fontId="41" fillId="0" borderId="0" xfId="0" applyFont="1" applyFill="1" applyAlignment="1">
      <alignment horizontal="right"/>
    </xf>
    <xf numFmtId="0" fontId="33" fillId="0" borderId="0" xfId="0" applyNumberFormat="1" applyFont="1" applyFill="1" applyBorder="1" applyAlignment="1">
      <alignment horizontal="right"/>
    </xf>
    <xf numFmtId="0" fontId="33" fillId="30" borderId="38" xfId="0" applyNumberFormat="1" applyFont="1" applyFill="1" applyBorder="1" applyAlignment="1">
      <alignment horizontal="right" vertical="center"/>
    </xf>
    <xf numFmtId="0" fontId="33" fillId="27" borderId="38" xfId="0" applyNumberFormat="1" applyFont="1" applyFill="1" applyBorder="1" applyAlignment="1">
      <alignment horizontal="right" vertical="center" wrapText="1"/>
    </xf>
    <xf numFmtId="0" fontId="33" fillId="30" borderId="39" xfId="0" applyNumberFormat="1" applyFont="1" applyFill="1" applyBorder="1" applyAlignment="1">
      <alignment horizontal="right"/>
    </xf>
    <xf numFmtId="2" fontId="33" fillId="27" borderId="39" xfId="0" applyNumberFormat="1" applyFont="1" applyFill="1" applyBorder="1" applyAlignment="1">
      <alignment horizontal="right"/>
    </xf>
    <xf numFmtId="2" fontId="20" fillId="27" borderId="39" xfId="0" applyNumberFormat="1" applyFont="1" applyFill="1" applyBorder="1"/>
    <xf numFmtId="0" fontId="33" fillId="0" borderId="0" xfId="0" applyNumberFormat="1" applyFont="1" applyFill="1" applyBorder="1" applyAlignment="1"/>
    <xf numFmtId="0" fontId="35" fillId="30" borderId="32" xfId="0" applyFont="1" applyFill="1" applyBorder="1" applyAlignment="1">
      <alignment horizontal="right" vertical="center" wrapText="1"/>
    </xf>
    <xf numFmtId="0" fontId="47" fillId="0" borderId="0" xfId="0" applyFont="1" applyFill="1" applyAlignment="1">
      <alignment horizontal="left"/>
    </xf>
    <xf numFmtId="0" fontId="43" fillId="30" borderId="0" xfId="0" applyFont="1" applyFill="1"/>
    <xf numFmtId="2" fontId="0" fillId="27" borderId="0" xfId="0" applyNumberFormat="1" applyFill="1"/>
    <xf numFmtId="0" fontId="20" fillId="26" borderId="0" xfId="0" applyFont="1" applyFill="1" applyBorder="1" applyAlignment="1">
      <alignment horizontal="right" vertical="center" wrapText="1"/>
    </xf>
    <xf numFmtId="2" fontId="20" fillId="30" borderId="0" xfId="0" applyNumberFormat="1" applyFont="1" applyFill="1" applyBorder="1" applyAlignment="1">
      <alignment horizontal="right" vertical="center" wrapText="1"/>
    </xf>
    <xf numFmtId="0" fontId="20" fillId="30" borderId="16" xfId="0" applyFont="1" applyFill="1" applyBorder="1" applyAlignment="1">
      <alignment horizontal="right" vertical="center"/>
    </xf>
    <xf numFmtId="190" fontId="0" fillId="30" borderId="0" xfId="0" applyNumberFormat="1" applyFill="1" applyBorder="1" applyAlignment="1">
      <alignment horizontal="right"/>
    </xf>
    <xf numFmtId="190" fontId="0" fillId="20" borderId="0" xfId="0" applyNumberFormat="1" applyFill="1"/>
    <xf numFmtId="2" fontId="35" fillId="30" borderId="0" xfId="0" applyNumberFormat="1" applyFont="1" applyFill="1" applyBorder="1" applyAlignment="1">
      <alignment vertical="center" wrapText="1"/>
    </xf>
    <xf numFmtId="0" fontId="46" fillId="30" borderId="16" xfId="0" applyFont="1" applyFill="1" applyBorder="1" applyAlignment="1">
      <alignment horizontal="left" wrapText="1"/>
    </xf>
    <xf numFmtId="1" fontId="35" fillId="30" borderId="0" xfId="0" applyNumberFormat="1" applyFont="1" applyFill="1" applyBorder="1" applyAlignment="1">
      <alignment horizontal="left"/>
    </xf>
    <xf numFmtId="188" fontId="0" fillId="30" borderId="0" xfId="0" applyNumberFormat="1" applyFill="1"/>
    <xf numFmtId="195" fontId="1" fillId="32" borderId="0" xfId="0" applyNumberFormat="1" applyFont="1" applyFill="1"/>
    <xf numFmtId="190" fontId="20" fillId="26" borderId="0" xfId="0" applyNumberFormat="1" applyFont="1" applyFill="1" applyBorder="1" applyAlignment="1">
      <alignment horizontal="right"/>
    </xf>
  </cellXfs>
  <cellStyles count="6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5x indented GHG Textfiels" xfId="13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AggOrange_CRFReport-template" xfId="26"/>
    <cellStyle name="AggOrange9_CRFReport-template" xfId="27"/>
    <cellStyle name="Bad" xfId="28" builtinId="27" customBuiltin="1"/>
    <cellStyle name="Calculation" xfId="29" builtinId="22" customBuiltin="1"/>
    <cellStyle name="Check Cell" xfId="30" builtinId="23" customBuiltin="1"/>
    <cellStyle name="CustomizationCells" xfId="31"/>
    <cellStyle name="Euro" xfId="32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InputCells" xfId="40"/>
    <cellStyle name="Linked Cell" xfId="41" builtinId="24" customBuiltin="1"/>
    <cellStyle name="Neutral" xfId="42" builtinId="28" customBuiltin="1"/>
    <cellStyle name="Normal" xfId="0" builtinId="0"/>
    <cellStyle name="Normal 10" xfId="43"/>
    <cellStyle name="Normal 10 2" xfId="44"/>
    <cellStyle name="Normal 2" xfId="45"/>
    <cellStyle name="Normal 3" xfId="46"/>
    <cellStyle name="Normal 4" xfId="47"/>
    <cellStyle name="Normal GHG Numbers (0.00)" xfId="48"/>
    <cellStyle name="Normal GHG Textfiels Bold" xfId="49"/>
    <cellStyle name="Normal GHG-Shade" xfId="50"/>
    <cellStyle name="Normal_cooking" xfId="51"/>
    <cellStyle name="Normal_Sheet1" xfId="52"/>
    <cellStyle name="Normale_B2020" xfId="53"/>
    <cellStyle name="Note" xfId="54" builtinId="10" customBuiltin="1"/>
    <cellStyle name="Output" xfId="55" builtinId="21" customBuiltin="1"/>
    <cellStyle name="Percent" xfId="56" builtinId="5"/>
    <cellStyle name="Standaard_Blad1" xfId="57"/>
    <cellStyle name="Standard_Sce_D_Extraction" xfId="58"/>
    <cellStyle name="Title" xfId="59" builtinId="15" customBuiltin="1"/>
    <cellStyle name="Total" xfId="60" builtinId="25" customBuiltin="1"/>
    <cellStyle name="Warning Text" xfId="61" builtinId="11" customBuiltin="1"/>
    <cellStyle name="Обычный_CRF2002 (1)" xfId="6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10"/>
  <sheetViews>
    <sheetView zoomScale="85" workbookViewId="0">
      <selection activeCell="D129" sqref="D129"/>
    </sheetView>
  </sheetViews>
  <sheetFormatPr defaultRowHeight="12.75"/>
  <sheetData>
    <row r="1" spans="1:49">
      <c r="A1" s="1" t="s">
        <v>662</v>
      </c>
      <c r="B1" s="2">
        <v>2010</v>
      </c>
      <c r="F1" s="414" t="s">
        <v>1</v>
      </c>
      <c r="G1" s="414" t="s">
        <v>46</v>
      </c>
      <c r="H1" s="414" t="s">
        <v>2</v>
      </c>
      <c r="I1" s="414">
        <v>1.0000000000000001E-9</v>
      </c>
    </row>
    <row r="2" spans="1:49">
      <c r="A2" s="415" t="s">
        <v>317</v>
      </c>
      <c r="B2" s="416" t="s">
        <v>318</v>
      </c>
    </row>
    <row r="4" spans="1:49" ht="18">
      <c r="A4" s="15" t="s">
        <v>663</v>
      </c>
      <c r="N4" s="16" t="s">
        <v>6</v>
      </c>
      <c r="O4" s="16">
        <v>1</v>
      </c>
      <c r="P4" s="6"/>
    </row>
    <row r="5" spans="1:49">
      <c r="N5" s="417" t="s">
        <v>664</v>
      </c>
      <c r="O5" s="16">
        <f>IF(Region="FIN",1,0)</f>
        <v>1</v>
      </c>
      <c r="P5" s="6"/>
    </row>
    <row r="6" spans="1:49" ht="18">
      <c r="B6" s="17" t="s">
        <v>7</v>
      </c>
      <c r="C6" s="18"/>
      <c r="D6" s="19"/>
      <c r="E6" s="19"/>
      <c r="F6" s="20"/>
      <c r="G6" s="20"/>
      <c r="H6" s="20"/>
      <c r="I6" s="20"/>
      <c r="J6" s="21"/>
      <c r="N6" s="7"/>
      <c r="O6" s="7"/>
      <c r="P6" s="6"/>
    </row>
    <row r="7" spans="1:49" ht="13.5" thickBot="1">
      <c r="B7" s="23"/>
      <c r="C7" s="24" t="s">
        <v>8</v>
      </c>
      <c r="D7" s="25"/>
      <c r="E7" s="14"/>
      <c r="F7" s="26"/>
      <c r="G7" s="26"/>
      <c r="H7" s="26"/>
      <c r="I7" s="26"/>
      <c r="J7" s="26"/>
      <c r="N7" s="27" t="s">
        <v>665</v>
      </c>
      <c r="O7" s="28">
        <v>0.22</v>
      </c>
      <c r="P7" s="29">
        <f>IF($O$4,O7)</f>
        <v>0.22</v>
      </c>
    </row>
    <row r="8" spans="1:49">
      <c r="B8" s="30" t="s">
        <v>10</v>
      </c>
      <c r="C8" s="31">
        <v>0</v>
      </c>
      <c r="D8" s="22" t="s">
        <v>11</v>
      </c>
      <c r="E8" s="26"/>
      <c r="F8" s="26"/>
      <c r="G8" s="26"/>
      <c r="H8" s="26"/>
      <c r="I8" s="26"/>
      <c r="J8" s="26"/>
      <c r="N8" s="27" t="s">
        <v>90</v>
      </c>
      <c r="O8" s="418">
        <f ca="1">0.95*110*120/1000/SCND_TRF!J90</f>
        <v>2.065182258840062E-2</v>
      </c>
      <c r="P8" s="419">
        <f ca="1">O5*O8</f>
        <v>2.065182258840062E-2</v>
      </c>
    </row>
    <row r="9" spans="1:49">
      <c r="B9" s="30" t="s">
        <v>13</v>
      </c>
      <c r="C9" s="31">
        <v>1</v>
      </c>
      <c r="D9" s="25"/>
      <c r="E9" s="26"/>
      <c r="F9" s="26"/>
      <c r="G9" s="26"/>
      <c r="H9" s="26"/>
      <c r="I9" s="22"/>
      <c r="J9" s="26"/>
      <c r="N9" s="27"/>
      <c r="O9" s="28"/>
      <c r="P9" s="32"/>
    </row>
    <row r="12" spans="1:49" ht="18">
      <c r="B12" s="17" t="s">
        <v>14</v>
      </c>
      <c r="C12" s="18"/>
      <c r="D12" s="19"/>
      <c r="E12" s="19"/>
      <c r="F12" s="20"/>
      <c r="G12" s="20"/>
      <c r="H12" s="20"/>
      <c r="I12" s="20"/>
      <c r="J12" s="35"/>
      <c r="K12" s="36"/>
    </row>
    <row r="13" spans="1:49" ht="13.5" thickBot="1">
      <c r="B13" s="23"/>
      <c r="C13" s="24" t="s">
        <v>8</v>
      </c>
      <c r="D13" s="25"/>
      <c r="E13" s="22"/>
      <c r="F13" s="26"/>
      <c r="G13" s="26"/>
      <c r="H13" s="26"/>
      <c r="I13" s="26"/>
      <c r="J13" s="26"/>
      <c r="K13" s="22"/>
    </row>
    <row r="14" spans="1:49">
      <c r="A14" s="39"/>
      <c r="B14" s="30" t="s">
        <v>15</v>
      </c>
      <c r="C14" s="31">
        <f>IF(V52+S52+R52=0,0,R52/(R52+S52+V52))</f>
        <v>0</v>
      </c>
      <c r="D14" s="25"/>
      <c r="E14" s="26"/>
      <c r="F14" s="40">
        <v>1</v>
      </c>
      <c r="G14" s="41" t="s">
        <v>16</v>
      </c>
      <c r="H14" s="42"/>
      <c r="I14" s="26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39"/>
      <c r="B15" s="30" t="s">
        <v>17</v>
      </c>
      <c r="C15" s="31">
        <f>IF(V52+S52+R52=0,0,S52/(R52+S52+V52))</f>
        <v>0</v>
      </c>
      <c r="D15" s="25"/>
      <c r="E15" s="26"/>
      <c r="F15" s="40" t="s">
        <v>18</v>
      </c>
      <c r="G15" s="41" t="s">
        <v>18</v>
      </c>
      <c r="H15" s="42"/>
      <c r="I15" s="26"/>
      <c r="J15" s="26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39"/>
      <c r="B16" s="30" t="s">
        <v>19</v>
      </c>
      <c r="C16" s="31">
        <f>IF(V52+S52+R52=0,0,V52*F16/(V52+S52+R52))</f>
        <v>0</v>
      </c>
      <c r="D16" s="25"/>
      <c r="E16" s="26"/>
      <c r="F16" s="44">
        <v>0</v>
      </c>
      <c r="G16" s="41" t="s">
        <v>20</v>
      </c>
      <c r="H16" s="42"/>
      <c r="I16" s="14"/>
      <c r="J16" s="2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39"/>
      <c r="B17" s="30" t="s">
        <v>21</v>
      </c>
      <c r="C17" s="31">
        <f>IF(V52+S52+R52=0,0,V52*F17/(V52+S52+R52))</f>
        <v>0</v>
      </c>
      <c r="D17" s="25"/>
      <c r="E17" s="26"/>
      <c r="F17" s="44">
        <v>1</v>
      </c>
      <c r="G17" s="41" t="s">
        <v>22</v>
      </c>
      <c r="H17" s="42"/>
      <c r="I17" s="14"/>
      <c r="J17" s="26"/>
      <c r="K17" s="22"/>
      <c r="M17" s="22"/>
      <c r="N17" s="22"/>
      <c r="O17" s="22"/>
      <c r="P17" s="22"/>
      <c r="Q17" s="22"/>
      <c r="R17" s="22"/>
      <c r="S17" s="22"/>
      <c r="T17" s="22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39"/>
      <c r="B18" s="45" t="s">
        <v>23</v>
      </c>
      <c r="C18" s="46">
        <f>IF(V52+S52+R52=0,0,V52*F18/(V52+S52+R52))</f>
        <v>0</v>
      </c>
      <c r="D18" s="25"/>
      <c r="E18" s="26"/>
      <c r="F18" s="44">
        <v>0</v>
      </c>
      <c r="G18" s="41" t="s">
        <v>24</v>
      </c>
      <c r="H18" s="42"/>
      <c r="I18" s="14"/>
      <c r="J18" s="26"/>
      <c r="K18" s="22"/>
      <c r="L18" s="22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39"/>
      <c r="L19" s="22"/>
      <c r="M19" s="2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</row>
    <row r="20" spans="1:49">
      <c r="A20" s="39"/>
      <c r="B20" s="30" t="s">
        <v>25</v>
      </c>
      <c r="C20" s="31">
        <f>SUM(C14:C18)</f>
        <v>0</v>
      </c>
      <c r="D20" s="25"/>
      <c r="E20" s="26"/>
      <c r="F20" s="26"/>
      <c r="G20" s="26"/>
      <c r="H20" s="26"/>
      <c r="I20" s="14"/>
      <c r="J20" s="26"/>
      <c r="L20" s="22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</row>
    <row r="21" spans="1:49" ht="18">
      <c r="A21" s="39"/>
      <c r="B21" s="47" t="s">
        <v>26</v>
      </c>
      <c r="C21" s="18"/>
      <c r="D21" s="18"/>
      <c r="E21" s="18"/>
      <c r="F21" s="19"/>
      <c r="G21" s="19"/>
      <c r="H21" s="20"/>
      <c r="I21" s="48"/>
      <c r="J21" s="48"/>
      <c r="L21" s="22"/>
      <c r="M21" s="25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</row>
    <row r="22" spans="1:49" ht="34.5" thickBot="1">
      <c r="A22" s="39"/>
      <c r="B22" s="23"/>
      <c r="C22" s="420" t="str">
        <f>C129</f>
        <v>GAS</v>
      </c>
      <c r="D22" s="420" t="str">
        <f>D129</f>
        <v>COAL</v>
      </c>
      <c r="E22" s="420" t="str">
        <f>E129</f>
        <v>CRUDE OIL</v>
      </c>
      <c r="F22" s="420" t="str">
        <f>F129</f>
        <v>OIL PRODUCTS</v>
      </c>
      <c r="G22" s="420" t="s">
        <v>27</v>
      </c>
      <c r="H22" s="420" t="str">
        <f>H129</f>
        <v>RENEWABLES</v>
      </c>
      <c r="I22" s="420" t="str">
        <f>I129</f>
        <v>ELECTRICITY</v>
      </c>
      <c r="J22" s="420" t="str">
        <f>J129</f>
        <v>HEAT</v>
      </c>
      <c r="M22" s="2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</row>
    <row r="23" spans="1:49">
      <c r="A23" s="39"/>
      <c r="B23" s="45" t="s">
        <v>28</v>
      </c>
      <c r="C23" s="52">
        <f>C24+C25+C26</f>
        <v>1</v>
      </c>
      <c r="D23" s="52" t="s">
        <v>29</v>
      </c>
      <c r="E23" s="52">
        <f>E24+E25+E26</f>
        <v>1</v>
      </c>
      <c r="F23" s="52">
        <f>E23</f>
        <v>1</v>
      </c>
      <c r="G23" s="52" t="s">
        <v>29</v>
      </c>
      <c r="H23" s="52" t="s">
        <v>29</v>
      </c>
      <c r="I23" s="52">
        <f>I24+I25+I26</f>
        <v>1</v>
      </c>
      <c r="J23" s="52">
        <f>J24+J25+J26</f>
        <v>1</v>
      </c>
      <c r="L23" s="14"/>
      <c r="M23" s="2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</row>
    <row r="24" spans="1:49">
      <c r="A24" s="39"/>
      <c r="B24" s="30" t="s">
        <v>30</v>
      </c>
      <c r="C24" s="53">
        <v>0.3</v>
      </c>
      <c r="D24" s="42">
        <v>0</v>
      </c>
      <c r="E24" s="53">
        <v>0.2</v>
      </c>
      <c r="F24" s="42">
        <f>E24</f>
        <v>0.2</v>
      </c>
      <c r="G24" s="42">
        <v>0</v>
      </c>
      <c r="H24" s="42">
        <v>0</v>
      </c>
      <c r="I24" s="53">
        <v>0.3</v>
      </c>
      <c r="J24" s="53">
        <v>0.3</v>
      </c>
      <c r="L24" s="22"/>
      <c r="M24" s="2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</row>
    <row r="25" spans="1:49">
      <c r="A25" s="39"/>
      <c r="B25" s="30" t="s">
        <v>31</v>
      </c>
      <c r="C25" s="53">
        <v>0.4</v>
      </c>
      <c r="D25" s="42">
        <v>0</v>
      </c>
      <c r="E25" s="53">
        <v>0.5</v>
      </c>
      <c r="F25" s="42">
        <f>E25</f>
        <v>0.5</v>
      </c>
      <c r="G25" s="42">
        <v>0</v>
      </c>
      <c r="H25" s="42">
        <v>0</v>
      </c>
      <c r="I25" s="53">
        <v>0.4</v>
      </c>
      <c r="J25" s="53">
        <v>0.4</v>
      </c>
      <c r="K25" s="22"/>
      <c r="L25" s="22"/>
      <c r="M25" s="2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</row>
    <row r="26" spans="1:49">
      <c r="A26" s="22"/>
      <c r="B26" s="30" t="s">
        <v>32</v>
      </c>
      <c r="C26" s="53">
        <v>0.3</v>
      </c>
      <c r="D26" s="42">
        <v>0</v>
      </c>
      <c r="E26" s="53">
        <v>0.3</v>
      </c>
      <c r="F26" s="42">
        <f>E26</f>
        <v>0.3</v>
      </c>
      <c r="G26" s="42">
        <v>0</v>
      </c>
      <c r="H26" s="42">
        <v>0</v>
      </c>
      <c r="I26" s="53">
        <v>0.3</v>
      </c>
      <c r="J26" s="53">
        <v>0.3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</row>
    <row r="27" spans="1:49">
      <c r="A27" s="14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</row>
    <row r="28" spans="1:49">
      <c r="A28" s="22"/>
      <c r="K28" s="49"/>
      <c r="L28" s="49"/>
      <c r="M28" s="49"/>
      <c r="N28" s="49"/>
      <c r="O28" s="49"/>
      <c r="P28" s="49"/>
      <c r="Q28" s="49"/>
      <c r="R28" s="49"/>
      <c r="S28" s="57"/>
      <c r="T28" s="49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</row>
    <row r="29" spans="1:49" ht="18">
      <c r="A29" s="22"/>
      <c r="B29" s="56" t="s">
        <v>33</v>
      </c>
      <c r="C29" s="18"/>
      <c r="D29" s="18"/>
      <c r="E29" s="18"/>
      <c r="F29" s="18"/>
      <c r="G29" s="19"/>
      <c r="H29" s="19"/>
      <c r="I29" s="19"/>
      <c r="J29" s="48"/>
      <c r="K29" s="49"/>
      <c r="L29" s="49"/>
      <c r="M29" s="49"/>
      <c r="N29" s="49"/>
      <c r="O29" s="49"/>
      <c r="P29" s="49"/>
      <c r="Q29" s="49"/>
      <c r="R29" s="49"/>
      <c r="S29" s="57"/>
      <c r="T29" s="49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</row>
    <row r="30" spans="1:49" ht="13.5" thickBot="1">
      <c r="A30" s="22"/>
      <c r="B30" s="58"/>
      <c r="C30" s="59" t="s">
        <v>34</v>
      </c>
      <c r="D30" s="22"/>
      <c r="E30" s="14" t="s">
        <v>35</v>
      </c>
      <c r="F30" s="22"/>
      <c r="G30" s="22"/>
      <c r="H30" s="22"/>
      <c r="I30" s="22"/>
      <c r="J30" s="22"/>
      <c r="K30" s="60"/>
      <c r="L30" s="49"/>
      <c r="M30" s="49"/>
      <c r="N30" s="49"/>
      <c r="O30" s="49"/>
      <c r="P30" s="49"/>
      <c r="Q30" s="49"/>
      <c r="R30" s="49"/>
      <c r="S30" s="57"/>
      <c r="T30" s="49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</row>
    <row r="31" spans="1:49">
      <c r="A31" s="22"/>
      <c r="B31" s="30" t="s">
        <v>36</v>
      </c>
      <c r="C31" s="42">
        <f>B52/MAX(0.001,(B52+C52))</f>
        <v>0</v>
      </c>
      <c r="D31" s="22"/>
      <c r="E31" s="22"/>
      <c r="F31" s="22"/>
      <c r="G31" s="22"/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49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</row>
    <row r="32" spans="1:49">
      <c r="A32" s="22"/>
      <c r="B32" s="30" t="s">
        <v>37</v>
      </c>
      <c r="C32" s="42">
        <f>1-C31</f>
        <v>1</v>
      </c>
      <c r="D32" s="22"/>
      <c r="E32" s="22"/>
      <c r="F32" s="22"/>
      <c r="G32" s="22"/>
      <c r="H32" s="22"/>
      <c r="I32" s="22"/>
      <c r="J32" s="22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</row>
    <row r="33" spans="1:49">
      <c r="A33" s="61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2"/>
      <c r="AW33" s="62"/>
    </row>
    <row r="34" spans="1:49">
      <c r="A34" s="64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</row>
    <row r="35" spans="1:49" ht="18">
      <c r="A35" s="22"/>
      <c r="B35" s="56" t="s">
        <v>38</v>
      </c>
      <c r="C35" s="18"/>
      <c r="D35" s="18"/>
      <c r="E35" s="18"/>
      <c r="F35" s="18"/>
      <c r="G35" s="18"/>
      <c r="H35" s="65"/>
      <c r="I35" s="18"/>
      <c r="J35" s="66"/>
      <c r="K35" s="66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</row>
    <row r="36" spans="1:49" ht="34.5" thickBot="1">
      <c r="A36" s="22"/>
      <c r="B36" s="58"/>
      <c r="C36" s="420" t="str">
        <f>C129</f>
        <v>GAS</v>
      </c>
      <c r="D36" s="420" t="str">
        <f>D129</f>
        <v>COAL</v>
      </c>
      <c r="E36" s="420" t="str">
        <f>E129</f>
        <v>CRUDE OIL</v>
      </c>
      <c r="F36" s="420" t="str">
        <f>F129</f>
        <v>OIL PRODUCTS</v>
      </c>
      <c r="G36" s="420" t="s">
        <v>27</v>
      </c>
      <c r="H36" s="420" t="str">
        <f>H129</f>
        <v>RENEWABLES</v>
      </c>
      <c r="I36" s="420" t="str">
        <f>I129</f>
        <v>ELECTRICITY</v>
      </c>
      <c r="J36" s="420" t="str">
        <f>J129</f>
        <v>HEAT</v>
      </c>
      <c r="K36" s="62"/>
      <c r="L36" s="62"/>
      <c r="M36" s="62"/>
      <c r="N36" s="62"/>
      <c r="O36" s="62"/>
      <c r="P36" s="62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</row>
    <row r="37" spans="1:49">
      <c r="A37" s="67"/>
      <c r="B37" s="45" t="s">
        <v>39</v>
      </c>
      <c r="C37" s="52">
        <f>C38+C39</f>
        <v>1</v>
      </c>
      <c r="D37" s="52">
        <f>D38+D39</f>
        <v>1</v>
      </c>
      <c r="E37" s="52">
        <f>E38+E39</f>
        <v>1</v>
      </c>
      <c r="F37" s="52">
        <f t="shared" ref="F37:G39" si="0">E37</f>
        <v>1</v>
      </c>
      <c r="G37" s="52">
        <f t="shared" si="0"/>
        <v>1</v>
      </c>
      <c r="H37" s="52" t="s">
        <v>29</v>
      </c>
      <c r="I37" s="52">
        <f>I38+I39</f>
        <v>1</v>
      </c>
      <c r="J37" s="52">
        <f>J38+J39</f>
        <v>1</v>
      </c>
      <c r="K37" s="57"/>
      <c r="L37" s="57"/>
      <c r="M37" s="62"/>
      <c r="N37" s="57"/>
      <c r="O37" s="57"/>
      <c r="P37" s="57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</row>
    <row r="38" spans="1:49">
      <c r="A38" s="22"/>
      <c r="B38" s="45" t="s">
        <v>40</v>
      </c>
      <c r="C38" s="68">
        <v>0.5</v>
      </c>
      <c r="D38" s="68">
        <v>0.5</v>
      </c>
      <c r="E38" s="68">
        <v>0.5</v>
      </c>
      <c r="F38" s="52">
        <f t="shared" si="0"/>
        <v>0.5</v>
      </c>
      <c r="G38" s="52">
        <f t="shared" si="0"/>
        <v>0.5</v>
      </c>
      <c r="H38" s="52">
        <v>0</v>
      </c>
      <c r="I38" s="69">
        <v>0.5</v>
      </c>
      <c r="J38" s="69">
        <v>0.5</v>
      </c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</row>
    <row r="39" spans="1:49">
      <c r="A39" s="22"/>
      <c r="B39" s="71" t="s">
        <v>41</v>
      </c>
      <c r="C39" s="72">
        <v>0.5</v>
      </c>
      <c r="D39" s="72">
        <v>0.5</v>
      </c>
      <c r="E39" s="72">
        <v>0.5</v>
      </c>
      <c r="F39" s="73">
        <f t="shared" si="0"/>
        <v>0.5</v>
      </c>
      <c r="G39" s="73">
        <f t="shared" si="0"/>
        <v>0.5</v>
      </c>
      <c r="H39" s="73">
        <v>0</v>
      </c>
      <c r="I39" s="74">
        <v>0.5</v>
      </c>
      <c r="J39" s="74">
        <v>0.5</v>
      </c>
      <c r="K39" s="57"/>
      <c r="M39" s="57"/>
      <c r="N39" s="75"/>
      <c r="O39" s="76" t="s">
        <v>42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</row>
    <row r="40" spans="1:49">
      <c r="A40" s="14"/>
      <c r="B40" s="30" t="s">
        <v>43</v>
      </c>
      <c r="C40" s="42">
        <f t="shared" ref="C40:J40" si="1">SUM(C41:C46)</f>
        <v>0.83333333333333337</v>
      </c>
      <c r="D40" s="42">
        <f t="shared" si="1"/>
        <v>0.83333333333333337</v>
      </c>
      <c r="E40" s="42">
        <f t="shared" si="1"/>
        <v>0.83333333333333337</v>
      </c>
      <c r="F40" s="42">
        <f t="shared" si="1"/>
        <v>0.83333333333333337</v>
      </c>
      <c r="G40" s="42">
        <f t="shared" si="1"/>
        <v>0.83333333333333337</v>
      </c>
      <c r="H40" s="42">
        <f t="shared" si="1"/>
        <v>0.83333333333333337</v>
      </c>
      <c r="I40" s="42">
        <f t="shared" si="1"/>
        <v>0.83333333333333337</v>
      </c>
      <c r="J40" s="42">
        <f t="shared" si="1"/>
        <v>0.83333333333333337</v>
      </c>
      <c r="K40" s="57"/>
      <c r="L40" s="14"/>
      <c r="M40" s="57"/>
      <c r="N40" s="77" t="s">
        <v>666</v>
      </c>
      <c r="O40" s="78">
        <v>0</v>
      </c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</row>
    <row r="41" spans="1:49">
      <c r="A41" s="14"/>
      <c r="B41" s="79" t="s">
        <v>45</v>
      </c>
      <c r="C41" s="80">
        <f t="shared" ref="C41:J41" si="2">$C$8*$F$14/1.2</f>
        <v>0</v>
      </c>
      <c r="D41" s="80">
        <f t="shared" si="2"/>
        <v>0</v>
      </c>
      <c r="E41" s="80">
        <f t="shared" si="2"/>
        <v>0</v>
      </c>
      <c r="F41" s="80">
        <f t="shared" si="2"/>
        <v>0</v>
      </c>
      <c r="G41" s="80">
        <f t="shared" si="2"/>
        <v>0</v>
      </c>
      <c r="H41" s="80">
        <f t="shared" si="2"/>
        <v>0</v>
      </c>
      <c r="I41" s="80">
        <f t="shared" si="2"/>
        <v>0</v>
      </c>
      <c r="J41" s="80">
        <f t="shared" si="2"/>
        <v>0</v>
      </c>
      <c r="K41" s="57"/>
      <c r="L41" s="57"/>
      <c r="M41" s="57"/>
      <c r="N41" s="81" t="s">
        <v>667</v>
      </c>
      <c r="O41" s="82">
        <v>0</v>
      </c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</row>
    <row r="42" spans="1:49">
      <c r="A42" s="22"/>
      <c r="B42" s="79" t="s">
        <v>47</v>
      </c>
      <c r="C42" s="80">
        <f t="shared" ref="C42:J42" si="3">$C$9*$F$14/1.2</f>
        <v>0.83333333333333337</v>
      </c>
      <c r="D42" s="80">
        <f t="shared" si="3"/>
        <v>0.83333333333333337</v>
      </c>
      <c r="E42" s="80">
        <f t="shared" si="3"/>
        <v>0.83333333333333337</v>
      </c>
      <c r="F42" s="80">
        <f t="shared" si="3"/>
        <v>0.83333333333333337</v>
      </c>
      <c r="G42" s="80">
        <f t="shared" si="3"/>
        <v>0.83333333333333337</v>
      </c>
      <c r="H42" s="80">
        <f t="shared" si="3"/>
        <v>0.83333333333333337</v>
      </c>
      <c r="I42" s="80">
        <f t="shared" si="3"/>
        <v>0.83333333333333337</v>
      </c>
      <c r="J42" s="80">
        <f t="shared" si="3"/>
        <v>0.83333333333333337</v>
      </c>
      <c r="K42" s="57"/>
      <c r="M42" s="57"/>
      <c r="N42" s="81" t="s">
        <v>46</v>
      </c>
      <c r="O42" s="82">
        <v>10.488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>
      <c r="A43" s="22"/>
      <c r="B43" s="79" t="s">
        <v>19</v>
      </c>
      <c r="C43" s="80">
        <f t="shared" ref="C43:J43" si="4">$C$16*3</f>
        <v>0</v>
      </c>
      <c r="D43" s="80">
        <f t="shared" si="4"/>
        <v>0</v>
      </c>
      <c r="E43" s="80">
        <f t="shared" si="4"/>
        <v>0</v>
      </c>
      <c r="F43" s="80">
        <f t="shared" si="4"/>
        <v>0</v>
      </c>
      <c r="G43" s="80">
        <f t="shared" si="4"/>
        <v>0</v>
      </c>
      <c r="H43" s="80">
        <f t="shared" si="4"/>
        <v>0</v>
      </c>
      <c r="I43" s="80">
        <f t="shared" si="4"/>
        <v>0</v>
      </c>
      <c r="J43" s="80">
        <f t="shared" si="4"/>
        <v>0</v>
      </c>
      <c r="K43" s="57"/>
      <c r="L43" s="14"/>
      <c r="M43" s="57"/>
      <c r="N43" s="81" t="s">
        <v>668</v>
      </c>
      <c r="O43" s="82">
        <v>0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</row>
    <row r="44" spans="1:49">
      <c r="A44" s="22"/>
      <c r="B44" s="79" t="s">
        <v>21</v>
      </c>
      <c r="C44" s="80">
        <f t="shared" ref="C44:J44" si="5">$C$17*2</f>
        <v>0</v>
      </c>
      <c r="D44" s="80">
        <f t="shared" si="5"/>
        <v>0</v>
      </c>
      <c r="E44" s="80">
        <f t="shared" si="5"/>
        <v>0</v>
      </c>
      <c r="F44" s="80">
        <f t="shared" si="5"/>
        <v>0</v>
      </c>
      <c r="G44" s="80">
        <f t="shared" si="5"/>
        <v>0</v>
      </c>
      <c r="H44" s="80">
        <f t="shared" si="5"/>
        <v>0</v>
      </c>
      <c r="I44" s="80">
        <f t="shared" si="5"/>
        <v>0</v>
      </c>
      <c r="J44" s="80">
        <f t="shared" si="5"/>
        <v>0</v>
      </c>
      <c r="K44" s="57"/>
      <c r="M44" s="57"/>
      <c r="N44" s="83" t="s">
        <v>668</v>
      </c>
      <c r="O44" s="84">
        <v>0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</row>
    <row r="45" spans="1:49">
      <c r="A45" s="22"/>
      <c r="B45" s="79" t="s">
        <v>17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57"/>
      <c r="L45" s="14"/>
      <c r="M45" s="57"/>
      <c r="N45" s="85" t="str">
        <f>IF(ISNA(MATCH(Region,$N$40:$N$44,0)),NA(),Region)</f>
        <v>FIN</v>
      </c>
      <c r="O45" s="421">
        <f ca="1">IF(ISNA(N45),0,OFFSET($O$39,RegIndex,0))</f>
        <v>10.488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</row>
    <row r="46" spans="1:49">
      <c r="A46" s="22"/>
      <c r="B46" s="87" t="s">
        <v>23</v>
      </c>
      <c r="C46" s="80">
        <f t="shared" ref="C46:J46" si="6">$C$18*5</f>
        <v>0</v>
      </c>
      <c r="D46" s="80">
        <f t="shared" si="6"/>
        <v>0</v>
      </c>
      <c r="E46" s="80">
        <f t="shared" si="6"/>
        <v>0</v>
      </c>
      <c r="F46" s="80">
        <f t="shared" si="6"/>
        <v>0</v>
      </c>
      <c r="G46" s="80">
        <f t="shared" si="6"/>
        <v>0</v>
      </c>
      <c r="H46" s="80">
        <f t="shared" si="6"/>
        <v>0</v>
      </c>
      <c r="I46" s="80">
        <f t="shared" si="6"/>
        <v>0</v>
      </c>
      <c r="J46" s="80">
        <f t="shared" si="6"/>
        <v>0</v>
      </c>
      <c r="K46" s="57"/>
      <c r="L46" s="14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</row>
    <row r="47" spans="1:49">
      <c r="A47" s="22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</row>
    <row r="48" spans="1:49">
      <c r="A48" s="88"/>
      <c r="B48" s="89"/>
      <c r="C48" s="26"/>
      <c r="D48" s="26"/>
      <c r="E48" s="26"/>
      <c r="F48" s="26"/>
      <c r="G48" s="26"/>
      <c r="H48" s="26"/>
      <c r="I48" s="26"/>
      <c r="J48" s="26"/>
      <c r="K48" s="48"/>
      <c r="L48" s="90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</row>
    <row r="49" spans="1:52" ht="18">
      <c r="A49" s="25"/>
      <c r="B49" s="47" t="s">
        <v>50</v>
      </c>
      <c r="C49" s="91"/>
      <c r="D49" s="36"/>
      <c r="E49" s="25"/>
      <c r="F49" s="92"/>
      <c r="G49" s="92"/>
      <c r="H49" s="55"/>
      <c r="I49" s="55"/>
      <c r="J49" s="55"/>
      <c r="K49" s="55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52">
      <c r="A50" s="93"/>
      <c r="B50" s="422">
        <f>0.041868</f>
        <v>4.1868000000000002E-2</v>
      </c>
      <c r="C50" s="423">
        <f t="shared" ref="C50:AW50" si="7">$B$50</f>
        <v>4.1868000000000002E-2</v>
      </c>
      <c r="D50" s="423">
        <f t="shared" si="7"/>
        <v>4.1868000000000002E-2</v>
      </c>
      <c r="E50" s="423">
        <f t="shared" si="7"/>
        <v>4.1868000000000002E-2</v>
      </c>
      <c r="F50" s="423">
        <f t="shared" si="7"/>
        <v>4.1868000000000002E-2</v>
      </c>
      <c r="G50" s="423">
        <f t="shared" si="7"/>
        <v>4.1868000000000002E-2</v>
      </c>
      <c r="H50" s="423">
        <f t="shared" si="7"/>
        <v>4.1868000000000002E-2</v>
      </c>
      <c r="I50" s="423">
        <f t="shared" si="7"/>
        <v>4.1868000000000002E-2</v>
      </c>
      <c r="J50" s="423">
        <f t="shared" si="7"/>
        <v>4.1868000000000002E-2</v>
      </c>
      <c r="K50" s="423">
        <f t="shared" si="7"/>
        <v>4.1868000000000002E-2</v>
      </c>
      <c r="L50" s="423">
        <f t="shared" si="7"/>
        <v>4.1868000000000002E-2</v>
      </c>
      <c r="M50" s="423">
        <f t="shared" si="7"/>
        <v>4.1868000000000002E-2</v>
      </c>
      <c r="N50" s="423">
        <f t="shared" si="7"/>
        <v>4.1868000000000002E-2</v>
      </c>
      <c r="O50" s="423">
        <f t="shared" si="7"/>
        <v>4.1868000000000002E-2</v>
      </c>
      <c r="P50" s="423">
        <f t="shared" si="7"/>
        <v>4.1868000000000002E-2</v>
      </c>
      <c r="Q50" s="423">
        <f t="shared" si="7"/>
        <v>4.1868000000000002E-2</v>
      </c>
      <c r="R50" s="423">
        <f t="shared" si="7"/>
        <v>4.1868000000000002E-2</v>
      </c>
      <c r="S50" s="423">
        <f t="shared" si="7"/>
        <v>4.1868000000000002E-2</v>
      </c>
      <c r="T50" s="423">
        <f t="shared" si="7"/>
        <v>4.1868000000000002E-2</v>
      </c>
      <c r="U50" s="423">
        <f t="shared" si="7"/>
        <v>4.1868000000000002E-2</v>
      </c>
      <c r="V50" s="423">
        <f t="shared" si="7"/>
        <v>4.1868000000000002E-2</v>
      </c>
      <c r="W50" s="423">
        <f t="shared" si="7"/>
        <v>4.1868000000000002E-2</v>
      </c>
      <c r="X50" s="423">
        <f t="shared" si="7"/>
        <v>4.1868000000000002E-2</v>
      </c>
      <c r="Y50" s="423">
        <f t="shared" si="7"/>
        <v>4.1868000000000002E-2</v>
      </c>
      <c r="Z50" s="423">
        <f t="shared" si="7"/>
        <v>4.1868000000000002E-2</v>
      </c>
      <c r="AA50" s="423">
        <f t="shared" si="7"/>
        <v>4.1868000000000002E-2</v>
      </c>
      <c r="AB50" s="423">
        <f t="shared" si="7"/>
        <v>4.1868000000000002E-2</v>
      </c>
      <c r="AC50" s="423">
        <f t="shared" si="7"/>
        <v>4.1868000000000002E-2</v>
      </c>
      <c r="AD50" s="423">
        <f t="shared" si="7"/>
        <v>4.1868000000000002E-2</v>
      </c>
      <c r="AE50" s="423">
        <f t="shared" si="7"/>
        <v>4.1868000000000002E-2</v>
      </c>
      <c r="AF50" s="423">
        <f t="shared" si="7"/>
        <v>4.1868000000000002E-2</v>
      </c>
      <c r="AG50" s="423">
        <f t="shared" si="7"/>
        <v>4.1868000000000002E-2</v>
      </c>
      <c r="AH50" s="423">
        <f t="shared" si="7"/>
        <v>4.1868000000000002E-2</v>
      </c>
      <c r="AI50" s="423">
        <f t="shared" si="7"/>
        <v>4.1868000000000002E-2</v>
      </c>
      <c r="AJ50" s="423">
        <f t="shared" si="7"/>
        <v>4.1868000000000002E-2</v>
      </c>
      <c r="AK50" s="423">
        <f t="shared" si="7"/>
        <v>4.1868000000000002E-2</v>
      </c>
      <c r="AL50" s="423">
        <f t="shared" si="7"/>
        <v>4.1868000000000002E-2</v>
      </c>
      <c r="AM50" s="423">
        <f t="shared" si="7"/>
        <v>4.1868000000000002E-2</v>
      </c>
      <c r="AN50" s="423">
        <f t="shared" si="7"/>
        <v>4.1868000000000002E-2</v>
      </c>
      <c r="AO50" s="423">
        <f t="shared" si="7"/>
        <v>4.1868000000000002E-2</v>
      </c>
      <c r="AP50" s="423">
        <f t="shared" si="7"/>
        <v>4.1868000000000002E-2</v>
      </c>
      <c r="AQ50" s="423">
        <f t="shared" si="7"/>
        <v>4.1868000000000002E-2</v>
      </c>
      <c r="AR50" s="423">
        <f t="shared" si="7"/>
        <v>4.1868000000000002E-2</v>
      </c>
      <c r="AS50" s="423">
        <f t="shared" si="7"/>
        <v>4.1868000000000002E-2</v>
      </c>
      <c r="AT50" s="423">
        <f t="shared" si="7"/>
        <v>4.1868000000000002E-2</v>
      </c>
      <c r="AU50" s="423">
        <f t="shared" si="7"/>
        <v>4.1868000000000002E-2</v>
      </c>
      <c r="AV50" s="423">
        <f t="shared" si="7"/>
        <v>4.1868000000000002E-2</v>
      </c>
      <c r="AW50" s="423">
        <f t="shared" si="7"/>
        <v>4.1868000000000002E-2</v>
      </c>
    </row>
    <row r="51" spans="1:52" ht="45.75" thickBot="1">
      <c r="A51" s="96" t="s">
        <v>51</v>
      </c>
      <c r="B51" s="424" t="s">
        <v>52</v>
      </c>
      <c r="C51" s="420" t="s">
        <v>53</v>
      </c>
      <c r="D51" s="425" t="s">
        <v>54</v>
      </c>
      <c r="E51" s="425" t="s">
        <v>55</v>
      </c>
      <c r="F51" s="425" t="s">
        <v>56</v>
      </c>
      <c r="G51" s="425" t="s">
        <v>57</v>
      </c>
      <c r="H51" s="425" t="s">
        <v>58</v>
      </c>
      <c r="I51" s="425" t="s">
        <v>59</v>
      </c>
      <c r="J51" s="425" t="s">
        <v>60</v>
      </c>
      <c r="K51" s="425" t="s">
        <v>61</v>
      </c>
      <c r="L51" s="425" t="s">
        <v>62</v>
      </c>
      <c r="M51" s="426" t="s">
        <v>63</v>
      </c>
      <c r="N51" s="420" t="s">
        <v>64</v>
      </c>
      <c r="O51" s="420" t="s">
        <v>65</v>
      </c>
      <c r="P51" s="425" t="s">
        <v>66</v>
      </c>
      <c r="Q51" s="425" t="s">
        <v>67</v>
      </c>
      <c r="R51" s="425" t="s">
        <v>68</v>
      </c>
      <c r="S51" s="425" t="s">
        <v>17</v>
      </c>
      <c r="T51" s="425" t="s">
        <v>69</v>
      </c>
      <c r="U51" s="425" t="s">
        <v>70</v>
      </c>
      <c r="V51" s="425" t="s">
        <v>71</v>
      </c>
      <c r="W51" s="425" t="s">
        <v>72</v>
      </c>
      <c r="X51" s="425" t="s">
        <v>73</v>
      </c>
      <c r="Y51" s="425" t="s">
        <v>74</v>
      </c>
      <c r="Z51" s="425" t="s">
        <v>75</v>
      </c>
      <c r="AA51" s="425" t="s">
        <v>76</v>
      </c>
      <c r="AB51" s="425" t="s">
        <v>77</v>
      </c>
      <c r="AC51" s="425" t="s">
        <v>78</v>
      </c>
      <c r="AD51" s="425" t="s">
        <v>79</v>
      </c>
      <c r="AE51" s="425" t="s">
        <v>80</v>
      </c>
      <c r="AF51" s="425" t="s">
        <v>81</v>
      </c>
      <c r="AG51" s="425" t="s">
        <v>82</v>
      </c>
      <c r="AH51" s="425" t="s">
        <v>83</v>
      </c>
      <c r="AI51" s="425" t="s">
        <v>84</v>
      </c>
      <c r="AJ51" s="425" t="s">
        <v>85</v>
      </c>
      <c r="AK51" s="425" t="s">
        <v>86</v>
      </c>
      <c r="AL51" s="425" t="s">
        <v>87</v>
      </c>
      <c r="AM51" s="425" t="s">
        <v>88</v>
      </c>
      <c r="AN51" s="425" t="s">
        <v>89</v>
      </c>
      <c r="AO51" s="425" t="s">
        <v>90</v>
      </c>
      <c r="AP51" s="425" t="s">
        <v>91</v>
      </c>
      <c r="AQ51" s="420" t="s">
        <v>92</v>
      </c>
      <c r="AR51" s="425" t="s">
        <v>93</v>
      </c>
      <c r="AS51" s="425" t="s">
        <v>94</v>
      </c>
      <c r="AT51" s="425" t="s">
        <v>95</v>
      </c>
      <c r="AU51" s="425" t="s">
        <v>96</v>
      </c>
      <c r="AV51" s="425" t="s">
        <v>97</v>
      </c>
      <c r="AW51" s="425" t="s">
        <v>98</v>
      </c>
      <c r="AY51" t="s">
        <v>99</v>
      </c>
      <c r="AZ51" t="s">
        <v>100</v>
      </c>
    </row>
    <row r="52" spans="1:52">
      <c r="A52" s="79" t="s">
        <v>101</v>
      </c>
      <c r="B52" s="101">
        <v>0</v>
      </c>
      <c r="C52" s="102">
        <v>75.497717375999997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326.58124381200003</v>
      </c>
      <c r="L52" s="102">
        <v>1.783660536</v>
      </c>
      <c r="M52" s="102">
        <v>10.421991900000002</v>
      </c>
      <c r="N52" s="102">
        <v>1.6916765400000002</v>
      </c>
      <c r="O52" s="102">
        <v>13.166816111999999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1.7835768000000001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248.77203602400002</v>
      </c>
      <c r="AO52" s="102">
        <v>46.527573455999999</v>
      </c>
      <c r="AP52" s="102">
        <v>0</v>
      </c>
      <c r="AQ52" s="102">
        <v>5.6982348000000002E-2</v>
      </c>
      <c r="AR52" s="102">
        <v>0</v>
      </c>
      <c r="AS52" s="102">
        <v>1.0585905120000001</v>
      </c>
      <c r="AT52" s="102">
        <v>0</v>
      </c>
      <c r="AU52" s="102">
        <v>0</v>
      </c>
      <c r="AV52" s="102">
        <v>4.1262588720000002</v>
      </c>
      <c r="AW52" s="102">
        <v>731.46812428800001</v>
      </c>
    </row>
    <row r="53" spans="1:52">
      <c r="A53" s="79" t="s">
        <v>102</v>
      </c>
      <c r="B53" s="101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</row>
    <row r="54" spans="1:52">
      <c r="A54" s="103" t="s">
        <v>103</v>
      </c>
      <c r="B54" s="101">
        <v>154.17916120800001</v>
      </c>
      <c r="C54" s="102">
        <v>7.1343072000000007E-2</v>
      </c>
      <c r="D54" s="102">
        <v>12.921302160000002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2.3575452120000002</v>
      </c>
      <c r="L54" s="102">
        <v>0</v>
      </c>
      <c r="M54" s="102">
        <v>0</v>
      </c>
      <c r="N54" s="102">
        <v>0</v>
      </c>
      <c r="O54" s="102">
        <v>4.4511964200000005</v>
      </c>
      <c r="P54" s="102">
        <v>0</v>
      </c>
      <c r="Q54" s="102">
        <v>160.62218586</v>
      </c>
      <c r="R54" s="102">
        <v>459.44821137600002</v>
      </c>
      <c r="S54" s="102">
        <v>19.447979076000003</v>
      </c>
      <c r="T54" s="102">
        <v>0</v>
      </c>
      <c r="U54" s="102">
        <v>0.22608720000000002</v>
      </c>
      <c r="V54" s="102">
        <v>0</v>
      </c>
      <c r="W54" s="102">
        <v>0</v>
      </c>
      <c r="X54" s="102">
        <v>0</v>
      </c>
      <c r="Y54" s="102">
        <v>11.776003020000001</v>
      </c>
      <c r="Z54" s="102">
        <v>0.74801368800000001</v>
      </c>
      <c r="AA54" s="102">
        <v>0.39598754400000002</v>
      </c>
      <c r="AB54" s="102">
        <v>0</v>
      </c>
      <c r="AC54" s="102">
        <v>4.8159923040000008</v>
      </c>
      <c r="AD54" s="102">
        <v>28.466011332000001</v>
      </c>
      <c r="AE54" s="102">
        <v>77.915385036000004</v>
      </c>
      <c r="AF54" s="102">
        <v>28.919986055999999</v>
      </c>
      <c r="AG54" s="102">
        <v>19.272007872</v>
      </c>
      <c r="AH54" s="102">
        <v>8.7211044000000015E-2</v>
      </c>
      <c r="AI54" s="102">
        <v>6.5100134520000008</v>
      </c>
      <c r="AJ54" s="102">
        <v>4.602004956</v>
      </c>
      <c r="AK54" s="102">
        <v>0.11999368800000002</v>
      </c>
      <c r="AL54" s="102">
        <v>3.23200026</v>
      </c>
      <c r="AM54" s="102">
        <v>15.759994428000001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02">
        <v>0</v>
      </c>
      <c r="AU54" s="102">
        <v>56.598585912000004</v>
      </c>
      <c r="AV54" s="102">
        <v>0</v>
      </c>
      <c r="AW54" s="102">
        <v>1072.9442021760001</v>
      </c>
      <c r="AY54">
        <v>34725.749184359993</v>
      </c>
    </row>
    <row r="55" spans="1:52">
      <c r="A55" s="103" t="s">
        <v>104</v>
      </c>
      <c r="B55" s="101">
        <v>0</v>
      </c>
      <c r="C55" s="102">
        <v>-0.17643175200000003</v>
      </c>
      <c r="D55" s="102">
        <v>-0.146496132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-3.3713369640000002</v>
      </c>
      <c r="L55" s="102">
        <v>0</v>
      </c>
      <c r="M55" s="102">
        <v>0</v>
      </c>
      <c r="N55" s="102">
        <v>0</v>
      </c>
      <c r="O55" s="102">
        <v>-7.4643107760000005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-0.22608720000000002</v>
      </c>
      <c r="V55" s="102">
        <v>0</v>
      </c>
      <c r="W55" s="102">
        <v>0</v>
      </c>
      <c r="X55" s="102">
        <v>0</v>
      </c>
      <c r="Y55" s="102">
        <v>-0.22998092400000003</v>
      </c>
      <c r="Z55" s="102">
        <v>-102.563997732</v>
      </c>
      <c r="AA55" s="102">
        <v>-0.26401960800000002</v>
      </c>
      <c r="AB55" s="102">
        <v>0</v>
      </c>
      <c r="AC55" s="102">
        <v>0</v>
      </c>
      <c r="AD55" s="102">
        <v>-3.6549926640000003</v>
      </c>
      <c r="AE55" s="102">
        <v>-124.05119961600001</v>
      </c>
      <c r="AF55" s="102">
        <v>-28.159998120000004</v>
      </c>
      <c r="AG55" s="102">
        <v>0</v>
      </c>
      <c r="AH55" s="102">
        <v>-6.9324197040000008</v>
      </c>
      <c r="AI55" s="102">
        <v>-16.674014736</v>
      </c>
      <c r="AJ55" s="102">
        <v>-3.0809823839999999</v>
      </c>
      <c r="AK55" s="102">
        <v>0</v>
      </c>
      <c r="AL55" s="102">
        <v>0</v>
      </c>
      <c r="AM55" s="102">
        <v>-1.5600016800000001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-18.788181264000002</v>
      </c>
      <c r="AV55" s="102">
        <v>0</v>
      </c>
      <c r="AW55" s="102">
        <v>-317.34445125600001</v>
      </c>
      <c r="AZ55">
        <v>-12494.933520480001</v>
      </c>
    </row>
    <row r="56" spans="1:52">
      <c r="A56" s="79" t="s">
        <v>105</v>
      </c>
      <c r="B56" s="101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-2.6837806680000003</v>
      </c>
      <c r="AF56" s="102">
        <v>-6.0799872239999999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-8.7637678920000006</v>
      </c>
    </row>
    <row r="57" spans="1:52">
      <c r="A57" s="87" t="s">
        <v>106</v>
      </c>
      <c r="B57" s="104">
        <v>26.101348559999998</v>
      </c>
      <c r="C57" s="105">
        <v>19.503663516</v>
      </c>
      <c r="D57" s="105">
        <v>0.20511133200000001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-5.1192003599999998</v>
      </c>
      <c r="S57" s="105">
        <v>0</v>
      </c>
      <c r="T57" s="105">
        <v>-0.50995224000000006</v>
      </c>
      <c r="U57" s="105">
        <v>0</v>
      </c>
      <c r="V57" s="105">
        <v>0</v>
      </c>
      <c r="W57" s="105">
        <v>0</v>
      </c>
      <c r="X57" s="105">
        <v>0</v>
      </c>
      <c r="Y57" s="105">
        <v>0.64401357599999998</v>
      </c>
      <c r="Z57" s="105">
        <v>9.1960131240000003</v>
      </c>
      <c r="AA57" s="105">
        <v>4.4003267999999998E-2</v>
      </c>
      <c r="AB57" s="105">
        <v>0</v>
      </c>
      <c r="AC57" s="105">
        <v>1.16099964</v>
      </c>
      <c r="AD57" s="105">
        <v>0</v>
      </c>
      <c r="AE57" s="105">
        <v>23.046617412</v>
      </c>
      <c r="AF57" s="105">
        <v>1.0000171800000002</v>
      </c>
      <c r="AG57" s="105">
        <v>0.22001634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75.49265134800001</v>
      </c>
    </row>
    <row r="58" spans="1:52">
      <c r="A58" s="106" t="s">
        <v>107</v>
      </c>
      <c r="B58" s="104">
        <v>180.28050976800003</v>
      </c>
      <c r="C58" s="105">
        <v>94.896250344000009</v>
      </c>
      <c r="D58" s="105">
        <v>12.97991736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325.56741019200001</v>
      </c>
      <c r="L58" s="105">
        <v>1.783660536</v>
      </c>
      <c r="M58" s="105">
        <v>10.421991900000002</v>
      </c>
      <c r="N58" s="105">
        <v>1.6916765400000002</v>
      </c>
      <c r="O58" s="105">
        <v>10.153743624000001</v>
      </c>
      <c r="P58" s="105">
        <v>0</v>
      </c>
      <c r="Q58" s="105">
        <v>160.62218586</v>
      </c>
      <c r="R58" s="105">
        <v>454.32901101599998</v>
      </c>
      <c r="S58" s="105">
        <v>19.447979076000003</v>
      </c>
      <c r="T58" s="105">
        <v>-0.50995224000000006</v>
      </c>
      <c r="U58" s="105">
        <v>1.7835768000000001</v>
      </c>
      <c r="V58" s="105">
        <v>0</v>
      </c>
      <c r="W58" s="105">
        <v>0</v>
      </c>
      <c r="X58" s="105">
        <v>0</v>
      </c>
      <c r="Y58" s="105">
        <v>12.189993804000002</v>
      </c>
      <c r="Z58" s="105">
        <v>-92.620012787999997</v>
      </c>
      <c r="AA58" s="105">
        <v>0.17601307199999999</v>
      </c>
      <c r="AB58" s="105">
        <v>0</v>
      </c>
      <c r="AC58" s="105">
        <v>-16.468987140000003</v>
      </c>
      <c r="AD58" s="105">
        <v>24.811018668000003</v>
      </c>
      <c r="AE58" s="105">
        <v>-25.773019703999999</v>
      </c>
      <c r="AF58" s="105">
        <v>-4.3199821080000005</v>
      </c>
      <c r="AG58" s="105">
        <v>19.491982344</v>
      </c>
      <c r="AH58" s="105">
        <v>-6.8452086600000008</v>
      </c>
      <c r="AI58" s="105">
        <v>-10.164001284000001</v>
      </c>
      <c r="AJ58" s="105">
        <v>1.5209807040000003</v>
      </c>
      <c r="AK58" s="105">
        <v>0.11999368800000002</v>
      </c>
      <c r="AL58" s="105">
        <v>3.23200026</v>
      </c>
      <c r="AM58" s="105">
        <v>14.199992748000001</v>
      </c>
      <c r="AN58" s="105">
        <v>248.77203602400002</v>
      </c>
      <c r="AO58" s="105">
        <v>46.527573455999999</v>
      </c>
      <c r="AP58" s="105">
        <v>0</v>
      </c>
      <c r="AQ58" s="105">
        <v>5.6982348000000002E-2</v>
      </c>
      <c r="AR58" s="105">
        <v>0</v>
      </c>
      <c r="AS58" s="105">
        <v>1.0585905120000001</v>
      </c>
      <c r="AT58" s="105">
        <v>0</v>
      </c>
      <c r="AU58" s="105">
        <v>37.810404648000002</v>
      </c>
      <c r="AV58" s="105">
        <v>4.1262588720000002</v>
      </c>
      <c r="AW58" s="105">
        <v>1531.35057024</v>
      </c>
    </row>
    <row r="59" spans="1:52">
      <c r="A59" s="106" t="s">
        <v>108</v>
      </c>
      <c r="B59" s="104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110.02215391199999</v>
      </c>
      <c r="U59" s="105">
        <v>-7.6367650680000008</v>
      </c>
      <c r="V59" s="105">
        <v>0</v>
      </c>
      <c r="W59" s="105">
        <v>14.454005904000001</v>
      </c>
      <c r="X59" s="105">
        <v>0</v>
      </c>
      <c r="Y59" s="105">
        <v>-3.7260007920000002</v>
      </c>
      <c r="Z59" s="105">
        <v>-0.17601307199999999</v>
      </c>
      <c r="AA59" s="105">
        <v>0</v>
      </c>
      <c r="AB59" s="105">
        <v>0</v>
      </c>
      <c r="AC59" s="105">
        <v>0</v>
      </c>
      <c r="AD59" s="105">
        <v>-23.133995928000004</v>
      </c>
      <c r="AE59" s="105">
        <v>-62.494186464000002</v>
      </c>
      <c r="AF59" s="105">
        <v>-14.439980124</v>
      </c>
      <c r="AG59" s="105">
        <v>-6.0719904360000001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1.2400045560000001</v>
      </c>
      <c r="AN59" s="105">
        <v>0</v>
      </c>
      <c r="AO59" s="105">
        <v>0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8.0372324880000008</v>
      </c>
    </row>
    <row r="60" spans="1:52">
      <c r="A60" s="106" t="s">
        <v>109</v>
      </c>
      <c r="B60" s="104">
        <v>-0.43999081200000006</v>
      </c>
      <c r="C60" s="105">
        <v>1.2871479240000001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-2.4949559880000001</v>
      </c>
      <c r="P60" s="105">
        <v>0</v>
      </c>
      <c r="Q60" s="105">
        <v>-0.10797757200000001</v>
      </c>
      <c r="R60" s="105">
        <v>-5.9297229719999995</v>
      </c>
      <c r="S60" s="105">
        <v>10.912014972000001</v>
      </c>
      <c r="T60" s="105">
        <v>4.2496019999999995E-2</v>
      </c>
      <c r="U60" s="105">
        <v>7.5362818680000006</v>
      </c>
      <c r="V60" s="105">
        <v>0</v>
      </c>
      <c r="W60" s="105">
        <v>-1.5345040680000002</v>
      </c>
      <c r="X60" s="105">
        <v>0</v>
      </c>
      <c r="Y60" s="105">
        <v>-0.13799692799999999</v>
      </c>
      <c r="Z60" s="105">
        <v>-9.1080065880000003</v>
      </c>
      <c r="AA60" s="105">
        <v>-8.8006535999999996E-2</v>
      </c>
      <c r="AB60" s="105">
        <v>0</v>
      </c>
      <c r="AC60" s="105">
        <v>-3.9559817160000001</v>
      </c>
      <c r="AD60" s="105">
        <v>-1.6769808720000001</v>
      </c>
      <c r="AE60" s="105">
        <v>-7.6679985960000003</v>
      </c>
      <c r="AF60" s="105">
        <v>16.519982364000001</v>
      </c>
      <c r="AG60" s="105">
        <v>-5.9399806320000001</v>
      </c>
      <c r="AH60" s="105">
        <v>1.9620182160000001</v>
      </c>
      <c r="AI60" s="105">
        <v>2.6039802600000002</v>
      </c>
      <c r="AJ60" s="105">
        <v>-0.50697961200000008</v>
      </c>
      <c r="AK60" s="105">
        <v>3.9983940000000003E-2</v>
      </c>
      <c r="AL60" s="105">
        <v>-2.2399798679999998</v>
      </c>
      <c r="AM60" s="105">
        <v>-10.759992264000001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-11.681130132000002</v>
      </c>
    </row>
    <row r="61" spans="1:52">
      <c r="A61" s="30" t="s">
        <v>110</v>
      </c>
      <c r="B61" s="102">
        <v>-175.37219852400003</v>
      </c>
      <c r="C61" s="102">
        <v>-83.313426276000001</v>
      </c>
      <c r="D61" s="102">
        <v>-3.3401871720000003</v>
      </c>
      <c r="E61" s="102">
        <v>0</v>
      </c>
      <c r="F61" s="102">
        <v>0</v>
      </c>
      <c r="G61" s="102">
        <v>6.1920259920000005</v>
      </c>
      <c r="H61" s="102">
        <v>5.9398550280000011</v>
      </c>
      <c r="I61" s="102">
        <v>1.7146620720000001</v>
      </c>
      <c r="J61" s="102">
        <v>0</v>
      </c>
      <c r="K61" s="102">
        <v>-130.32796644000001</v>
      </c>
      <c r="L61" s="102">
        <v>-1.3677438239999999</v>
      </c>
      <c r="M61" s="102">
        <v>-7.9014964320000001</v>
      </c>
      <c r="N61" s="102">
        <v>-1.027817532</v>
      </c>
      <c r="O61" s="102">
        <v>0</v>
      </c>
      <c r="P61" s="102">
        <v>0</v>
      </c>
      <c r="Q61" s="102">
        <v>-114.585891516</v>
      </c>
      <c r="R61" s="102">
        <v>-448.39924617600002</v>
      </c>
      <c r="S61" s="102">
        <v>-30.359994048000001</v>
      </c>
      <c r="T61" s="102">
        <v>-109.554697692</v>
      </c>
      <c r="U61" s="102">
        <v>-1.6830936000000003</v>
      </c>
      <c r="V61" s="102">
        <v>0</v>
      </c>
      <c r="W61" s="102">
        <v>19.602011447999999</v>
      </c>
      <c r="X61" s="102">
        <v>0</v>
      </c>
      <c r="Y61" s="102">
        <v>8.8320127320000008</v>
      </c>
      <c r="Z61" s="102">
        <v>171.02801671200001</v>
      </c>
      <c r="AA61" s="102">
        <v>0</v>
      </c>
      <c r="AB61" s="102">
        <v>0</v>
      </c>
      <c r="AC61" s="102">
        <v>26.230008924000003</v>
      </c>
      <c r="AD61" s="102">
        <v>0</v>
      </c>
      <c r="AE61" s="102">
        <v>270.68038812000003</v>
      </c>
      <c r="AF61" s="102">
        <v>23.440009140000001</v>
      </c>
      <c r="AG61" s="102">
        <v>6.5999877840000005</v>
      </c>
      <c r="AH61" s="102">
        <v>7.629982452000001</v>
      </c>
      <c r="AI61" s="102">
        <v>10.710001872000001</v>
      </c>
      <c r="AJ61" s="102">
        <v>9.9060106680000004</v>
      </c>
      <c r="AK61" s="102">
        <v>0</v>
      </c>
      <c r="AL61" s="102">
        <v>4.0320140040000005</v>
      </c>
      <c r="AM61" s="102">
        <v>4.8399826680000002</v>
      </c>
      <c r="AN61" s="102">
        <v>-248.77203602400002</v>
      </c>
      <c r="AO61" s="102">
        <v>-46.527573455999999</v>
      </c>
      <c r="AP61" s="102">
        <v>0</v>
      </c>
      <c r="AQ61" s="102">
        <v>-1.800324E-2</v>
      </c>
      <c r="AR61" s="102">
        <v>0</v>
      </c>
      <c r="AS61" s="102">
        <v>-1.0585905120000001</v>
      </c>
      <c r="AT61" s="102">
        <v>0</v>
      </c>
      <c r="AU61" s="102">
        <v>289.84496270400001</v>
      </c>
      <c r="AV61" s="102">
        <v>204.82859739600002</v>
      </c>
      <c r="AW61" s="102">
        <v>-331.48942945200002</v>
      </c>
    </row>
    <row r="62" spans="1:52">
      <c r="A62" s="79" t="s">
        <v>111</v>
      </c>
      <c r="B62" s="101">
        <v>-85.192797060000004</v>
      </c>
      <c r="C62" s="102">
        <v>-23.449471308000003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-1.1011284000000001E-2</v>
      </c>
      <c r="J62" s="102">
        <v>0</v>
      </c>
      <c r="K62" s="102">
        <v>-12.616586856</v>
      </c>
      <c r="L62" s="102">
        <v>-2.009664E-3</v>
      </c>
      <c r="M62" s="102">
        <v>-1.397721312</v>
      </c>
      <c r="N62" s="102">
        <v>-4.019328E-3</v>
      </c>
      <c r="O62" s="102">
        <v>0</v>
      </c>
      <c r="P62" s="102">
        <v>0</v>
      </c>
      <c r="Q62" s="102">
        <v>-1.8795801240000001</v>
      </c>
      <c r="R62" s="102">
        <v>0</v>
      </c>
      <c r="S62" s="102">
        <v>0</v>
      </c>
      <c r="T62" s="102">
        <v>0</v>
      </c>
      <c r="U62" s="102">
        <v>0</v>
      </c>
      <c r="V62" s="102">
        <v>0</v>
      </c>
      <c r="W62" s="102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2">
        <v>-8.5201380000000007E-2</v>
      </c>
      <c r="AF62" s="102">
        <v>-0.48001662</v>
      </c>
      <c r="AG62" s="102">
        <v>0</v>
      </c>
      <c r="AH62" s="102">
        <v>0</v>
      </c>
      <c r="AI62" s="102">
        <v>0</v>
      </c>
      <c r="AJ62" s="102">
        <v>0</v>
      </c>
      <c r="AK62" s="102">
        <v>0</v>
      </c>
      <c r="AL62" s="102">
        <v>0</v>
      </c>
      <c r="AM62" s="102">
        <v>0</v>
      </c>
      <c r="AN62" s="102">
        <v>-248.77203602400002</v>
      </c>
      <c r="AO62" s="102">
        <v>-43.431016176000007</v>
      </c>
      <c r="AP62" s="102">
        <v>0</v>
      </c>
      <c r="AQ62" s="102">
        <v>-1.800324E-2</v>
      </c>
      <c r="AR62" s="102">
        <v>0</v>
      </c>
      <c r="AS62" s="102">
        <v>-1.0585905120000001</v>
      </c>
      <c r="AT62" s="102">
        <v>0</v>
      </c>
      <c r="AU62" s="102">
        <v>178.56333561600002</v>
      </c>
      <c r="AV62" s="102">
        <v>0</v>
      </c>
      <c r="AW62" s="102">
        <v>-239.83472527200001</v>
      </c>
    </row>
    <row r="63" spans="1:52">
      <c r="A63" s="79" t="s">
        <v>112</v>
      </c>
      <c r="B63" s="101">
        <v>-2.6000028000000001E-2</v>
      </c>
      <c r="C63" s="102">
        <v>-1.0132056E-2</v>
      </c>
      <c r="D63" s="102">
        <v>0</v>
      </c>
      <c r="E63" s="102">
        <v>0</v>
      </c>
      <c r="F63" s="102">
        <v>0</v>
      </c>
      <c r="G63" s="102">
        <v>-0.52096352400000001</v>
      </c>
      <c r="H63" s="102">
        <v>-5.5129270320000003</v>
      </c>
      <c r="I63" s="102">
        <v>0</v>
      </c>
      <c r="J63" s="102">
        <v>0</v>
      </c>
      <c r="K63" s="102">
        <v>-2.66447952</v>
      </c>
      <c r="L63" s="102">
        <v>-9.4998492000000018E-2</v>
      </c>
      <c r="M63" s="102">
        <v>-0.100985616</v>
      </c>
      <c r="N63" s="102">
        <v>-0.45590065200000002</v>
      </c>
      <c r="O63" s="102">
        <v>0</v>
      </c>
      <c r="P63" s="102">
        <v>0</v>
      </c>
      <c r="Q63" s="102">
        <v>-0.12325939200000001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-8.5201380000000007E-2</v>
      </c>
      <c r="AF63" s="102">
        <v>-0.63999424800000004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-3.0965572799999999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6.4271566800000004</v>
      </c>
      <c r="AV63" s="102">
        <v>0</v>
      </c>
      <c r="AW63" s="102">
        <v>-7.0562233800000005</v>
      </c>
    </row>
    <row r="64" spans="1:52">
      <c r="A64" s="79" t="s">
        <v>113</v>
      </c>
      <c r="B64" s="101">
        <v>-51.103620251999999</v>
      </c>
      <c r="C64" s="102">
        <v>-48.891608208000008</v>
      </c>
      <c r="D64" s="102">
        <v>-5.8615199999999999E-2</v>
      </c>
      <c r="E64" s="102">
        <v>0</v>
      </c>
      <c r="F64" s="102">
        <v>0</v>
      </c>
      <c r="G64" s="102">
        <v>0</v>
      </c>
      <c r="H64" s="102">
        <v>0</v>
      </c>
      <c r="I64" s="102">
        <v>-0.272937492</v>
      </c>
      <c r="J64" s="102">
        <v>0</v>
      </c>
      <c r="K64" s="102">
        <v>-58.655728224000008</v>
      </c>
      <c r="L64" s="102">
        <v>-0.25493425200000003</v>
      </c>
      <c r="M64" s="102">
        <v>-4.3281463680000005</v>
      </c>
      <c r="N64" s="102">
        <v>-0.198956736</v>
      </c>
      <c r="O64" s="102">
        <v>0</v>
      </c>
      <c r="P64" s="102">
        <v>0</v>
      </c>
      <c r="Q64" s="102">
        <v>-72.951180012000009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0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2">
        <v>-4.2579755999999996E-2</v>
      </c>
      <c r="AF64" s="102">
        <v>-2.0800022400000002</v>
      </c>
      <c r="AG64" s="102">
        <v>0</v>
      </c>
      <c r="AH64" s="102">
        <v>0</v>
      </c>
      <c r="AI64" s="102">
        <v>0</v>
      </c>
      <c r="AJ64" s="102">
        <v>0</v>
      </c>
      <c r="AK64" s="102">
        <v>0</v>
      </c>
      <c r="AL64" s="102">
        <v>0</v>
      </c>
      <c r="AM64" s="102">
        <v>0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02">
        <v>0</v>
      </c>
      <c r="AU64" s="102">
        <v>71.861732783999997</v>
      </c>
      <c r="AV64" s="102">
        <v>135.07001985600002</v>
      </c>
      <c r="AW64" s="102">
        <v>-31.906556100000003</v>
      </c>
    </row>
    <row r="65" spans="1:49">
      <c r="A65" s="79" t="s">
        <v>114</v>
      </c>
      <c r="B65" s="101">
        <v>-1.1880045000000001</v>
      </c>
      <c r="C65" s="102">
        <v>-3.3850696680000003</v>
      </c>
      <c r="D65" s="102">
        <v>0</v>
      </c>
      <c r="E65" s="102">
        <v>0</v>
      </c>
      <c r="F65" s="102">
        <v>0</v>
      </c>
      <c r="G65" s="102">
        <v>-3.600648E-2</v>
      </c>
      <c r="H65" s="102">
        <v>-0.30396168000000001</v>
      </c>
      <c r="I65" s="102">
        <v>0</v>
      </c>
      <c r="J65" s="102">
        <v>0</v>
      </c>
      <c r="K65" s="102">
        <v>-32.997678047999997</v>
      </c>
      <c r="L65" s="102">
        <v>-0.34495045200000007</v>
      </c>
      <c r="M65" s="102">
        <v>-0.85184632800000004</v>
      </c>
      <c r="N65" s="102">
        <v>-2.3990364E-2</v>
      </c>
      <c r="O65" s="102">
        <v>0</v>
      </c>
      <c r="P65" s="102">
        <v>0</v>
      </c>
      <c r="Q65" s="102">
        <v>-13.193820972000001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-9.901782000000002E-2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-4.2579755999999996E-2</v>
      </c>
      <c r="AF65" s="102">
        <v>-1.640011428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32.636273471999999</v>
      </c>
      <c r="AV65" s="102">
        <v>11.991706956</v>
      </c>
      <c r="AW65" s="102">
        <v>-9.4789570680000015</v>
      </c>
    </row>
    <row r="66" spans="1:49">
      <c r="A66" s="79" t="s">
        <v>115</v>
      </c>
      <c r="B66" s="101">
        <v>-2.7730013760000003</v>
      </c>
      <c r="C66" s="102">
        <v>-7.4007970199999997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-22.503673188</v>
      </c>
      <c r="L66" s="102">
        <v>-3.3996816000000006E-2</v>
      </c>
      <c r="M66" s="102">
        <v>-0.50090875199999996</v>
      </c>
      <c r="N66" s="102">
        <v>-0.34294078800000005</v>
      </c>
      <c r="O66" s="102">
        <v>0</v>
      </c>
      <c r="P66" s="102">
        <v>0</v>
      </c>
      <c r="Q66" s="102">
        <v>-15.597965268000001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-0.68161104000000006</v>
      </c>
      <c r="AF66" s="102">
        <v>-12.200000256000001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55.322365536000007</v>
      </c>
      <c r="AW66" s="102">
        <v>-6.712528968</v>
      </c>
    </row>
    <row r="67" spans="1:49">
      <c r="A67" s="79" t="s">
        <v>116</v>
      </c>
      <c r="B67" s="101">
        <v>-7.5320531999999996E-2</v>
      </c>
      <c r="C67" s="102">
        <v>-0.18099536400000002</v>
      </c>
      <c r="D67" s="102">
        <v>0</v>
      </c>
      <c r="E67" s="102">
        <v>0</v>
      </c>
      <c r="F67" s="102">
        <v>0</v>
      </c>
      <c r="G67" s="102">
        <v>-0.24111781200000001</v>
      </c>
      <c r="H67" s="102">
        <v>-0.95479974000000001</v>
      </c>
      <c r="I67" s="102">
        <v>0</v>
      </c>
      <c r="J67" s="102">
        <v>0</v>
      </c>
      <c r="K67" s="102">
        <v>-0.88982060400000007</v>
      </c>
      <c r="L67" s="102">
        <v>-0.63689601600000001</v>
      </c>
      <c r="M67" s="102">
        <v>-0.721846188</v>
      </c>
      <c r="N67" s="102">
        <v>-2.009664E-3</v>
      </c>
      <c r="O67" s="102">
        <v>0</v>
      </c>
      <c r="P67" s="102">
        <v>0</v>
      </c>
      <c r="Q67" s="102">
        <v>-0.34281518400000005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-4.2579755999999996E-2</v>
      </c>
      <c r="AF67" s="102">
        <v>-0.16001949600000001</v>
      </c>
      <c r="AG67" s="102">
        <v>0</v>
      </c>
      <c r="AH67" s="102">
        <v>0</v>
      </c>
      <c r="AI67" s="102">
        <v>0</v>
      </c>
      <c r="AJ67" s="102">
        <v>0</v>
      </c>
      <c r="AK67" s="102">
        <v>0</v>
      </c>
      <c r="AL67" s="102">
        <v>0</v>
      </c>
      <c r="AM67" s="102">
        <v>-3.9983940000000003E-2</v>
      </c>
      <c r="AN67" s="102">
        <v>0</v>
      </c>
      <c r="AO67" s="102">
        <v>0</v>
      </c>
      <c r="AP67" s="102">
        <v>0</v>
      </c>
      <c r="AQ67" s="102">
        <v>0</v>
      </c>
      <c r="AR67" s="102">
        <v>0</v>
      </c>
      <c r="AS67" s="102">
        <v>0</v>
      </c>
      <c r="AT67" s="102">
        <v>0</v>
      </c>
      <c r="AU67" s="102">
        <v>0</v>
      </c>
      <c r="AV67" s="102">
        <v>3.6693115200000004</v>
      </c>
      <c r="AW67" s="102">
        <v>-0.61889277600000003</v>
      </c>
    </row>
    <row r="68" spans="1:49">
      <c r="A68" s="79" t="s">
        <v>117</v>
      </c>
      <c r="B68" s="101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-0.44287970399999999</v>
      </c>
      <c r="AV68" s="102">
        <v>0.44287970399999999</v>
      </c>
      <c r="AW68" s="102">
        <v>0</v>
      </c>
    </row>
    <row r="69" spans="1:49">
      <c r="A69" s="79" t="s">
        <v>118</v>
      </c>
      <c r="B69" s="101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-0.16562980800000002</v>
      </c>
      <c r="AV69" s="102">
        <v>0.16295025600000002</v>
      </c>
      <c r="AW69" s="102">
        <v>-2.6795520000000004E-3</v>
      </c>
    </row>
    <row r="70" spans="1:49">
      <c r="A70" s="79" t="s">
        <v>119</v>
      </c>
      <c r="B70" s="101">
        <v>0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  <c r="AL70" s="102">
        <v>0</v>
      </c>
      <c r="AM70" s="102">
        <v>0</v>
      </c>
      <c r="AN70" s="102">
        <v>0</v>
      </c>
      <c r="AO70" s="102">
        <v>0</v>
      </c>
      <c r="AP70" s="102">
        <v>0</v>
      </c>
      <c r="AQ70" s="102">
        <v>0</v>
      </c>
      <c r="AR70" s="102">
        <v>0</v>
      </c>
      <c r="AS70" s="102">
        <v>0</v>
      </c>
      <c r="AT70" s="102">
        <v>0</v>
      </c>
      <c r="AU70" s="102">
        <v>0</v>
      </c>
      <c r="AV70" s="102">
        <v>0</v>
      </c>
      <c r="AW70" s="102">
        <v>0</v>
      </c>
    </row>
    <row r="71" spans="1:49">
      <c r="A71" s="79" t="s">
        <v>120</v>
      </c>
      <c r="B71" s="101">
        <v>-35.013496644</v>
      </c>
      <c r="C71" s="102">
        <v>0</v>
      </c>
      <c r="D71" s="102">
        <v>24.231105000000003</v>
      </c>
      <c r="E71" s="102">
        <v>0</v>
      </c>
      <c r="F71" s="102">
        <v>0</v>
      </c>
      <c r="G71" s="102">
        <v>6.9901138080000003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02">
        <v>0</v>
      </c>
      <c r="AU71" s="102">
        <v>0</v>
      </c>
      <c r="AV71" s="102">
        <v>0</v>
      </c>
      <c r="AW71" s="102">
        <v>-3.5702937000000006</v>
      </c>
    </row>
    <row r="72" spans="1:49">
      <c r="A72" s="79" t="s">
        <v>121</v>
      </c>
      <c r="B72" s="101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02">
        <v>0</v>
      </c>
      <c r="AU72" s="102">
        <v>0</v>
      </c>
      <c r="AV72" s="102">
        <v>0</v>
      </c>
      <c r="AW72" s="102">
        <v>0</v>
      </c>
    </row>
    <row r="73" spans="1:49">
      <c r="A73" s="79" t="s">
        <v>122</v>
      </c>
      <c r="B73" s="101">
        <v>0</v>
      </c>
      <c r="C73" s="102">
        <v>0</v>
      </c>
      <c r="D73" s="102">
        <v>-24.055301268000004</v>
      </c>
      <c r="E73" s="102">
        <v>0</v>
      </c>
      <c r="F73" s="102">
        <v>0</v>
      </c>
      <c r="G73" s="102">
        <v>-7.2012960000000003E-3</v>
      </c>
      <c r="H73" s="102">
        <v>8.8672655880000004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-7.719998652000001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-22.915235628000001</v>
      </c>
    </row>
    <row r="74" spans="1:49">
      <c r="A74" s="79" t="s">
        <v>123</v>
      </c>
      <c r="B74" s="101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6.6293791200000003</v>
      </c>
      <c r="U74" s="102">
        <v>0</v>
      </c>
      <c r="V74" s="102">
        <v>0</v>
      </c>
      <c r="W74" s="102">
        <v>-2.574002772</v>
      </c>
      <c r="X74" s="102">
        <v>0</v>
      </c>
      <c r="Y74" s="102">
        <v>-2.4839865720000001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-2.1999959280000003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-0.62860615200000003</v>
      </c>
    </row>
    <row r="75" spans="1:49">
      <c r="A75" s="79" t="s">
        <v>124</v>
      </c>
      <c r="B75" s="101">
        <v>0</v>
      </c>
      <c r="C75" s="102">
        <v>4.6892160000000047E-3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  <c r="AF75" s="102">
        <v>0</v>
      </c>
      <c r="AG75" s="102">
        <v>0</v>
      </c>
      <c r="AH75" s="102">
        <v>0</v>
      </c>
      <c r="AI75" s="102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02">
        <v>0</v>
      </c>
      <c r="AU75" s="102">
        <v>0</v>
      </c>
      <c r="AV75" s="102">
        <v>0</v>
      </c>
      <c r="AW75" s="102">
        <v>4.6892160000000004E-3</v>
      </c>
    </row>
    <row r="76" spans="1:49">
      <c r="A76" s="79" t="s">
        <v>125</v>
      </c>
      <c r="B76" s="101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-448.39924617600002</v>
      </c>
      <c r="S76" s="102">
        <v>-30.359994048000001</v>
      </c>
      <c r="T76" s="102">
        <v>-116.184076812</v>
      </c>
      <c r="U76" s="102">
        <v>-1.6830936000000003</v>
      </c>
      <c r="V76" s="102">
        <v>-8.7922799999999999</v>
      </c>
      <c r="W76" s="102">
        <v>22.274990172000003</v>
      </c>
      <c r="X76" s="102">
        <v>0</v>
      </c>
      <c r="Y76" s="102">
        <v>11.315999304000002</v>
      </c>
      <c r="Z76" s="102">
        <v>171.02801671200001</v>
      </c>
      <c r="AA76" s="102">
        <v>0</v>
      </c>
      <c r="AB76" s="102">
        <v>0</v>
      </c>
      <c r="AC76" s="102">
        <v>26.230008924000003</v>
      </c>
      <c r="AD76" s="102">
        <v>0</v>
      </c>
      <c r="AE76" s="102">
        <v>271.66018305600005</v>
      </c>
      <c r="AF76" s="102">
        <v>48.360010211999999</v>
      </c>
      <c r="AG76" s="102">
        <v>8.7999837120000013</v>
      </c>
      <c r="AH76" s="102">
        <v>7.629982452000001</v>
      </c>
      <c r="AI76" s="102">
        <v>10.710001872000001</v>
      </c>
      <c r="AJ76" s="102">
        <v>9.9060106680000004</v>
      </c>
      <c r="AK76" s="102">
        <v>0</v>
      </c>
      <c r="AL76" s="102">
        <v>4.0320140040000005</v>
      </c>
      <c r="AM76" s="102">
        <v>4.8800084760000004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02">
        <v>0</v>
      </c>
      <c r="AU76" s="102">
        <v>0</v>
      </c>
      <c r="AV76" s="102">
        <v>0</v>
      </c>
      <c r="AW76" s="102">
        <v>-8.5914810720000006</v>
      </c>
    </row>
    <row r="77" spans="1:49">
      <c r="A77" s="79" t="s">
        <v>126</v>
      </c>
      <c r="B77" s="101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</row>
    <row r="78" spans="1:49">
      <c r="A78" s="87" t="s">
        <v>127</v>
      </c>
      <c r="B78" s="104">
        <v>0</v>
      </c>
      <c r="C78" s="105">
        <v>0</v>
      </c>
      <c r="D78" s="105">
        <v>-3.4574175719999998</v>
      </c>
      <c r="E78" s="105">
        <v>0</v>
      </c>
      <c r="F78" s="105">
        <v>0</v>
      </c>
      <c r="G78" s="105">
        <v>0</v>
      </c>
      <c r="H78" s="105">
        <v>0</v>
      </c>
      <c r="I78" s="105">
        <v>1.998610848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-10.497312431999999</v>
      </c>
      <c r="R78" s="105">
        <v>0</v>
      </c>
      <c r="S78" s="105">
        <v>0</v>
      </c>
      <c r="T78" s="105">
        <v>0</v>
      </c>
      <c r="U78" s="105">
        <v>0</v>
      </c>
      <c r="V78" s="105">
        <v>8.7922799999999999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-3.1638391559999999</v>
      </c>
    </row>
    <row r="79" spans="1:49">
      <c r="A79" s="107" t="s">
        <v>128</v>
      </c>
      <c r="B79" s="101">
        <v>0</v>
      </c>
      <c r="C79" s="102">
        <v>0</v>
      </c>
      <c r="D79" s="102">
        <v>0</v>
      </c>
      <c r="E79" s="102">
        <v>0</v>
      </c>
      <c r="F79" s="102">
        <v>0</v>
      </c>
      <c r="G79" s="102">
        <v>-1.5115604040000001</v>
      </c>
      <c r="H79" s="102">
        <v>-3.5083290600000003</v>
      </c>
      <c r="I79" s="102">
        <v>-0.27494715600000003</v>
      </c>
      <c r="J79" s="102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-0.58878968400000009</v>
      </c>
      <c r="P79" s="102">
        <v>0</v>
      </c>
      <c r="Q79" s="102">
        <v>-12.196022796000001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-19.800005220000003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-2.0800022400000002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-4.0320140040000005</v>
      </c>
      <c r="AM79" s="102">
        <v>-0.80001374400000003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2">
        <v>-17.117480592</v>
      </c>
      <c r="AV79" s="102">
        <v>-1.634694192</v>
      </c>
      <c r="AW79" s="102">
        <v>-63.543859092000005</v>
      </c>
    </row>
    <row r="80" spans="1:49">
      <c r="A80" s="108" t="s">
        <v>129</v>
      </c>
      <c r="B80" s="109">
        <v>0</v>
      </c>
      <c r="C80" s="109">
        <v>0</v>
      </c>
      <c r="D80" s="109">
        <v>0</v>
      </c>
      <c r="E80" s="109">
        <v>0</v>
      </c>
      <c r="F80" s="109">
        <v>0</v>
      </c>
      <c r="G80" s="109">
        <v>-1.50347988</v>
      </c>
      <c r="H80" s="109">
        <v>-0.43890224400000005</v>
      </c>
      <c r="I80" s="109">
        <v>-0.27494715600000003</v>
      </c>
      <c r="J80" s="109">
        <v>0</v>
      </c>
      <c r="K80" s="109">
        <v>0</v>
      </c>
      <c r="L80" s="109">
        <v>0</v>
      </c>
      <c r="M80" s="109">
        <v>0</v>
      </c>
      <c r="N80" s="109">
        <v>0</v>
      </c>
      <c r="O80" s="109">
        <v>-0.58878968400000009</v>
      </c>
      <c r="P80" s="109">
        <v>0</v>
      </c>
      <c r="Q80" s="109">
        <v>-12.196022796000001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-19.800005220000003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0</v>
      </c>
      <c r="AE80" s="109">
        <v>0</v>
      </c>
      <c r="AF80" s="109">
        <v>-2.0800022400000002</v>
      </c>
      <c r="AG80" s="109">
        <v>0</v>
      </c>
      <c r="AH80" s="109">
        <v>0</v>
      </c>
      <c r="AI80" s="109">
        <v>0</v>
      </c>
      <c r="AJ80" s="109">
        <v>0</v>
      </c>
      <c r="AK80" s="109">
        <v>0</v>
      </c>
      <c r="AL80" s="109">
        <v>-4.0320140040000005</v>
      </c>
      <c r="AM80" s="109">
        <v>-0.80001374400000003</v>
      </c>
      <c r="AN80" s="109">
        <v>0</v>
      </c>
      <c r="AO80" s="109">
        <v>0</v>
      </c>
      <c r="AP80" s="109">
        <v>0</v>
      </c>
      <c r="AQ80" s="109">
        <v>0</v>
      </c>
      <c r="AR80" s="109">
        <v>0</v>
      </c>
      <c r="AS80" s="109">
        <v>0</v>
      </c>
      <c r="AT80" s="109">
        <v>0</v>
      </c>
      <c r="AU80" s="109">
        <v>-4.6484365680000002</v>
      </c>
      <c r="AV80" s="109">
        <v>-1.634694192</v>
      </c>
      <c r="AW80" s="110">
        <v>-47.997307728000003</v>
      </c>
    </row>
    <row r="81" spans="1:49">
      <c r="A81" s="79" t="s">
        <v>130</v>
      </c>
      <c r="B81" s="101">
        <v>0</v>
      </c>
      <c r="C81" s="102">
        <v>0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>
        <v>0</v>
      </c>
      <c r="R81" s="102">
        <v>0</v>
      </c>
      <c r="S81" s="102">
        <v>0</v>
      </c>
      <c r="T81" s="102">
        <v>0</v>
      </c>
      <c r="U81" s="102">
        <v>0</v>
      </c>
      <c r="V81" s="102">
        <v>0</v>
      </c>
      <c r="W81" s="102">
        <v>0</v>
      </c>
      <c r="X81" s="102">
        <v>0</v>
      </c>
      <c r="Y81" s="102">
        <v>0</v>
      </c>
      <c r="Z81" s="102">
        <v>0</v>
      </c>
      <c r="AA81" s="102">
        <v>0</v>
      </c>
      <c r="AB81" s="102">
        <v>0</v>
      </c>
      <c r="AC81" s="102">
        <v>0</v>
      </c>
      <c r="AD81" s="102">
        <v>0</v>
      </c>
      <c r="AE81" s="102">
        <v>0</v>
      </c>
      <c r="AF81" s="102">
        <v>0</v>
      </c>
      <c r="AG81" s="102">
        <v>0</v>
      </c>
      <c r="AH81" s="102">
        <v>0</v>
      </c>
      <c r="AI81" s="102">
        <v>0</v>
      </c>
      <c r="AJ81" s="102">
        <v>0</v>
      </c>
      <c r="AK81" s="102">
        <v>0</v>
      </c>
      <c r="AL81" s="102">
        <v>0</v>
      </c>
      <c r="AM81" s="102">
        <v>0</v>
      </c>
      <c r="AN81" s="102">
        <v>0</v>
      </c>
      <c r="AO81" s="102">
        <v>0</v>
      </c>
      <c r="AP81" s="102">
        <v>0</v>
      </c>
      <c r="AQ81" s="102">
        <v>0</v>
      </c>
      <c r="AR81" s="102">
        <v>0</v>
      </c>
      <c r="AS81" s="102">
        <v>0</v>
      </c>
      <c r="AT81" s="102">
        <v>0</v>
      </c>
      <c r="AU81" s="102">
        <v>0</v>
      </c>
      <c r="AV81" s="102">
        <v>0</v>
      </c>
      <c r="AW81" s="102">
        <v>0</v>
      </c>
    </row>
    <row r="82" spans="1:49">
      <c r="A82" s="79" t="s">
        <v>131</v>
      </c>
      <c r="B82" s="101">
        <v>0</v>
      </c>
      <c r="C82" s="102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>
        <v>0</v>
      </c>
      <c r="R82" s="102">
        <v>0</v>
      </c>
      <c r="S82" s="102">
        <v>0</v>
      </c>
      <c r="T82" s="102">
        <v>0</v>
      </c>
      <c r="U82" s="102">
        <v>0</v>
      </c>
      <c r="V82" s="102">
        <v>0</v>
      </c>
      <c r="W82" s="102">
        <v>0</v>
      </c>
      <c r="X82" s="102">
        <v>0</v>
      </c>
      <c r="Y82" s="102">
        <v>0</v>
      </c>
      <c r="Z82" s="102">
        <v>0</v>
      </c>
      <c r="AA82" s="102">
        <v>0</v>
      </c>
      <c r="AB82" s="102">
        <v>0</v>
      </c>
      <c r="AC82" s="102">
        <v>0</v>
      </c>
      <c r="AD82" s="102">
        <v>0</v>
      </c>
      <c r="AE82" s="102">
        <v>0</v>
      </c>
      <c r="AF82" s="102">
        <v>0</v>
      </c>
      <c r="AG82" s="102">
        <v>0</v>
      </c>
      <c r="AH82" s="102">
        <v>0</v>
      </c>
      <c r="AI82" s="102">
        <v>0</v>
      </c>
      <c r="AJ82" s="102">
        <v>0</v>
      </c>
      <c r="AK82" s="102">
        <v>0</v>
      </c>
      <c r="AL82" s="102">
        <v>0</v>
      </c>
      <c r="AM82" s="102">
        <v>0</v>
      </c>
      <c r="AN82" s="102">
        <v>0</v>
      </c>
      <c r="AO82" s="102">
        <v>0</v>
      </c>
      <c r="AP82" s="102">
        <v>0</v>
      </c>
      <c r="AQ82" s="102">
        <v>0</v>
      </c>
      <c r="AR82" s="102">
        <v>0</v>
      </c>
      <c r="AS82" s="102">
        <v>0</v>
      </c>
      <c r="AT82" s="102">
        <v>0</v>
      </c>
      <c r="AU82" s="102">
        <v>0</v>
      </c>
      <c r="AV82" s="102">
        <v>0</v>
      </c>
      <c r="AW82" s="102">
        <v>0</v>
      </c>
    </row>
    <row r="83" spans="1:49">
      <c r="A83" s="79" t="s">
        <v>132</v>
      </c>
      <c r="B83" s="101">
        <v>0</v>
      </c>
      <c r="C83" s="102">
        <v>0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>
        <v>0</v>
      </c>
      <c r="AE83" s="102">
        <v>0</v>
      </c>
      <c r="AF83" s="102">
        <v>0</v>
      </c>
      <c r="AG83" s="102">
        <v>0</v>
      </c>
      <c r="AH83" s="102">
        <v>0</v>
      </c>
      <c r="AI83" s="102">
        <v>0</v>
      </c>
      <c r="AJ83" s="102">
        <v>0</v>
      </c>
      <c r="AK83" s="102">
        <v>0</v>
      </c>
      <c r="AL83" s="102">
        <v>0</v>
      </c>
      <c r="AM83" s="102">
        <v>0</v>
      </c>
      <c r="AN83" s="102">
        <v>0</v>
      </c>
      <c r="AO83" s="102">
        <v>0</v>
      </c>
      <c r="AP83" s="102">
        <v>0</v>
      </c>
      <c r="AQ83" s="102">
        <v>0</v>
      </c>
      <c r="AR83" s="102">
        <v>0</v>
      </c>
      <c r="AS83" s="102">
        <v>0</v>
      </c>
      <c r="AT83" s="102">
        <v>0</v>
      </c>
      <c r="AU83" s="102">
        <v>0</v>
      </c>
      <c r="AV83" s="102">
        <v>0</v>
      </c>
      <c r="AW83" s="102">
        <v>0</v>
      </c>
    </row>
    <row r="84" spans="1:49">
      <c r="A84" s="79" t="s">
        <v>133</v>
      </c>
      <c r="B84" s="101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-1.50347988</v>
      </c>
      <c r="H84" s="102">
        <v>-0.43890224400000005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  <c r="AL84" s="102">
        <v>0</v>
      </c>
      <c r="AM84" s="102">
        <v>0</v>
      </c>
      <c r="AN84" s="102">
        <v>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  <c r="AU84" s="102">
        <v>0</v>
      </c>
      <c r="AV84" s="102">
        <v>0</v>
      </c>
      <c r="AW84" s="102">
        <v>-1.9423821240000001</v>
      </c>
    </row>
    <row r="85" spans="1:49">
      <c r="A85" s="79" t="s">
        <v>134</v>
      </c>
      <c r="B85" s="101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  <c r="AF85" s="102">
        <v>0</v>
      </c>
      <c r="AG85" s="102">
        <v>0</v>
      </c>
      <c r="AH85" s="102">
        <v>0</v>
      </c>
      <c r="AI85" s="102">
        <v>0</v>
      </c>
      <c r="AJ85" s="102">
        <v>0</v>
      </c>
      <c r="AK85" s="102">
        <v>0</v>
      </c>
      <c r="AL85" s="102">
        <v>0</v>
      </c>
      <c r="AM85" s="102">
        <v>0</v>
      </c>
      <c r="AN85" s="102">
        <v>0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  <c r="AU85" s="102">
        <v>0</v>
      </c>
      <c r="AV85" s="102">
        <v>0</v>
      </c>
      <c r="AW85" s="102">
        <v>0</v>
      </c>
    </row>
    <row r="86" spans="1:49">
      <c r="A86" s="79" t="s">
        <v>135</v>
      </c>
      <c r="B86" s="101">
        <v>0</v>
      </c>
      <c r="C86" s="102">
        <v>0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0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0</v>
      </c>
      <c r="Y86" s="102">
        <v>0</v>
      </c>
      <c r="Z86" s="102">
        <v>0</v>
      </c>
      <c r="AA86" s="102">
        <v>0</v>
      </c>
      <c r="AB86" s="102">
        <v>0</v>
      </c>
      <c r="AC86" s="102">
        <v>0</v>
      </c>
      <c r="AD86" s="102">
        <v>0</v>
      </c>
      <c r="AE86" s="102">
        <v>0</v>
      </c>
      <c r="AF86" s="102">
        <v>0</v>
      </c>
      <c r="AG86" s="102">
        <v>0</v>
      </c>
      <c r="AH86" s="102">
        <v>0</v>
      </c>
      <c r="AI86" s="102">
        <v>0</v>
      </c>
      <c r="AJ86" s="102">
        <v>0</v>
      </c>
      <c r="AK86" s="102">
        <v>0</v>
      </c>
      <c r="AL86" s="102">
        <v>0</v>
      </c>
      <c r="AM86" s="102">
        <v>0</v>
      </c>
      <c r="AN86" s="102">
        <v>0</v>
      </c>
      <c r="AO86" s="102">
        <v>0</v>
      </c>
      <c r="AP86" s="102">
        <v>0</v>
      </c>
      <c r="AQ86" s="102">
        <v>0</v>
      </c>
      <c r="AR86" s="102">
        <v>0</v>
      </c>
      <c r="AS86" s="102">
        <v>0</v>
      </c>
      <c r="AT86" s="102">
        <v>0</v>
      </c>
      <c r="AU86" s="102">
        <v>0</v>
      </c>
      <c r="AV86" s="102">
        <v>0</v>
      </c>
      <c r="AW86" s="102">
        <v>0</v>
      </c>
    </row>
    <row r="87" spans="1:49">
      <c r="A87" s="79" t="s">
        <v>136</v>
      </c>
      <c r="B87" s="101">
        <v>0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-0.58878968400000009</v>
      </c>
      <c r="P87" s="102">
        <v>0</v>
      </c>
      <c r="Q87" s="102">
        <v>-12.196022796000001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-19.800005220000003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-2.0800022400000002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-4.0320140040000005</v>
      </c>
      <c r="AM87" s="102">
        <v>-0.80001374400000003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-4.6484365680000002</v>
      </c>
      <c r="AV87" s="102">
        <v>-1.634694192</v>
      </c>
      <c r="AW87" s="102">
        <v>-45.779978448000001</v>
      </c>
    </row>
    <row r="88" spans="1:49">
      <c r="A88" s="79" t="s">
        <v>137</v>
      </c>
      <c r="B88" s="101">
        <v>0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-12.469044024</v>
      </c>
      <c r="AV88" s="102">
        <v>0</v>
      </c>
      <c r="AW88" s="102">
        <v>-12.469044024</v>
      </c>
    </row>
    <row r="89" spans="1:49">
      <c r="A89" s="79" t="s">
        <v>138</v>
      </c>
      <c r="B89" s="101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  <c r="AF89" s="102">
        <v>0</v>
      </c>
      <c r="AG89" s="102">
        <v>0</v>
      </c>
      <c r="AH89" s="102">
        <v>0</v>
      </c>
      <c r="AI89" s="102">
        <v>0</v>
      </c>
      <c r="AJ89" s="102">
        <v>0</v>
      </c>
      <c r="AK89" s="102">
        <v>0</v>
      </c>
      <c r="AL89" s="102">
        <v>0</v>
      </c>
      <c r="AM89" s="102">
        <v>0</v>
      </c>
      <c r="AN89" s="102">
        <v>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  <c r="AU89" s="102">
        <v>0</v>
      </c>
      <c r="AV89" s="102">
        <v>0</v>
      </c>
      <c r="AW89" s="102">
        <v>0</v>
      </c>
    </row>
    <row r="90" spans="1:49">
      <c r="A90" s="79" t="s">
        <v>139</v>
      </c>
      <c r="B90" s="101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  <c r="AL90" s="102">
        <v>0</v>
      </c>
      <c r="AM90" s="102">
        <v>0</v>
      </c>
      <c r="AN90" s="102">
        <v>0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  <c r="AU90" s="102">
        <v>0</v>
      </c>
      <c r="AV90" s="102">
        <v>0</v>
      </c>
      <c r="AW90" s="102">
        <v>0</v>
      </c>
    </row>
    <row r="91" spans="1:49">
      <c r="A91" s="87" t="s">
        <v>140</v>
      </c>
      <c r="B91" s="104">
        <v>0</v>
      </c>
      <c r="C91" s="105">
        <v>0</v>
      </c>
      <c r="D91" s="105">
        <v>0</v>
      </c>
      <c r="E91" s="105">
        <v>0</v>
      </c>
      <c r="F91" s="105">
        <v>0</v>
      </c>
      <c r="G91" s="105">
        <v>0</v>
      </c>
      <c r="H91" s="105">
        <v>0</v>
      </c>
      <c r="I91" s="105">
        <v>-0.27494715600000003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-0.27494715600000003</v>
      </c>
    </row>
    <row r="92" spans="1:49">
      <c r="A92" s="106" t="s">
        <v>141</v>
      </c>
      <c r="B92" s="104">
        <v>0</v>
      </c>
      <c r="C92" s="105">
        <v>0</v>
      </c>
      <c r="D92" s="105">
        <v>0</v>
      </c>
      <c r="E92" s="105">
        <v>0</v>
      </c>
      <c r="F92" s="105">
        <v>0</v>
      </c>
      <c r="G92" s="105">
        <v>-0.39858336</v>
      </c>
      <c r="H92" s="105">
        <v>-1.0407966120000001</v>
      </c>
      <c r="I92" s="105">
        <v>-0.17496637200000001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-1.6334800200000001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-9.9593923680000014</v>
      </c>
      <c r="AV92" s="105">
        <v>-12.431614032000001</v>
      </c>
      <c r="AW92" s="105">
        <v>-25.638832764000004</v>
      </c>
    </row>
    <row r="93" spans="1:49">
      <c r="A93" s="106" t="s">
        <v>142</v>
      </c>
      <c r="B93" s="104">
        <v>4.4683204320000005</v>
      </c>
      <c r="C93" s="105">
        <v>12.869971992000002</v>
      </c>
      <c r="D93" s="105">
        <v>9.6396883200000012</v>
      </c>
      <c r="E93" s="105">
        <v>0</v>
      </c>
      <c r="F93" s="105">
        <v>0</v>
      </c>
      <c r="G93" s="105">
        <v>4.2818822280000006</v>
      </c>
      <c r="H93" s="105">
        <v>1.390729356</v>
      </c>
      <c r="I93" s="105">
        <v>1.2647485439999999</v>
      </c>
      <c r="J93" s="105">
        <v>0</v>
      </c>
      <c r="K93" s="105">
        <v>195.23948562000001</v>
      </c>
      <c r="L93" s="105">
        <v>0.41591671199999997</v>
      </c>
      <c r="M93" s="105">
        <v>2.5205373359999999</v>
      </c>
      <c r="N93" s="105">
        <v>0.66385900800000008</v>
      </c>
      <c r="O93" s="105">
        <v>7.0699560840000002</v>
      </c>
      <c r="P93" s="105">
        <v>0</v>
      </c>
      <c r="Q93" s="105">
        <v>33.732293976000001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11.087986176000001</v>
      </c>
      <c r="X93" s="105">
        <v>0</v>
      </c>
      <c r="Y93" s="105">
        <v>17.158008816000002</v>
      </c>
      <c r="Z93" s="105">
        <v>69.123984264000001</v>
      </c>
      <c r="AA93" s="105">
        <v>8.8006535999999996E-2</v>
      </c>
      <c r="AB93" s="105">
        <v>0</v>
      </c>
      <c r="AC93" s="105">
        <v>5.8049982000000009</v>
      </c>
      <c r="AD93" s="105">
        <v>0</v>
      </c>
      <c r="AE93" s="105">
        <v>174.74518335599998</v>
      </c>
      <c r="AF93" s="105">
        <v>19.119985164000003</v>
      </c>
      <c r="AG93" s="105">
        <v>14.079999060000002</v>
      </c>
      <c r="AH93" s="105">
        <v>2.7467920079999999</v>
      </c>
      <c r="AI93" s="105">
        <v>3.1499808480000002</v>
      </c>
      <c r="AJ93" s="105">
        <v>10.92001176</v>
      </c>
      <c r="AK93" s="105">
        <v>0.16001949600000001</v>
      </c>
      <c r="AL93" s="105">
        <v>0.99202039200000003</v>
      </c>
      <c r="AM93" s="105">
        <v>8.7200158320000014</v>
      </c>
      <c r="AN93" s="105">
        <v>0</v>
      </c>
      <c r="AO93" s="105">
        <v>0</v>
      </c>
      <c r="AP93" s="105">
        <v>0</v>
      </c>
      <c r="AQ93" s="105">
        <v>3.8979108000000005E-2</v>
      </c>
      <c r="AR93" s="105">
        <v>0</v>
      </c>
      <c r="AS93" s="105">
        <v>0</v>
      </c>
      <c r="AT93" s="105">
        <v>0</v>
      </c>
      <c r="AU93" s="105">
        <v>300.57849439200004</v>
      </c>
      <c r="AV93" s="105">
        <v>194.888548044</v>
      </c>
      <c r="AW93" s="105">
        <v>1107.0343838160002</v>
      </c>
    </row>
    <row r="94" spans="1:49">
      <c r="A94" s="79" t="s">
        <v>143</v>
      </c>
      <c r="B94" s="101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0.39590380800000002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3.8688962760000008E-2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0.39590380800000002</v>
      </c>
    </row>
    <row r="95" spans="1:49">
      <c r="A95" s="112"/>
      <c r="B95" s="113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</row>
    <row r="96" spans="1:49" ht="18">
      <c r="A96" s="114" t="s">
        <v>144</v>
      </c>
      <c r="B96" s="11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57"/>
      <c r="Q96" s="57"/>
      <c r="R96" s="49"/>
      <c r="S96" s="49"/>
      <c r="T96" s="116"/>
      <c r="U96" s="49"/>
      <c r="V96" s="117"/>
      <c r="W96" s="49"/>
      <c r="X96" s="49"/>
      <c r="Y96" s="118"/>
      <c r="Z96" s="118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1:49" ht="13.5" thickBot="1">
      <c r="A97" s="119"/>
      <c r="B97" s="120"/>
      <c r="C97" s="121" t="s">
        <v>145</v>
      </c>
      <c r="D97" s="121" t="s">
        <v>146</v>
      </c>
      <c r="E97" s="121" t="s">
        <v>147</v>
      </c>
      <c r="F97" s="121" t="s">
        <v>148</v>
      </c>
      <c r="G97" s="121" t="s">
        <v>149</v>
      </c>
      <c r="H97" s="121" t="s">
        <v>150</v>
      </c>
      <c r="I97" s="121" t="s">
        <v>151</v>
      </c>
      <c r="J97" s="121" t="s">
        <v>152</v>
      </c>
      <c r="K97" s="121" t="s">
        <v>153</v>
      </c>
      <c r="L97" s="121" t="s">
        <v>154</v>
      </c>
      <c r="M97" s="121" t="s">
        <v>155</v>
      </c>
      <c r="N97" s="121" t="s">
        <v>156</v>
      </c>
      <c r="O97" s="121" t="s">
        <v>157</v>
      </c>
      <c r="P97" s="121" t="s">
        <v>158</v>
      </c>
      <c r="Q97" s="121" t="s">
        <v>159</v>
      </c>
      <c r="R97" s="121" t="s">
        <v>160</v>
      </c>
      <c r="S97" s="121" t="s">
        <v>161</v>
      </c>
      <c r="T97" s="121" t="s">
        <v>162</v>
      </c>
      <c r="U97" s="121" t="s">
        <v>163</v>
      </c>
      <c r="V97" s="121" t="s">
        <v>164</v>
      </c>
      <c r="W97" s="121" t="s">
        <v>165</v>
      </c>
      <c r="X97" s="121" t="s">
        <v>166</v>
      </c>
      <c r="Y97" s="121" t="s">
        <v>167</v>
      </c>
      <c r="Z97" s="121" t="s">
        <v>168</v>
      </c>
      <c r="AA97" s="121" t="s">
        <v>169</v>
      </c>
      <c r="AB97" s="121" t="s">
        <v>170</v>
      </c>
      <c r="AC97" s="121" t="s">
        <v>171</v>
      </c>
      <c r="AD97" s="121" t="s">
        <v>172</v>
      </c>
      <c r="AE97" s="121" t="s">
        <v>173</v>
      </c>
      <c r="AF97" s="121" t="s">
        <v>174</v>
      </c>
      <c r="AG97" s="121" t="s">
        <v>175</v>
      </c>
      <c r="AH97" s="121" t="s">
        <v>176</v>
      </c>
      <c r="AI97" s="121" t="s">
        <v>177</v>
      </c>
      <c r="AJ97" s="121" t="s">
        <v>178</v>
      </c>
      <c r="AK97" s="121" t="s">
        <v>179</v>
      </c>
      <c r="AL97" s="121" t="s">
        <v>180</v>
      </c>
      <c r="AM97" s="121" t="s">
        <v>181</v>
      </c>
      <c r="AN97" s="121" t="s">
        <v>182</v>
      </c>
      <c r="AO97" s="121" t="s">
        <v>183</v>
      </c>
      <c r="AP97" s="121" t="s">
        <v>184</v>
      </c>
      <c r="AQ97" s="121" t="s">
        <v>185</v>
      </c>
      <c r="AR97" s="121" t="s">
        <v>186</v>
      </c>
      <c r="AS97" s="122"/>
      <c r="AT97" s="123"/>
      <c r="AU97" s="121" t="s">
        <v>187</v>
      </c>
      <c r="AV97" s="121" t="s">
        <v>188</v>
      </c>
      <c r="AW97" s="123"/>
    </row>
    <row r="98" spans="1:49">
      <c r="A98" s="124" t="s">
        <v>189</v>
      </c>
      <c r="B98" s="124"/>
      <c r="C98" s="125">
        <f t="shared" ref="C98:AS98" si="8">IF(C100=0,C99,C100)</f>
        <v>0</v>
      </c>
      <c r="D98" s="125">
        <f t="shared" si="8"/>
        <v>75.497717375999997</v>
      </c>
      <c r="E98" s="125">
        <f t="shared" si="8"/>
        <v>0</v>
      </c>
      <c r="F98" s="125">
        <f t="shared" si="8"/>
        <v>0</v>
      </c>
      <c r="G98" s="125">
        <f t="shared" si="8"/>
        <v>0</v>
      </c>
      <c r="H98" s="125">
        <f t="shared" si="8"/>
        <v>0</v>
      </c>
      <c r="I98" s="125">
        <f t="shared" si="8"/>
        <v>0</v>
      </c>
      <c r="J98" s="125">
        <f t="shared" si="8"/>
        <v>0</v>
      </c>
      <c r="K98" s="125">
        <f t="shared" si="8"/>
        <v>0</v>
      </c>
      <c r="L98" s="125">
        <f t="shared" si="8"/>
        <v>326.58124381200003</v>
      </c>
      <c r="M98" s="125">
        <f t="shared" si="8"/>
        <v>1.783660536</v>
      </c>
      <c r="N98" s="125">
        <f t="shared" si="8"/>
        <v>10.421991900000002</v>
      </c>
      <c r="O98" s="125">
        <f t="shared" si="8"/>
        <v>1.6916765400000002</v>
      </c>
      <c r="P98" s="125">
        <f t="shared" si="8"/>
        <v>13.166816111999999</v>
      </c>
      <c r="Q98" s="125">
        <f t="shared" si="8"/>
        <v>0</v>
      </c>
      <c r="R98" s="125">
        <f t="shared" si="8"/>
        <v>0</v>
      </c>
      <c r="S98" s="125">
        <f t="shared" si="8"/>
        <v>0</v>
      </c>
      <c r="T98" s="125">
        <f t="shared" si="8"/>
        <v>0</v>
      </c>
      <c r="U98" s="125">
        <f t="shared" si="8"/>
        <v>0</v>
      </c>
      <c r="V98" s="125">
        <f t="shared" si="8"/>
        <v>0</v>
      </c>
      <c r="W98" s="125">
        <f t="shared" si="8"/>
        <v>0</v>
      </c>
      <c r="X98" s="125">
        <f t="shared" si="8"/>
        <v>1.7835768000000001</v>
      </c>
      <c r="Y98" s="125">
        <f t="shared" si="8"/>
        <v>0</v>
      </c>
      <c r="Z98" s="125">
        <f t="shared" si="8"/>
        <v>0</v>
      </c>
      <c r="AA98" s="125">
        <f t="shared" si="8"/>
        <v>0</v>
      </c>
      <c r="AB98" s="125">
        <f t="shared" si="8"/>
        <v>0</v>
      </c>
      <c r="AC98" s="125">
        <f t="shared" si="8"/>
        <v>0</v>
      </c>
      <c r="AD98" s="125">
        <f t="shared" si="8"/>
        <v>0</v>
      </c>
      <c r="AE98" s="125">
        <f t="shared" si="8"/>
        <v>0</v>
      </c>
      <c r="AF98" s="125">
        <f t="shared" si="8"/>
        <v>0</v>
      </c>
      <c r="AG98" s="125">
        <f t="shared" si="8"/>
        <v>0</v>
      </c>
      <c r="AH98" s="125">
        <f t="shared" si="8"/>
        <v>0</v>
      </c>
      <c r="AI98" s="125">
        <f t="shared" si="8"/>
        <v>0</v>
      </c>
      <c r="AJ98" s="125">
        <f t="shared" si="8"/>
        <v>0</v>
      </c>
      <c r="AK98" s="125">
        <f t="shared" si="8"/>
        <v>0</v>
      </c>
      <c r="AL98" s="125">
        <f t="shared" si="8"/>
        <v>0</v>
      </c>
      <c r="AM98" s="125">
        <f t="shared" si="8"/>
        <v>0</v>
      </c>
      <c r="AN98" s="125">
        <f t="shared" si="8"/>
        <v>0</v>
      </c>
      <c r="AO98" s="125">
        <f t="shared" si="8"/>
        <v>0</v>
      </c>
      <c r="AP98" s="125">
        <f t="shared" si="8"/>
        <v>0</v>
      </c>
      <c r="AQ98" s="125">
        <f t="shared" si="8"/>
        <v>0</v>
      </c>
      <c r="AR98" s="125">
        <f t="shared" si="8"/>
        <v>4.1262588720000002</v>
      </c>
      <c r="AS98" s="125">
        <f t="shared" si="8"/>
        <v>731.46812428800001</v>
      </c>
      <c r="AT98" s="26"/>
      <c r="AU98" s="125">
        <f>IF(AU100=0,AU99,AU100)</f>
        <v>0</v>
      </c>
      <c r="AV98" s="125">
        <f>IF(AV100=0,AV99,AV100)</f>
        <v>0</v>
      </c>
      <c r="AW98" s="26"/>
    </row>
    <row r="99" spans="1:49">
      <c r="A99" s="126" t="s">
        <v>190</v>
      </c>
      <c r="B99" s="126"/>
      <c r="C99" s="42">
        <f t="shared" ref="C99:R99" si="9">B52</f>
        <v>0</v>
      </c>
      <c r="D99" s="42">
        <f t="shared" si="9"/>
        <v>75.497717375999997</v>
      </c>
      <c r="E99" s="42">
        <f t="shared" si="9"/>
        <v>0</v>
      </c>
      <c r="F99" s="42">
        <f t="shared" si="9"/>
        <v>0</v>
      </c>
      <c r="G99" s="42">
        <f t="shared" si="9"/>
        <v>0</v>
      </c>
      <c r="H99" s="42">
        <f t="shared" si="9"/>
        <v>0</v>
      </c>
      <c r="I99" s="42">
        <f t="shared" si="9"/>
        <v>0</v>
      </c>
      <c r="J99" s="42">
        <f t="shared" si="9"/>
        <v>0</v>
      </c>
      <c r="K99" s="42">
        <f t="shared" si="9"/>
        <v>0</v>
      </c>
      <c r="L99" s="42">
        <f t="shared" si="9"/>
        <v>326.58124381200003</v>
      </c>
      <c r="M99" s="42">
        <f t="shared" si="9"/>
        <v>1.783660536</v>
      </c>
      <c r="N99" s="42">
        <f t="shared" si="9"/>
        <v>10.421991900000002</v>
      </c>
      <c r="O99" s="42">
        <f t="shared" si="9"/>
        <v>1.6916765400000002</v>
      </c>
      <c r="P99" s="42">
        <f t="shared" si="9"/>
        <v>13.166816111999999</v>
      </c>
      <c r="Q99" s="42">
        <f t="shared" si="9"/>
        <v>0</v>
      </c>
      <c r="R99" s="42">
        <f t="shared" si="9"/>
        <v>0</v>
      </c>
      <c r="S99" s="42">
        <f>R52*$C$8*$F$14</f>
        <v>0</v>
      </c>
      <c r="T99" s="42">
        <f>R52*$C$9*$F$14</f>
        <v>0</v>
      </c>
      <c r="U99" s="42">
        <f>S99+T99</f>
        <v>0</v>
      </c>
      <c r="V99" s="42">
        <f>S52</f>
        <v>0</v>
      </c>
      <c r="W99" s="42">
        <f>T52</f>
        <v>0</v>
      </c>
      <c r="X99" s="42">
        <f>U52</f>
        <v>1.7835768000000001</v>
      </c>
      <c r="Y99" s="42">
        <f>V52-AV99-AU99</f>
        <v>0</v>
      </c>
      <c r="Z99" s="42">
        <f t="shared" ref="Z99:AP99" si="10">W52</f>
        <v>0</v>
      </c>
      <c r="AA99" s="42">
        <f t="shared" si="10"/>
        <v>0</v>
      </c>
      <c r="AB99" s="42">
        <f t="shared" si="10"/>
        <v>0</v>
      </c>
      <c r="AC99" s="42">
        <f t="shared" si="10"/>
        <v>0</v>
      </c>
      <c r="AD99" s="42">
        <f t="shared" si="10"/>
        <v>0</v>
      </c>
      <c r="AE99" s="42">
        <f t="shared" si="10"/>
        <v>0</v>
      </c>
      <c r="AF99" s="42">
        <f t="shared" si="10"/>
        <v>0</v>
      </c>
      <c r="AG99" s="42">
        <f t="shared" si="10"/>
        <v>0</v>
      </c>
      <c r="AH99" s="42">
        <f t="shared" si="10"/>
        <v>0</v>
      </c>
      <c r="AI99" s="42">
        <f t="shared" si="10"/>
        <v>0</v>
      </c>
      <c r="AJ99" s="42">
        <f t="shared" si="10"/>
        <v>0</v>
      </c>
      <c r="AK99" s="42">
        <f t="shared" si="10"/>
        <v>0</v>
      </c>
      <c r="AL99" s="42">
        <f t="shared" si="10"/>
        <v>0</v>
      </c>
      <c r="AM99" s="42">
        <f t="shared" si="10"/>
        <v>0</v>
      </c>
      <c r="AN99" s="42">
        <f t="shared" si="10"/>
        <v>0</v>
      </c>
      <c r="AO99" s="42">
        <f t="shared" si="10"/>
        <v>0</v>
      </c>
      <c r="AP99" s="42">
        <f t="shared" si="10"/>
        <v>0</v>
      </c>
      <c r="AQ99" s="42">
        <f>AU52</f>
        <v>0</v>
      </c>
      <c r="AR99" s="42">
        <f>AV52</f>
        <v>4.1262588720000002</v>
      </c>
      <c r="AS99" s="42">
        <f>AW52</f>
        <v>731.46812428800001</v>
      </c>
      <c r="AT99" s="26"/>
      <c r="AU99" s="42">
        <f>V52*$F$17</f>
        <v>0</v>
      </c>
      <c r="AV99" s="42">
        <f>V52*$F$18</f>
        <v>0</v>
      </c>
      <c r="AW99" s="26"/>
    </row>
    <row r="100" spans="1:49">
      <c r="A100" s="127" t="s">
        <v>191</v>
      </c>
      <c r="B100" s="127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6"/>
      <c r="AU100" s="53"/>
      <c r="AV100" s="53"/>
      <c r="AW100" s="26"/>
    </row>
    <row r="101" spans="1:49">
      <c r="A101" s="126" t="str">
        <f>A53</f>
        <v>OSOURCEPRI</v>
      </c>
      <c r="B101" s="126"/>
      <c r="C101" s="42">
        <f t="shared" ref="C101:R101" si="11">B53</f>
        <v>0</v>
      </c>
      <c r="D101" s="42">
        <f t="shared" si="11"/>
        <v>0</v>
      </c>
      <c r="E101" s="42">
        <f t="shared" si="11"/>
        <v>0</v>
      </c>
      <c r="F101" s="42">
        <f t="shared" si="11"/>
        <v>0</v>
      </c>
      <c r="G101" s="42">
        <f t="shared" si="11"/>
        <v>0</v>
      </c>
      <c r="H101" s="42">
        <f t="shared" si="11"/>
        <v>0</v>
      </c>
      <c r="I101" s="42">
        <f t="shared" si="11"/>
        <v>0</v>
      </c>
      <c r="J101" s="42">
        <f t="shared" si="11"/>
        <v>0</v>
      </c>
      <c r="K101" s="42">
        <f t="shared" si="11"/>
        <v>0</v>
      </c>
      <c r="L101" s="42">
        <f t="shared" si="11"/>
        <v>0</v>
      </c>
      <c r="M101" s="42">
        <f t="shared" si="11"/>
        <v>0</v>
      </c>
      <c r="N101" s="42">
        <f t="shared" si="11"/>
        <v>0</v>
      </c>
      <c r="O101" s="42">
        <f t="shared" si="11"/>
        <v>0</v>
      </c>
      <c r="P101" s="42">
        <f t="shared" si="11"/>
        <v>0</v>
      </c>
      <c r="Q101" s="42">
        <f t="shared" si="11"/>
        <v>0</v>
      </c>
      <c r="R101" s="42">
        <f t="shared" si="11"/>
        <v>0</v>
      </c>
      <c r="S101" s="42">
        <f>R53*$C$8*$F$14</f>
        <v>0</v>
      </c>
      <c r="T101" s="42">
        <f>R53*$C$9*$F$14</f>
        <v>0</v>
      </c>
      <c r="U101" s="42">
        <f t="shared" ref="U101:U107" si="12">S101+T101</f>
        <v>0</v>
      </c>
      <c r="V101" s="42">
        <f t="shared" ref="V101:X105" si="13">S53</f>
        <v>0</v>
      </c>
      <c r="W101" s="42">
        <f t="shared" si="13"/>
        <v>0</v>
      </c>
      <c r="X101" s="42">
        <f t="shared" si="13"/>
        <v>0</v>
      </c>
      <c r="Y101" s="42">
        <f>V53-AV101-AU101</f>
        <v>0</v>
      </c>
      <c r="Z101" s="42">
        <f t="shared" ref="Z101:AI105" si="14">W53</f>
        <v>0</v>
      </c>
      <c r="AA101" s="42">
        <f t="shared" si="14"/>
        <v>0</v>
      </c>
      <c r="AB101" s="42">
        <f t="shared" si="14"/>
        <v>0</v>
      </c>
      <c r="AC101" s="42">
        <f t="shared" si="14"/>
        <v>0</v>
      </c>
      <c r="AD101" s="42">
        <f t="shared" si="14"/>
        <v>0</v>
      </c>
      <c r="AE101" s="42">
        <f t="shared" si="14"/>
        <v>0</v>
      </c>
      <c r="AF101" s="42">
        <f t="shared" si="14"/>
        <v>0</v>
      </c>
      <c r="AG101" s="42">
        <f t="shared" si="14"/>
        <v>0</v>
      </c>
      <c r="AH101" s="42">
        <f t="shared" si="14"/>
        <v>0</v>
      </c>
      <c r="AI101" s="42">
        <f t="shared" si="14"/>
        <v>0</v>
      </c>
      <c r="AJ101" s="42">
        <f t="shared" ref="AJ101:AP105" si="15">AG53</f>
        <v>0</v>
      </c>
      <c r="AK101" s="42">
        <f t="shared" si="15"/>
        <v>0</v>
      </c>
      <c r="AL101" s="42">
        <f t="shared" si="15"/>
        <v>0</v>
      </c>
      <c r="AM101" s="42">
        <f t="shared" si="15"/>
        <v>0</v>
      </c>
      <c r="AN101" s="42">
        <f t="shared" si="15"/>
        <v>0</v>
      </c>
      <c r="AO101" s="42">
        <f t="shared" si="15"/>
        <v>0</v>
      </c>
      <c r="AP101" s="42">
        <f t="shared" si="15"/>
        <v>0</v>
      </c>
      <c r="AQ101" s="42">
        <f t="shared" ref="AQ101:AS105" si="16">AU53</f>
        <v>0</v>
      </c>
      <c r="AR101" s="42">
        <f t="shared" si="16"/>
        <v>0</v>
      </c>
      <c r="AS101" s="42">
        <f t="shared" si="16"/>
        <v>0</v>
      </c>
      <c r="AT101" s="26"/>
      <c r="AU101" s="42">
        <f>V53*$F$17</f>
        <v>0</v>
      </c>
      <c r="AV101" s="42">
        <f>V53*$F$18</f>
        <v>0</v>
      </c>
      <c r="AW101" s="26"/>
    </row>
    <row r="102" spans="1:49">
      <c r="A102" s="126" t="str">
        <f>A54</f>
        <v>IMPORTS</v>
      </c>
      <c r="B102" s="126"/>
      <c r="C102" s="42">
        <f t="shared" ref="C102:R102" si="17">B54</f>
        <v>154.17916120800001</v>
      </c>
      <c r="D102" s="42">
        <f t="shared" si="17"/>
        <v>7.1343072000000007E-2</v>
      </c>
      <c r="E102" s="42">
        <f t="shared" si="17"/>
        <v>12.921302160000002</v>
      </c>
      <c r="F102" s="42">
        <f t="shared" si="17"/>
        <v>0</v>
      </c>
      <c r="G102" s="42">
        <f t="shared" si="17"/>
        <v>0</v>
      </c>
      <c r="H102" s="42">
        <f t="shared" si="17"/>
        <v>0</v>
      </c>
      <c r="I102" s="42">
        <f t="shared" si="17"/>
        <v>0</v>
      </c>
      <c r="J102" s="42">
        <f t="shared" si="17"/>
        <v>0</v>
      </c>
      <c r="K102" s="42">
        <f t="shared" si="17"/>
        <v>0</v>
      </c>
      <c r="L102" s="42">
        <f t="shared" si="17"/>
        <v>2.3575452120000002</v>
      </c>
      <c r="M102" s="42">
        <f t="shared" si="17"/>
        <v>0</v>
      </c>
      <c r="N102" s="42">
        <f t="shared" si="17"/>
        <v>0</v>
      </c>
      <c r="O102" s="42">
        <f t="shared" si="17"/>
        <v>0</v>
      </c>
      <c r="P102" s="42">
        <f t="shared" si="17"/>
        <v>4.4511964200000005</v>
      </c>
      <c r="Q102" s="42">
        <f t="shared" si="17"/>
        <v>0</v>
      </c>
      <c r="R102" s="42">
        <f t="shared" si="17"/>
        <v>160.62218586</v>
      </c>
      <c r="S102" s="42">
        <f>R54*$C$8*$F$14</f>
        <v>0</v>
      </c>
      <c r="T102" s="42">
        <f>R54*$C$9*$F$14</f>
        <v>459.44821137600002</v>
      </c>
      <c r="U102" s="42">
        <f t="shared" si="12"/>
        <v>459.44821137600002</v>
      </c>
      <c r="V102" s="42">
        <f t="shared" si="13"/>
        <v>19.447979076000003</v>
      </c>
      <c r="W102" s="42">
        <f t="shared" si="13"/>
        <v>0</v>
      </c>
      <c r="X102" s="42">
        <f t="shared" si="13"/>
        <v>0.22608720000000002</v>
      </c>
      <c r="Y102" s="42">
        <f>V54-AV102-AU102</f>
        <v>0</v>
      </c>
      <c r="Z102" s="42">
        <f t="shared" si="14"/>
        <v>0</v>
      </c>
      <c r="AA102" s="42">
        <f t="shared" si="14"/>
        <v>0</v>
      </c>
      <c r="AB102" s="42">
        <f t="shared" si="14"/>
        <v>11.776003020000001</v>
      </c>
      <c r="AC102" s="42">
        <f t="shared" si="14"/>
        <v>0.74801368800000001</v>
      </c>
      <c r="AD102" s="42">
        <f t="shared" si="14"/>
        <v>0.39598754400000002</v>
      </c>
      <c r="AE102" s="42">
        <f t="shared" si="14"/>
        <v>0</v>
      </c>
      <c r="AF102" s="42">
        <f t="shared" si="14"/>
        <v>4.8159923040000008</v>
      </c>
      <c r="AG102" s="42">
        <f t="shared" si="14"/>
        <v>28.466011332000001</v>
      </c>
      <c r="AH102" s="42">
        <f t="shared" si="14"/>
        <v>77.915385036000004</v>
      </c>
      <c r="AI102" s="42">
        <f t="shared" si="14"/>
        <v>28.919986055999999</v>
      </c>
      <c r="AJ102" s="42">
        <f t="shared" si="15"/>
        <v>19.272007872</v>
      </c>
      <c r="AK102" s="42">
        <f t="shared" si="15"/>
        <v>8.7211044000000015E-2</v>
      </c>
      <c r="AL102" s="42">
        <f t="shared" si="15"/>
        <v>6.5100134520000008</v>
      </c>
      <c r="AM102" s="42">
        <f t="shared" si="15"/>
        <v>4.602004956</v>
      </c>
      <c r="AN102" s="42">
        <f t="shared" si="15"/>
        <v>0.11999368800000002</v>
      </c>
      <c r="AO102" s="42">
        <f t="shared" si="15"/>
        <v>3.23200026</v>
      </c>
      <c r="AP102" s="42">
        <f t="shared" si="15"/>
        <v>15.759994428000001</v>
      </c>
      <c r="AQ102" s="42">
        <f t="shared" si="16"/>
        <v>56.598585912000004</v>
      </c>
      <c r="AR102" s="42">
        <f t="shared" si="16"/>
        <v>0</v>
      </c>
      <c r="AS102" s="42">
        <f t="shared" si="16"/>
        <v>1072.9442021760001</v>
      </c>
      <c r="AT102" s="26"/>
      <c r="AU102" s="42">
        <f>V54*$F$17</f>
        <v>0</v>
      </c>
      <c r="AV102" s="42">
        <f>V54*$F$18</f>
        <v>0</v>
      </c>
      <c r="AW102" s="26"/>
    </row>
    <row r="103" spans="1:49">
      <c r="A103" s="126" t="str">
        <f>A55</f>
        <v>EXPORTS</v>
      </c>
      <c r="B103" s="126"/>
      <c r="C103" s="42">
        <f t="shared" ref="C103:R103" si="18">B55</f>
        <v>0</v>
      </c>
      <c r="D103" s="42">
        <f t="shared" si="18"/>
        <v>-0.17643175200000003</v>
      </c>
      <c r="E103" s="42">
        <f t="shared" si="18"/>
        <v>-0.146496132</v>
      </c>
      <c r="F103" s="42">
        <f t="shared" si="18"/>
        <v>0</v>
      </c>
      <c r="G103" s="42">
        <f t="shared" si="18"/>
        <v>0</v>
      </c>
      <c r="H103" s="42">
        <f t="shared" si="18"/>
        <v>0</v>
      </c>
      <c r="I103" s="42">
        <f t="shared" si="18"/>
        <v>0</v>
      </c>
      <c r="J103" s="42">
        <f t="shared" si="18"/>
        <v>0</v>
      </c>
      <c r="K103" s="42">
        <f t="shared" si="18"/>
        <v>0</v>
      </c>
      <c r="L103" s="42">
        <f t="shared" si="18"/>
        <v>-3.3713369640000002</v>
      </c>
      <c r="M103" s="42">
        <f t="shared" si="18"/>
        <v>0</v>
      </c>
      <c r="N103" s="42">
        <f t="shared" si="18"/>
        <v>0</v>
      </c>
      <c r="O103" s="42">
        <f t="shared" si="18"/>
        <v>0</v>
      </c>
      <c r="P103" s="42">
        <f t="shared" si="18"/>
        <v>-7.4643107760000005</v>
      </c>
      <c r="Q103" s="42">
        <f t="shared" si="18"/>
        <v>0</v>
      </c>
      <c r="R103" s="42">
        <f t="shared" si="18"/>
        <v>0</v>
      </c>
      <c r="S103" s="42">
        <f>R55*$C$8*$F$14</f>
        <v>0</v>
      </c>
      <c r="T103" s="42">
        <f>R55*$C$9*$F$14</f>
        <v>0</v>
      </c>
      <c r="U103" s="42">
        <f t="shared" si="12"/>
        <v>0</v>
      </c>
      <c r="V103" s="42">
        <f t="shared" si="13"/>
        <v>0</v>
      </c>
      <c r="W103" s="42">
        <f t="shared" si="13"/>
        <v>0</v>
      </c>
      <c r="X103" s="42">
        <f t="shared" si="13"/>
        <v>-0.22608720000000002</v>
      </c>
      <c r="Y103" s="42">
        <f>V55-AV103-AU103</f>
        <v>0</v>
      </c>
      <c r="Z103" s="42">
        <f t="shared" si="14"/>
        <v>0</v>
      </c>
      <c r="AA103" s="42">
        <f t="shared" si="14"/>
        <v>0</v>
      </c>
      <c r="AB103" s="42">
        <f t="shared" si="14"/>
        <v>-0.22998092400000003</v>
      </c>
      <c r="AC103" s="42">
        <f t="shared" si="14"/>
        <v>-102.563997732</v>
      </c>
      <c r="AD103" s="42">
        <f t="shared" si="14"/>
        <v>-0.26401960800000002</v>
      </c>
      <c r="AE103" s="42">
        <f t="shared" si="14"/>
        <v>0</v>
      </c>
      <c r="AF103" s="42">
        <f t="shared" si="14"/>
        <v>0</v>
      </c>
      <c r="AG103" s="42">
        <f t="shared" si="14"/>
        <v>-3.6549926640000003</v>
      </c>
      <c r="AH103" s="42">
        <f t="shared" si="14"/>
        <v>-124.05119961600001</v>
      </c>
      <c r="AI103" s="42">
        <f t="shared" si="14"/>
        <v>-28.159998120000004</v>
      </c>
      <c r="AJ103" s="42">
        <f t="shared" si="15"/>
        <v>0</v>
      </c>
      <c r="AK103" s="42">
        <f t="shared" si="15"/>
        <v>-6.9324197040000008</v>
      </c>
      <c r="AL103" s="42">
        <f t="shared" si="15"/>
        <v>-16.674014736</v>
      </c>
      <c r="AM103" s="42">
        <f t="shared" si="15"/>
        <v>-3.0809823839999999</v>
      </c>
      <c r="AN103" s="42">
        <f t="shared" si="15"/>
        <v>0</v>
      </c>
      <c r="AO103" s="42">
        <f t="shared" si="15"/>
        <v>0</v>
      </c>
      <c r="AP103" s="42">
        <f t="shared" si="15"/>
        <v>-1.5600016800000001</v>
      </c>
      <c r="AQ103" s="42">
        <f t="shared" si="16"/>
        <v>-18.788181264000002</v>
      </c>
      <c r="AR103" s="42">
        <f t="shared" si="16"/>
        <v>0</v>
      </c>
      <c r="AS103" s="42">
        <f t="shared" si="16"/>
        <v>-317.34445125600001</v>
      </c>
      <c r="AT103" s="26"/>
      <c r="AU103" s="42">
        <f>V55*$F$17</f>
        <v>0</v>
      </c>
      <c r="AV103" s="42">
        <f>V55*$F$18</f>
        <v>0</v>
      </c>
      <c r="AW103" s="26"/>
    </row>
    <row r="104" spans="1:49">
      <c r="A104" s="126" t="str">
        <f>A56</f>
        <v>BUNKERS</v>
      </c>
      <c r="B104" s="126"/>
      <c r="C104" s="42">
        <f t="shared" ref="C104:R104" si="19">B56</f>
        <v>0</v>
      </c>
      <c r="D104" s="42">
        <f t="shared" si="19"/>
        <v>0</v>
      </c>
      <c r="E104" s="42">
        <f t="shared" si="19"/>
        <v>0</v>
      </c>
      <c r="F104" s="42">
        <f t="shared" si="19"/>
        <v>0</v>
      </c>
      <c r="G104" s="42">
        <f t="shared" si="19"/>
        <v>0</v>
      </c>
      <c r="H104" s="42">
        <f t="shared" si="19"/>
        <v>0</v>
      </c>
      <c r="I104" s="42">
        <f t="shared" si="19"/>
        <v>0</v>
      </c>
      <c r="J104" s="42">
        <f t="shared" si="19"/>
        <v>0</v>
      </c>
      <c r="K104" s="42">
        <f t="shared" si="19"/>
        <v>0</v>
      </c>
      <c r="L104" s="42">
        <f t="shared" si="19"/>
        <v>0</v>
      </c>
      <c r="M104" s="42">
        <f t="shared" si="19"/>
        <v>0</v>
      </c>
      <c r="N104" s="42">
        <f t="shared" si="19"/>
        <v>0</v>
      </c>
      <c r="O104" s="42">
        <f t="shared" si="19"/>
        <v>0</v>
      </c>
      <c r="P104" s="42">
        <f t="shared" si="19"/>
        <v>0</v>
      </c>
      <c r="Q104" s="42">
        <f t="shared" si="19"/>
        <v>0</v>
      </c>
      <c r="R104" s="42">
        <f t="shared" si="19"/>
        <v>0</v>
      </c>
      <c r="S104" s="42">
        <f>R56*$C$8*$F$14</f>
        <v>0</v>
      </c>
      <c r="T104" s="42">
        <f>R56*$C$9*$F$14</f>
        <v>0</v>
      </c>
      <c r="U104" s="42">
        <f t="shared" si="12"/>
        <v>0</v>
      </c>
      <c r="V104" s="42">
        <f t="shared" si="13"/>
        <v>0</v>
      </c>
      <c r="W104" s="42">
        <f t="shared" si="13"/>
        <v>0</v>
      </c>
      <c r="X104" s="42">
        <f t="shared" si="13"/>
        <v>0</v>
      </c>
      <c r="Y104" s="42">
        <f>V56-AV104-AU104</f>
        <v>0</v>
      </c>
      <c r="Z104" s="42">
        <f t="shared" si="14"/>
        <v>0</v>
      </c>
      <c r="AA104" s="42">
        <f t="shared" si="14"/>
        <v>0</v>
      </c>
      <c r="AB104" s="42">
        <f t="shared" si="14"/>
        <v>0</v>
      </c>
      <c r="AC104" s="42">
        <f t="shared" si="14"/>
        <v>0</v>
      </c>
      <c r="AD104" s="42">
        <f t="shared" si="14"/>
        <v>0</v>
      </c>
      <c r="AE104" s="42">
        <f t="shared" si="14"/>
        <v>0</v>
      </c>
      <c r="AF104" s="42">
        <f t="shared" si="14"/>
        <v>0</v>
      </c>
      <c r="AG104" s="42">
        <f t="shared" si="14"/>
        <v>0</v>
      </c>
      <c r="AH104" s="42">
        <f t="shared" si="14"/>
        <v>-2.6837806680000003</v>
      </c>
      <c r="AI104" s="42">
        <f t="shared" si="14"/>
        <v>-6.0799872239999999</v>
      </c>
      <c r="AJ104" s="42">
        <f t="shared" si="15"/>
        <v>0</v>
      </c>
      <c r="AK104" s="42">
        <f t="shared" si="15"/>
        <v>0</v>
      </c>
      <c r="AL104" s="42">
        <f t="shared" si="15"/>
        <v>0</v>
      </c>
      <c r="AM104" s="42">
        <f t="shared" si="15"/>
        <v>0</v>
      </c>
      <c r="AN104" s="42">
        <f t="shared" si="15"/>
        <v>0</v>
      </c>
      <c r="AO104" s="42">
        <f t="shared" si="15"/>
        <v>0</v>
      </c>
      <c r="AP104" s="42">
        <f t="shared" si="15"/>
        <v>0</v>
      </c>
      <c r="AQ104" s="42">
        <f t="shared" si="16"/>
        <v>0</v>
      </c>
      <c r="AR104" s="42">
        <f t="shared" si="16"/>
        <v>0</v>
      </c>
      <c r="AS104" s="42">
        <f t="shared" si="16"/>
        <v>-8.7637678920000006</v>
      </c>
      <c r="AT104" s="26"/>
      <c r="AU104" s="42">
        <f>V56*$F$17</f>
        <v>0</v>
      </c>
      <c r="AV104" s="42">
        <f>V56*$F$18</f>
        <v>0</v>
      </c>
      <c r="AW104" s="26"/>
    </row>
    <row r="105" spans="1:49">
      <c r="A105" s="126" t="str">
        <f>A57</f>
        <v>STOCKCHA</v>
      </c>
      <c r="B105" s="126"/>
      <c r="C105" s="42">
        <f t="shared" ref="C105:R105" si="20">B57</f>
        <v>26.101348559999998</v>
      </c>
      <c r="D105" s="42">
        <f t="shared" si="20"/>
        <v>19.503663516</v>
      </c>
      <c r="E105" s="42">
        <f t="shared" si="20"/>
        <v>0.20511133200000001</v>
      </c>
      <c r="F105" s="42">
        <f t="shared" si="20"/>
        <v>0</v>
      </c>
      <c r="G105" s="42">
        <f t="shared" si="20"/>
        <v>0</v>
      </c>
      <c r="H105" s="42">
        <f t="shared" si="20"/>
        <v>0</v>
      </c>
      <c r="I105" s="42">
        <f t="shared" si="20"/>
        <v>0</v>
      </c>
      <c r="J105" s="42">
        <f t="shared" si="20"/>
        <v>0</v>
      </c>
      <c r="K105" s="42">
        <f t="shared" si="20"/>
        <v>0</v>
      </c>
      <c r="L105" s="42">
        <f t="shared" si="20"/>
        <v>0</v>
      </c>
      <c r="M105" s="42">
        <f t="shared" si="20"/>
        <v>0</v>
      </c>
      <c r="N105" s="42">
        <f t="shared" si="20"/>
        <v>0</v>
      </c>
      <c r="O105" s="42">
        <f t="shared" si="20"/>
        <v>0</v>
      </c>
      <c r="P105" s="42">
        <f t="shared" si="20"/>
        <v>0</v>
      </c>
      <c r="Q105" s="42">
        <f t="shared" si="20"/>
        <v>0</v>
      </c>
      <c r="R105" s="42">
        <f t="shared" si="20"/>
        <v>0</v>
      </c>
      <c r="S105" s="42">
        <f>R57*$C$8*$F$14</f>
        <v>0</v>
      </c>
      <c r="T105" s="42">
        <f>R57*$C$9*$F$14</f>
        <v>-5.1192003599999998</v>
      </c>
      <c r="U105" s="42">
        <f t="shared" si="12"/>
        <v>-5.1192003599999998</v>
      </c>
      <c r="V105" s="42">
        <f t="shared" si="13"/>
        <v>0</v>
      </c>
      <c r="W105" s="42">
        <f t="shared" si="13"/>
        <v>-0.50995224000000006</v>
      </c>
      <c r="X105" s="42">
        <f t="shared" si="13"/>
        <v>0</v>
      </c>
      <c r="Y105" s="42">
        <f>V57-AV105-AU105</f>
        <v>0</v>
      </c>
      <c r="Z105" s="42">
        <f t="shared" si="14"/>
        <v>0</v>
      </c>
      <c r="AA105" s="42">
        <f t="shared" si="14"/>
        <v>0</v>
      </c>
      <c r="AB105" s="42">
        <f t="shared" si="14"/>
        <v>0.64401357599999998</v>
      </c>
      <c r="AC105" s="42">
        <f t="shared" si="14"/>
        <v>9.1960131240000003</v>
      </c>
      <c r="AD105" s="42">
        <f t="shared" si="14"/>
        <v>4.4003267999999998E-2</v>
      </c>
      <c r="AE105" s="42">
        <f t="shared" si="14"/>
        <v>0</v>
      </c>
      <c r="AF105" s="42">
        <f t="shared" si="14"/>
        <v>1.16099964</v>
      </c>
      <c r="AG105" s="42">
        <f t="shared" si="14"/>
        <v>0</v>
      </c>
      <c r="AH105" s="42">
        <f t="shared" si="14"/>
        <v>23.046617412</v>
      </c>
      <c r="AI105" s="42">
        <f t="shared" si="14"/>
        <v>1.0000171800000002</v>
      </c>
      <c r="AJ105" s="42">
        <f t="shared" si="15"/>
        <v>0.22001634</v>
      </c>
      <c r="AK105" s="42">
        <f t="shared" si="15"/>
        <v>0</v>
      </c>
      <c r="AL105" s="42">
        <f t="shared" si="15"/>
        <v>0</v>
      </c>
      <c r="AM105" s="42">
        <f t="shared" si="15"/>
        <v>0</v>
      </c>
      <c r="AN105" s="42">
        <f t="shared" si="15"/>
        <v>0</v>
      </c>
      <c r="AO105" s="42">
        <f t="shared" si="15"/>
        <v>0</v>
      </c>
      <c r="AP105" s="42">
        <f t="shared" si="15"/>
        <v>0</v>
      </c>
      <c r="AQ105" s="42">
        <f t="shared" si="16"/>
        <v>0</v>
      </c>
      <c r="AR105" s="42">
        <f t="shared" si="16"/>
        <v>0</v>
      </c>
      <c r="AS105" s="42">
        <f t="shared" si="16"/>
        <v>75.49265134800001</v>
      </c>
      <c r="AT105" s="26"/>
      <c r="AU105" s="42">
        <f>V57*$F$17</f>
        <v>0</v>
      </c>
      <c r="AV105" s="42">
        <f>V57*$F$18</f>
        <v>0</v>
      </c>
      <c r="AW105" s="26"/>
    </row>
    <row r="106" spans="1:49">
      <c r="A106" s="126" t="str">
        <f>A59</f>
        <v>TRANSFER</v>
      </c>
      <c r="B106" s="126"/>
      <c r="C106" s="42">
        <f t="shared" ref="C106:R106" si="21">B59</f>
        <v>0</v>
      </c>
      <c r="D106" s="42">
        <f t="shared" si="21"/>
        <v>0</v>
      </c>
      <c r="E106" s="42">
        <f t="shared" si="21"/>
        <v>0</v>
      </c>
      <c r="F106" s="42">
        <f t="shared" si="21"/>
        <v>0</v>
      </c>
      <c r="G106" s="42">
        <f t="shared" si="21"/>
        <v>0</v>
      </c>
      <c r="H106" s="42">
        <f t="shared" si="21"/>
        <v>0</v>
      </c>
      <c r="I106" s="42">
        <f t="shared" si="21"/>
        <v>0</v>
      </c>
      <c r="J106" s="42">
        <f t="shared" si="21"/>
        <v>0</v>
      </c>
      <c r="K106" s="42">
        <f t="shared" si="21"/>
        <v>0</v>
      </c>
      <c r="L106" s="42">
        <f t="shared" si="21"/>
        <v>0</v>
      </c>
      <c r="M106" s="42">
        <f t="shared" si="21"/>
        <v>0</v>
      </c>
      <c r="N106" s="42">
        <f t="shared" si="21"/>
        <v>0</v>
      </c>
      <c r="O106" s="42">
        <f t="shared" si="21"/>
        <v>0</v>
      </c>
      <c r="P106" s="42">
        <f t="shared" si="21"/>
        <v>0</v>
      </c>
      <c r="Q106" s="42">
        <f t="shared" si="21"/>
        <v>0</v>
      </c>
      <c r="R106" s="42">
        <f t="shared" si="21"/>
        <v>0</v>
      </c>
      <c r="S106" s="42">
        <f>R59*$C$8*$F$14</f>
        <v>0</v>
      </c>
      <c r="T106" s="42">
        <f>R59*$C$9*F$14</f>
        <v>0</v>
      </c>
      <c r="U106" s="42">
        <f t="shared" si="12"/>
        <v>0</v>
      </c>
      <c r="V106" s="42">
        <f t="shared" ref="V106:X107" si="22">S59</f>
        <v>0</v>
      </c>
      <c r="W106" s="42">
        <f t="shared" si="22"/>
        <v>110.02215391199999</v>
      </c>
      <c r="X106" s="42">
        <f t="shared" si="22"/>
        <v>-7.6367650680000008</v>
      </c>
      <c r="Y106" s="42">
        <f>V59-AV106-AU106</f>
        <v>0</v>
      </c>
      <c r="Z106" s="42">
        <f t="shared" ref="Z106:AI107" si="23">W59</f>
        <v>14.454005904000001</v>
      </c>
      <c r="AA106" s="42">
        <f t="shared" si="23"/>
        <v>0</v>
      </c>
      <c r="AB106" s="42">
        <f t="shared" si="23"/>
        <v>-3.7260007920000002</v>
      </c>
      <c r="AC106" s="42">
        <f t="shared" si="23"/>
        <v>-0.17601307199999999</v>
      </c>
      <c r="AD106" s="42">
        <f t="shared" si="23"/>
        <v>0</v>
      </c>
      <c r="AE106" s="42">
        <f t="shared" si="23"/>
        <v>0</v>
      </c>
      <c r="AF106" s="42">
        <f t="shared" si="23"/>
        <v>0</v>
      </c>
      <c r="AG106" s="42">
        <f t="shared" si="23"/>
        <v>-23.133995928000004</v>
      </c>
      <c r="AH106" s="42">
        <f t="shared" si="23"/>
        <v>-62.494186464000002</v>
      </c>
      <c r="AI106" s="42">
        <f t="shared" si="23"/>
        <v>-14.439980124</v>
      </c>
      <c r="AJ106" s="42">
        <f t="shared" ref="AJ106:AP107" si="24">AG59</f>
        <v>-6.0719904360000001</v>
      </c>
      <c r="AK106" s="42">
        <f t="shared" si="24"/>
        <v>0</v>
      </c>
      <c r="AL106" s="42">
        <f t="shared" si="24"/>
        <v>0</v>
      </c>
      <c r="AM106" s="42">
        <f t="shared" si="24"/>
        <v>0</v>
      </c>
      <c r="AN106" s="42">
        <f t="shared" si="24"/>
        <v>0</v>
      </c>
      <c r="AO106" s="42">
        <f t="shared" si="24"/>
        <v>0</v>
      </c>
      <c r="AP106" s="42">
        <f t="shared" si="24"/>
        <v>1.2400045560000001</v>
      </c>
      <c r="AQ106" s="42">
        <f t="shared" ref="AQ106:AS107" si="25">AU59</f>
        <v>0</v>
      </c>
      <c r="AR106" s="42">
        <f t="shared" si="25"/>
        <v>0</v>
      </c>
      <c r="AS106" s="42">
        <f t="shared" si="25"/>
        <v>8.0372324880000008</v>
      </c>
      <c r="AT106" s="26"/>
      <c r="AU106" s="42">
        <f>V59*$F$17</f>
        <v>0</v>
      </c>
      <c r="AV106" s="42">
        <f>V59*$F$18</f>
        <v>0</v>
      </c>
      <c r="AW106" s="26"/>
    </row>
    <row r="107" spans="1:49">
      <c r="A107" s="126" t="str">
        <f>A60</f>
        <v>STATDIFF</v>
      </c>
      <c r="B107" s="126"/>
      <c r="C107" s="42">
        <f t="shared" ref="C107:R107" si="26">B60</f>
        <v>-0.43999081200000006</v>
      </c>
      <c r="D107" s="42">
        <f t="shared" si="26"/>
        <v>1.2871479240000001</v>
      </c>
      <c r="E107" s="42">
        <f t="shared" si="26"/>
        <v>0</v>
      </c>
      <c r="F107" s="42">
        <f t="shared" si="26"/>
        <v>0</v>
      </c>
      <c r="G107" s="42">
        <f t="shared" si="26"/>
        <v>0</v>
      </c>
      <c r="H107" s="42">
        <f t="shared" si="26"/>
        <v>0</v>
      </c>
      <c r="I107" s="42">
        <f t="shared" si="26"/>
        <v>0</v>
      </c>
      <c r="J107" s="42">
        <f t="shared" si="26"/>
        <v>0</v>
      </c>
      <c r="K107" s="42">
        <f t="shared" si="26"/>
        <v>0</v>
      </c>
      <c r="L107" s="42">
        <f t="shared" si="26"/>
        <v>0</v>
      </c>
      <c r="M107" s="42">
        <f t="shared" si="26"/>
        <v>0</v>
      </c>
      <c r="N107" s="42">
        <f t="shared" si="26"/>
        <v>0</v>
      </c>
      <c r="O107" s="42">
        <f t="shared" si="26"/>
        <v>0</v>
      </c>
      <c r="P107" s="42">
        <f t="shared" si="26"/>
        <v>-2.4949559880000001</v>
      </c>
      <c r="Q107" s="42">
        <f t="shared" si="26"/>
        <v>0</v>
      </c>
      <c r="R107" s="42">
        <f t="shared" si="26"/>
        <v>-0.10797757200000001</v>
      </c>
      <c r="S107" s="42">
        <f>R60*$C$8*$F$14</f>
        <v>0</v>
      </c>
      <c r="T107" s="42">
        <f>R60*$C$9*$F$14</f>
        <v>-5.9297229719999995</v>
      </c>
      <c r="U107" s="42">
        <f t="shared" si="12"/>
        <v>-5.9297229719999995</v>
      </c>
      <c r="V107" s="42">
        <f t="shared" si="22"/>
        <v>10.912014972000001</v>
      </c>
      <c r="W107" s="42">
        <f t="shared" si="22"/>
        <v>4.2496019999999995E-2</v>
      </c>
      <c r="X107" s="42">
        <f t="shared" si="22"/>
        <v>7.5362818680000006</v>
      </c>
      <c r="Y107" s="42">
        <f>V60-AV107-AU107</f>
        <v>0</v>
      </c>
      <c r="Z107" s="42">
        <f t="shared" si="23"/>
        <v>-1.5345040680000002</v>
      </c>
      <c r="AA107" s="42">
        <f t="shared" si="23"/>
        <v>0</v>
      </c>
      <c r="AB107" s="42">
        <f t="shared" si="23"/>
        <v>-0.13799692799999999</v>
      </c>
      <c r="AC107" s="42">
        <f t="shared" si="23"/>
        <v>-9.1080065880000003</v>
      </c>
      <c r="AD107" s="42">
        <f t="shared" si="23"/>
        <v>-8.8006535999999996E-2</v>
      </c>
      <c r="AE107" s="42">
        <f t="shared" si="23"/>
        <v>0</v>
      </c>
      <c r="AF107" s="42">
        <f t="shared" si="23"/>
        <v>-3.9559817160000001</v>
      </c>
      <c r="AG107" s="42">
        <f t="shared" si="23"/>
        <v>-1.6769808720000001</v>
      </c>
      <c r="AH107" s="42">
        <f t="shared" si="23"/>
        <v>-7.6679985960000003</v>
      </c>
      <c r="AI107" s="42">
        <f t="shared" si="23"/>
        <v>16.519982364000001</v>
      </c>
      <c r="AJ107" s="42">
        <f t="shared" si="24"/>
        <v>-5.9399806320000001</v>
      </c>
      <c r="AK107" s="42">
        <f t="shared" si="24"/>
        <v>1.9620182160000001</v>
      </c>
      <c r="AL107" s="42">
        <f t="shared" si="24"/>
        <v>2.6039802600000002</v>
      </c>
      <c r="AM107" s="42">
        <f t="shared" si="24"/>
        <v>-0.50697961200000008</v>
      </c>
      <c r="AN107" s="42">
        <f t="shared" si="24"/>
        <v>3.9983940000000003E-2</v>
      </c>
      <c r="AO107" s="42">
        <f t="shared" si="24"/>
        <v>-2.2399798679999998</v>
      </c>
      <c r="AP107" s="42">
        <f t="shared" si="24"/>
        <v>-10.759992264000001</v>
      </c>
      <c r="AQ107" s="42">
        <f t="shared" si="25"/>
        <v>0</v>
      </c>
      <c r="AR107" s="42">
        <f t="shared" si="25"/>
        <v>0</v>
      </c>
      <c r="AS107" s="42">
        <f t="shared" si="25"/>
        <v>-11.681130132000002</v>
      </c>
      <c r="AT107" s="26"/>
      <c r="AU107" s="42">
        <f>V60*$F$17</f>
        <v>0</v>
      </c>
      <c r="AV107" s="42">
        <f>V60*$F$18</f>
        <v>0</v>
      </c>
      <c r="AW107" s="26"/>
    </row>
    <row r="108" spans="1:49">
      <c r="A108" s="39"/>
      <c r="B108" s="3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ht="18.75" thickBot="1">
      <c r="A109" s="114" t="s">
        <v>192</v>
      </c>
      <c r="B109" s="115"/>
      <c r="C109" s="427" t="str">
        <f t="shared" ref="C109:AR109" si="27">C97</f>
        <v>CONHCO</v>
      </c>
      <c r="D109" s="427" t="str">
        <f t="shared" si="27"/>
        <v>CONBCO</v>
      </c>
      <c r="E109" s="427" t="str">
        <f t="shared" si="27"/>
        <v>CONOVC</v>
      </c>
      <c r="F109" s="427" t="str">
        <f t="shared" si="27"/>
        <v>CONGSC</v>
      </c>
      <c r="G109" s="427" t="str">
        <f t="shared" si="27"/>
        <v>GANGWG</v>
      </c>
      <c r="H109" s="427" t="str">
        <f t="shared" si="27"/>
        <v>GANCOG</v>
      </c>
      <c r="I109" s="427" t="str">
        <f t="shared" si="27"/>
        <v>GANBFG</v>
      </c>
      <c r="J109" s="427" t="str">
        <f t="shared" si="27"/>
        <v>GANOXY</v>
      </c>
      <c r="K109" s="427" t="str">
        <f t="shared" si="27"/>
        <v>BIOCHR</v>
      </c>
      <c r="L109" s="427" t="str">
        <f t="shared" si="27"/>
        <v>BIOBSL</v>
      </c>
      <c r="M109" s="427" t="str">
        <f t="shared" si="27"/>
        <v>BIOBIN</v>
      </c>
      <c r="N109" s="427" t="str">
        <f t="shared" si="27"/>
        <v>BIOBMU</v>
      </c>
      <c r="O109" s="427" t="str">
        <f t="shared" si="27"/>
        <v>BIOGAS</v>
      </c>
      <c r="P109" s="427" t="str">
        <f t="shared" si="27"/>
        <v>BIOLIQ</v>
      </c>
      <c r="Q109" s="427" t="str">
        <f t="shared" si="27"/>
        <v>BIOREN</v>
      </c>
      <c r="R109" s="427" t="str">
        <f t="shared" si="27"/>
        <v>GANNGA</v>
      </c>
      <c r="S109" s="427" t="str">
        <f t="shared" si="27"/>
        <v>OINCRL</v>
      </c>
      <c r="T109" s="427" t="str">
        <f t="shared" si="27"/>
        <v>OINCRH</v>
      </c>
      <c r="U109" s="427" t="str">
        <f t="shared" si="27"/>
        <v>OINCRD</v>
      </c>
      <c r="V109" s="427" t="str">
        <f t="shared" si="27"/>
        <v>OINNGL</v>
      </c>
      <c r="W109" s="427" t="str">
        <f t="shared" si="27"/>
        <v>OINFEE</v>
      </c>
      <c r="X109" s="427" t="str">
        <f t="shared" si="27"/>
        <v>OINADD</v>
      </c>
      <c r="Y109" s="427" t="str">
        <f t="shared" si="27"/>
        <v>OINNCR</v>
      </c>
      <c r="Z109" s="427" t="str">
        <f t="shared" si="27"/>
        <v>GANRFG</v>
      </c>
      <c r="AA109" s="427" t="str">
        <f t="shared" si="27"/>
        <v>GANETH</v>
      </c>
      <c r="AB109" s="427" t="str">
        <f t="shared" si="27"/>
        <v>OINLPG</v>
      </c>
      <c r="AC109" s="427" t="str">
        <f t="shared" si="27"/>
        <v>OINGSL</v>
      </c>
      <c r="AD109" s="427" t="str">
        <f t="shared" si="27"/>
        <v>OINAVG</v>
      </c>
      <c r="AE109" s="427" t="str">
        <f t="shared" si="27"/>
        <v>OINJTG</v>
      </c>
      <c r="AF109" s="427" t="str">
        <f t="shared" si="27"/>
        <v>OINJTK</v>
      </c>
      <c r="AG109" s="427" t="str">
        <f t="shared" si="27"/>
        <v>OINKER</v>
      </c>
      <c r="AH109" s="427" t="str">
        <f t="shared" si="27"/>
        <v>OINDST</v>
      </c>
      <c r="AI109" s="427" t="str">
        <f t="shared" si="27"/>
        <v>OINHFO</v>
      </c>
      <c r="AJ109" s="427" t="str">
        <f t="shared" si="27"/>
        <v>OINNAP</v>
      </c>
      <c r="AK109" s="427" t="str">
        <f t="shared" si="27"/>
        <v>OINWSP</v>
      </c>
      <c r="AL109" s="427" t="str">
        <f t="shared" si="27"/>
        <v>OINLUB</v>
      </c>
      <c r="AM109" s="427" t="str">
        <f t="shared" si="27"/>
        <v>OINASP</v>
      </c>
      <c r="AN109" s="427" t="str">
        <f t="shared" si="27"/>
        <v>OINWAX</v>
      </c>
      <c r="AO109" s="427" t="str">
        <f t="shared" si="27"/>
        <v>OINPTC</v>
      </c>
      <c r="AP109" s="427" t="str">
        <f t="shared" si="27"/>
        <v>OINNSP</v>
      </c>
      <c r="AQ109" s="427" t="str">
        <f t="shared" si="27"/>
        <v>ELCC</v>
      </c>
      <c r="AR109" s="427" t="str">
        <f t="shared" si="27"/>
        <v>HET</v>
      </c>
      <c r="AS109" s="427"/>
      <c r="AT109" s="123"/>
      <c r="AU109" s="123"/>
      <c r="AV109" s="123"/>
      <c r="AW109" s="123"/>
    </row>
    <row r="110" spans="1:49">
      <c r="A110" s="129" t="str">
        <f>A94</f>
        <v>PIPELINE</v>
      </c>
      <c r="B110" s="130"/>
      <c r="C110" s="131">
        <f t="shared" ref="C110:R110" si="28">B94</f>
        <v>0</v>
      </c>
      <c r="D110" s="131">
        <f t="shared" si="28"/>
        <v>0</v>
      </c>
      <c r="E110" s="131">
        <f t="shared" si="28"/>
        <v>0</v>
      </c>
      <c r="F110" s="131">
        <f t="shared" si="28"/>
        <v>0</v>
      </c>
      <c r="G110" s="131">
        <f t="shared" si="28"/>
        <v>0</v>
      </c>
      <c r="H110" s="131">
        <f t="shared" si="28"/>
        <v>0</v>
      </c>
      <c r="I110" s="131">
        <f t="shared" si="28"/>
        <v>0</v>
      </c>
      <c r="J110" s="131">
        <f t="shared" si="28"/>
        <v>0</v>
      </c>
      <c r="K110" s="131">
        <f t="shared" si="28"/>
        <v>0</v>
      </c>
      <c r="L110" s="131">
        <f t="shared" si="28"/>
        <v>0</v>
      </c>
      <c r="M110" s="131">
        <f t="shared" si="28"/>
        <v>0</v>
      </c>
      <c r="N110" s="131">
        <f t="shared" si="28"/>
        <v>0</v>
      </c>
      <c r="O110" s="131">
        <f t="shared" si="28"/>
        <v>0</v>
      </c>
      <c r="P110" s="131">
        <f t="shared" si="28"/>
        <v>0</v>
      </c>
      <c r="Q110" s="131">
        <f t="shared" si="28"/>
        <v>0</v>
      </c>
      <c r="R110" s="131">
        <f t="shared" si="28"/>
        <v>0.39590380800000002</v>
      </c>
      <c r="S110" s="132">
        <f>R94*C8</f>
        <v>0</v>
      </c>
      <c r="T110" s="132">
        <f>R94*C9</f>
        <v>0</v>
      </c>
      <c r="U110" s="42">
        <f>S110+T110</f>
        <v>0</v>
      </c>
      <c r="V110" s="131">
        <f t="shared" ref="V110:AP110" si="29">S94</f>
        <v>0</v>
      </c>
      <c r="W110" s="131">
        <f t="shared" si="29"/>
        <v>0</v>
      </c>
      <c r="X110" s="131">
        <f t="shared" si="29"/>
        <v>0</v>
      </c>
      <c r="Y110" s="131">
        <f t="shared" si="29"/>
        <v>0</v>
      </c>
      <c r="Z110" s="131">
        <f t="shared" si="29"/>
        <v>0</v>
      </c>
      <c r="AA110" s="131">
        <f t="shared" si="29"/>
        <v>0</v>
      </c>
      <c r="AB110" s="131">
        <f t="shared" si="29"/>
        <v>0</v>
      </c>
      <c r="AC110" s="131">
        <f t="shared" si="29"/>
        <v>0</v>
      </c>
      <c r="AD110" s="131">
        <f t="shared" si="29"/>
        <v>0</v>
      </c>
      <c r="AE110" s="131">
        <f t="shared" si="29"/>
        <v>0</v>
      </c>
      <c r="AF110" s="131">
        <f t="shared" si="29"/>
        <v>0</v>
      </c>
      <c r="AG110" s="131">
        <f t="shared" si="29"/>
        <v>0</v>
      </c>
      <c r="AH110" s="131">
        <f t="shared" si="29"/>
        <v>0</v>
      </c>
      <c r="AI110" s="131">
        <f t="shared" si="29"/>
        <v>0</v>
      </c>
      <c r="AJ110" s="131">
        <f t="shared" si="29"/>
        <v>0</v>
      </c>
      <c r="AK110" s="131">
        <f t="shared" si="29"/>
        <v>0</v>
      </c>
      <c r="AL110" s="131">
        <f t="shared" si="29"/>
        <v>0</v>
      </c>
      <c r="AM110" s="131">
        <f t="shared" si="29"/>
        <v>0</v>
      </c>
      <c r="AN110" s="131">
        <f t="shared" si="29"/>
        <v>0</v>
      </c>
      <c r="AO110" s="131">
        <f t="shared" si="29"/>
        <v>0</v>
      </c>
      <c r="AP110" s="131">
        <f t="shared" si="29"/>
        <v>0</v>
      </c>
      <c r="AQ110" s="131">
        <f>AU94</f>
        <v>0</v>
      </c>
      <c r="AR110" s="131">
        <f>AV94</f>
        <v>0</v>
      </c>
      <c r="AS110" s="131">
        <f>AW94</f>
        <v>0.39590380800000002</v>
      </c>
      <c r="AT110" s="54"/>
      <c r="AU110" s="54"/>
      <c r="AV110" s="54"/>
      <c r="AW110" s="54"/>
    </row>
    <row r="111" spans="1:49">
      <c r="A111" s="113"/>
      <c r="B111" s="113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54"/>
      <c r="AS111" s="54"/>
      <c r="AT111" s="54"/>
      <c r="AU111" s="54"/>
      <c r="AV111" s="54"/>
      <c r="AW111" s="54"/>
    </row>
    <row r="112" spans="1:49" ht="18">
      <c r="A112" s="114" t="s">
        <v>193</v>
      </c>
      <c r="B112" s="115"/>
      <c r="C112" s="18"/>
      <c r="D112" s="18"/>
      <c r="E112" s="18"/>
      <c r="F112" s="66"/>
      <c r="G112" s="66"/>
      <c r="H112" s="66"/>
      <c r="I112" s="6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</row>
    <row r="113" spans="1:49" ht="13.5" thickBot="1">
      <c r="A113" s="119"/>
      <c r="B113" s="120"/>
      <c r="C113" s="133" t="str">
        <f t="shared" ref="C113:R113" si="30">C97</f>
        <v>CONHCO</v>
      </c>
      <c r="D113" s="133" t="str">
        <f t="shared" si="30"/>
        <v>CONBCO</v>
      </c>
      <c r="E113" s="133" t="str">
        <f t="shared" si="30"/>
        <v>CONOVC</v>
      </c>
      <c r="F113" s="133" t="str">
        <f t="shared" si="30"/>
        <v>CONGSC</v>
      </c>
      <c r="G113" s="133" t="str">
        <f t="shared" si="30"/>
        <v>GANGWG</v>
      </c>
      <c r="H113" s="133" t="str">
        <f t="shared" si="30"/>
        <v>GANCOG</v>
      </c>
      <c r="I113" s="133" t="str">
        <f t="shared" si="30"/>
        <v>GANBFG</v>
      </c>
      <c r="J113" s="133" t="str">
        <f t="shared" si="30"/>
        <v>GANOXY</v>
      </c>
      <c r="K113" s="133" t="str">
        <f t="shared" si="30"/>
        <v>BIOCHR</v>
      </c>
      <c r="L113" s="133" t="str">
        <f t="shared" si="30"/>
        <v>BIOBSL</v>
      </c>
      <c r="M113" s="133" t="str">
        <f t="shared" si="30"/>
        <v>BIOBIN</v>
      </c>
      <c r="N113" s="133" t="str">
        <f t="shared" si="30"/>
        <v>BIOBMU</v>
      </c>
      <c r="O113" s="133" t="str">
        <f t="shared" si="30"/>
        <v>BIOGAS</v>
      </c>
      <c r="P113" s="133" t="str">
        <f t="shared" si="30"/>
        <v>BIOLIQ</v>
      </c>
      <c r="Q113" s="133" t="str">
        <f t="shared" si="30"/>
        <v>BIOREN</v>
      </c>
      <c r="R113" s="133" t="str">
        <f t="shared" si="30"/>
        <v>GANNGA</v>
      </c>
      <c r="S113" s="134" t="str">
        <f t="shared" ref="S113:AP113" si="31">U109</f>
        <v>OINCRD</v>
      </c>
      <c r="T113" s="134" t="str">
        <f t="shared" si="31"/>
        <v>OINNGL</v>
      </c>
      <c r="U113" s="134" t="str">
        <f t="shared" si="31"/>
        <v>OINFEE</v>
      </c>
      <c r="V113" s="134" t="str">
        <f t="shared" si="31"/>
        <v>OINADD</v>
      </c>
      <c r="W113" s="134" t="str">
        <f t="shared" si="31"/>
        <v>OINNCR</v>
      </c>
      <c r="X113" s="134" t="str">
        <f t="shared" si="31"/>
        <v>GANRFG</v>
      </c>
      <c r="Y113" s="134" t="str">
        <f t="shared" si="31"/>
        <v>GANETH</v>
      </c>
      <c r="Z113" s="134" t="str">
        <f t="shared" si="31"/>
        <v>OINLPG</v>
      </c>
      <c r="AA113" s="134" t="str">
        <f t="shared" si="31"/>
        <v>OINGSL</v>
      </c>
      <c r="AB113" s="134" t="str">
        <f t="shared" si="31"/>
        <v>OINAVG</v>
      </c>
      <c r="AC113" s="134" t="str">
        <f t="shared" si="31"/>
        <v>OINJTG</v>
      </c>
      <c r="AD113" s="134" t="str">
        <f t="shared" si="31"/>
        <v>OINJTK</v>
      </c>
      <c r="AE113" s="134" t="str">
        <f t="shared" si="31"/>
        <v>OINKER</v>
      </c>
      <c r="AF113" s="134" t="str">
        <f t="shared" si="31"/>
        <v>OINDST</v>
      </c>
      <c r="AG113" s="134" t="str">
        <f t="shared" si="31"/>
        <v>OINHFO</v>
      </c>
      <c r="AH113" s="134" t="str">
        <f t="shared" si="31"/>
        <v>OINNAP</v>
      </c>
      <c r="AI113" s="134" t="str">
        <f t="shared" si="31"/>
        <v>OINWSP</v>
      </c>
      <c r="AJ113" s="134" t="str">
        <f t="shared" si="31"/>
        <v>OINLUB</v>
      </c>
      <c r="AK113" s="134" t="str">
        <f t="shared" si="31"/>
        <v>OINASP</v>
      </c>
      <c r="AL113" s="134" t="str">
        <f t="shared" si="31"/>
        <v>OINWAX</v>
      </c>
      <c r="AM113" s="134" t="str">
        <f t="shared" si="31"/>
        <v>OINPTC</v>
      </c>
      <c r="AN113" s="134" t="str">
        <f t="shared" si="31"/>
        <v>OINNSP</v>
      </c>
      <c r="AO113" s="134" t="str">
        <f t="shared" si="31"/>
        <v>ELCC</v>
      </c>
      <c r="AP113" s="134" t="str">
        <f t="shared" si="31"/>
        <v>HET</v>
      </c>
      <c r="AQ113" s="134"/>
      <c r="AR113" s="123"/>
      <c r="AS113" s="123"/>
      <c r="AT113" s="123"/>
      <c r="AU113" s="123"/>
      <c r="AV113" s="123"/>
      <c r="AW113" s="123"/>
    </row>
    <row r="114" spans="1:49">
      <c r="A114" s="107" t="str">
        <f t="shared" ref="A114:A121" si="32">A68</f>
        <v>THEAT</v>
      </c>
      <c r="B114" s="135" t="s">
        <v>194</v>
      </c>
      <c r="C114" s="42">
        <f t="shared" ref="C114:AN114" si="33">B68</f>
        <v>0</v>
      </c>
      <c r="D114" s="42">
        <f t="shared" si="33"/>
        <v>0</v>
      </c>
      <c r="E114" s="42">
        <f t="shared" si="33"/>
        <v>0</v>
      </c>
      <c r="F114" s="42">
        <f t="shared" si="33"/>
        <v>0</v>
      </c>
      <c r="G114" s="42">
        <f t="shared" si="33"/>
        <v>0</v>
      </c>
      <c r="H114" s="42">
        <f t="shared" si="33"/>
        <v>0</v>
      </c>
      <c r="I114" s="42">
        <f t="shared" si="33"/>
        <v>0</v>
      </c>
      <c r="J114" s="42">
        <f t="shared" si="33"/>
        <v>0</v>
      </c>
      <c r="K114" s="42">
        <f t="shared" si="33"/>
        <v>0</v>
      </c>
      <c r="L114" s="42">
        <f t="shared" si="33"/>
        <v>0</v>
      </c>
      <c r="M114" s="42">
        <f t="shared" si="33"/>
        <v>0</v>
      </c>
      <c r="N114" s="42">
        <f t="shared" si="33"/>
        <v>0</v>
      </c>
      <c r="O114" s="42">
        <f t="shared" si="33"/>
        <v>0</v>
      </c>
      <c r="P114" s="42">
        <f t="shared" si="33"/>
        <v>0</v>
      </c>
      <c r="Q114" s="42">
        <f t="shared" si="33"/>
        <v>0</v>
      </c>
      <c r="R114" s="42">
        <f t="shared" si="33"/>
        <v>0</v>
      </c>
      <c r="S114" s="42">
        <f t="shared" si="33"/>
        <v>0</v>
      </c>
      <c r="T114" s="42">
        <f t="shared" si="33"/>
        <v>0</v>
      </c>
      <c r="U114" s="42">
        <f t="shared" si="33"/>
        <v>0</v>
      </c>
      <c r="V114" s="42">
        <f t="shared" si="33"/>
        <v>0</v>
      </c>
      <c r="W114" s="42">
        <f t="shared" si="33"/>
        <v>0</v>
      </c>
      <c r="X114" s="42">
        <f t="shared" si="33"/>
        <v>0</v>
      </c>
      <c r="Y114" s="42">
        <f t="shared" si="33"/>
        <v>0</v>
      </c>
      <c r="Z114" s="42">
        <f t="shared" si="33"/>
        <v>0</v>
      </c>
      <c r="AA114" s="42">
        <f t="shared" si="33"/>
        <v>0</v>
      </c>
      <c r="AB114" s="42">
        <f t="shared" si="33"/>
        <v>0</v>
      </c>
      <c r="AC114" s="42">
        <f t="shared" si="33"/>
        <v>0</v>
      </c>
      <c r="AD114" s="42">
        <f t="shared" si="33"/>
        <v>0</v>
      </c>
      <c r="AE114" s="42">
        <f t="shared" si="33"/>
        <v>0</v>
      </c>
      <c r="AF114" s="42">
        <f t="shared" si="33"/>
        <v>0</v>
      </c>
      <c r="AG114" s="42">
        <f t="shared" si="33"/>
        <v>0</v>
      </c>
      <c r="AH114" s="42">
        <f t="shared" si="33"/>
        <v>0</v>
      </c>
      <c r="AI114" s="42">
        <f t="shared" si="33"/>
        <v>0</v>
      </c>
      <c r="AJ114" s="42">
        <f t="shared" si="33"/>
        <v>0</v>
      </c>
      <c r="AK114" s="42">
        <f t="shared" si="33"/>
        <v>0</v>
      </c>
      <c r="AL114" s="42">
        <f t="shared" si="33"/>
        <v>0</v>
      </c>
      <c r="AM114" s="42">
        <f t="shared" si="33"/>
        <v>0</v>
      </c>
      <c r="AN114" s="42">
        <f t="shared" si="33"/>
        <v>0</v>
      </c>
      <c r="AO114" s="42">
        <f t="shared" ref="AO114:AQ121" si="34">AU68</f>
        <v>-0.44287970399999999</v>
      </c>
      <c r="AP114" s="42">
        <f t="shared" si="34"/>
        <v>0.44287970399999999</v>
      </c>
      <c r="AQ114" s="42">
        <f t="shared" si="34"/>
        <v>0</v>
      </c>
      <c r="AR114" s="51"/>
      <c r="AS114" s="51"/>
      <c r="AT114" s="51"/>
      <c r="AU114" s="51"/>
      <c r="AV114" s="51"/>
      <c r="AW114" s="51"/>
    </row>
    <row r="115" spans="1:49">
      <c r="A115" s="107" t="str">
        <f t="shared" si="32"/>
        <v>TBOILER</v>
      </c>
      <c r="B115" s="135" t="s">
        <v>195</v>
      </c>
      <c r="C115" s="42">
        <f t="shared" ref="C115:AN115" si="35">B69</f>
        <v>0</v>
      </c>
      <c r="D115" s="42">
        <f t="shared" si="35"/>
        <v>0</v>
      </c>
      <c r="E115" s="42">
        <f t="shared" si="35"/>
        <v>0</v>
      </c>
      <c r="F115" s="42">
        <f t="shared" si="35"/>
        <v>0</v>
      </c>
      <c r="G115" s="42">
        <f t="shared" si="35"/>
        <v>0</v>
      </c>
      <c r="H115" s="42">
        <f t="shared" si="35"/>
        <v>0</v>
      </c>
      <c r="I115" s="42">
        <f t="shared" si="35"/>
        <v>0</v>
      </c>
      <c r="J115" s="42">
        <f t="shared" si="35"/>
        <v>0</v>
      </c>
      <c r="K115" s="42">
        <f t="shared" si="35"/>
        <v>0</v>
      </c>
      <c r="L115" s="42">
        <f t="shared" si="35"/>
        <v>0</v>
      </c>
      <c r="M115" s="42">
        <f t="shared" si="35"/>
        <v>0</v>
      </c>
      <c r="N115" s="42">
        <f t="shared" si="35"/>
        <v>0</v>
      </c>
      <c r="O115" s="42">
        <f t="shared" si="35"/>
        <v>0</v>
      </c>
      <c r="P115" s="42">
        <f t="shared" si="35"/>
        <v>0</v>
      </c>
      <c r="Q115" s="42">
        <f t="shared" si="35"/>
        <v>0</v>
      </c>
      <c r="R115" s="42">
        <f t="shared" si="35"/>
        <v>0</v>
      </c>
      <c r="S115" s="42">
        <f t="shared" si="35"/>
        <v>0</v>
      </c>
      <c r="T115" s="42">
        <f t="shared" si="35"/>
        <v>0</v>
      </c>
      <c r="U115" s="42">
        <f t="shared" si="35"/>
        <v>0</v>
      </c>
      <c r="V115" s="42">
        <f t="shared" si="35"/>
        <v>0</v>
      </c>
      <c r="W115" s="42">
        <f t="shared" si="35"/>
        <v>0</v>
      </c>
      <c r="X115" s="42">
        <f t="shared" si="35"/>
        <v>0</v>
      </c>
      <c r="Y115" s="42">
        <f t="shared" si="35"/>
        <v>0</v>
      </c>
      <c r="Z115" s="42">
        <f t="shared" si="35"/>
        <v>0</v>
      </c>
      <c r="AA115" s="42">
        <f t="shared" si="35"/>
        <v>0</v>
      </c>
      <c r="AB115" s="42">
        <f t="shared" si="35"/>
        <v>0</v>
      </c>
      <c r="AC115" s="42">
        <f t="shared" si="35"/>
        <v>0</v>
      </c>
      <c r="AD115" s="42">
        <f t="shared" si="35"/>
        <v>0</v>
      </c>
      <c r="AE115" s="42">
        <f t="shared" si="35"/>
        <v>0</v>
      </c>
      <c r="AF115" s="42">
        <f t="shared" si="35"/>
        <v>0</v>
      </c>
      <c r="AG115" s="42">
        <f t="shared" si="35"/>
        <v>0</v>
      </c>
      <c r="AH115" s="42">
        <f t="shared" si="35"/>
        <v>0</v>
      </c>
      <c r="AI115" s="42">
        <f t="shared" si="35"/>
        <v>0</v>
      </c>
      <c r="AJ115" s="42">
        <f t="shared" si="35"/>
        <v>0</v>
      </c>
      <c r="AK115" s="42">
        <f t="shared" si="35"/>
        <v>0</v>
      </c>
      <c r="AL115" s="42">
        <f t="shared" si="35"/>
        <v>0</v>
      </c>
      <c r="AM115" s="42">
        <f t="shared" si="35"/>
        <v>0</v>
      </c>
      <c r="AN115" s="42">
        <f t="shared" si="35"/>
        <v>0</v>
      </c>
      <c r="AO115" s="42">
        <f t="shared" si="34"/>
        <v>-0.16562980800000002</v>
      </c>
      <c r="AP115" s="42">
        <f t="shared" si="34"/>
        <v>0.16295025600000002</v>
      </c>
      <c r="AQ115" s="42">
        <f t="shared" si="34"/>
        <v>-2.6795520000000004E-3</v>
      </c>
      <c r="AR115" s="51"/>
      <c r="AS115" s="51"/>
      <c r="AT115" s="51"/>
      <c r="AU115" s="51"/>
      <c r="AV115" s="51"/>
      <c r="AW115" s="51"/>
    </row>
    <row r="116" spans="1:49">
      <c r="A116" s="107" t="str">
        <f t="shared" si="32"/>
        <v>TPATFUEL</v>
      </c>
      <c r="B116" s="135" t="s">
        <v>196</v>
      </c>
      <c r="C116" s="42">
        <f t="shared" ref="C116:AN116" si="36">B70</f>
        <v>0</v>
      </c>
      <c r="D116" s="42">
        <f t="shared" si="36"/>
        <v>0</v>
      </c>
      <c r="E116" s="42">
        <f t="shared" si="36"/>
        <v>0</v>
      </c>
      <c r="F116" s="42">
        <f t="shared" si="36"/>
        <v>0</v>
      </c>
      <c r="G116" s="42">
        <f t="shared" si="36"/>
        <v>0</v>
      </c>
      <c r="H116" s="42">
        <f t="shared" si="36"/>
        <v>0</v>
      </c>
      <c r="I116" s="42">
        <f t="shared" si="36"/>
        <v>0</v>
      </c>
      <c r="J116" s="42">
        <f t="shared" si="36"/>
        <v>0</v>
      </c>
      <c r="K116" s="42">
        <f t="shared" si="36"/>
        <v>0</v>
      </c>
      <c r="L116" s="42">
        <f t="shared" si="36"/>
        <v>0</v>
      </c>
      <c r="M116" s="42">
        <f t="shared" si="36"/>
        <v>0</v>
      </c>
      <c r="N116" s="42">
        <f t="shared" si="36"/>
        <v>0</v>
      </c>
      <c r="O116" s="42">
        <f t="shared" si="36"/>
        <v>0</v>
      </c>
      <c r="P116" s="42">
        <f t="shared" si="36"/>
        <v>0</v>
      </c>
      <c r="Q116" s="42">
        <f t="shared" si="36"/>
        <v>0</v>
      </c>
      <c r="R116" s="42">
        <f t="shared" si="36"/>
        <v>0</v>
      </c>
      <c r="S116" s="42">
        <f t="shared" si="36"/>
        <v>0</v>
      </c>
      <c r="T116" s="42">
        <f t="shared" si="36"/>
        <v>0</v>
      </c>
      <c r="U116" s="42">
        <f t="shared" si="36"/>
        <v>0</v>
      </c>
      <c r="V116" s="42">
        <f t="shared" si="36"/>
        <v>0</v>
      </c>
      <c r="W116" s="42">
        <f t="shared" si="36"/>
        <v>0</v>
      </c>
      <c r="X116" s="42">
        <f t="shared" si="36"/>
        <v>0</v>
      </c>
      <c r="Y116" s="42">
        <f t="shared" si="36"/>
        <v>0</v>
      </c>
      <c r="Z116" s="42">
        <f t="shared" si="36"/>
        <v>0</v>
      </c>
      <c r="AA116" s="42">
        <f t="shared" si="36"/>
        <v>0</v>
      </c>
      <c r="AB116" s="42">
        <f t="shared" si="36"/>
        <v>0</v>
      </c>
      <c r="AC116" s="42">
        <f t="shared" si="36"/>
        <v>0</v>
      </c>
      <c r="AD116" s="42">
        <f t="shared" si="36"/>
        <v>0</v>
      </c>
      <c r="AE116" s="42">
        <f t="shared" si="36"/>
        <v>0</v>
      </c>
      <c r="AF116" s="42">
        <f t="shared" si="36"/>
        <v>0</v>
      </c>
      <c r="AG116" s="42">
        <f t="shared" si="36"/>
        <v>0</v>
      </c>
      <c r="AH116" s="42">
        <f t="shared" si="36"/>
        <v>0</v>
      </c>
      <c r="AI116" s="42">
        <f t="shared" si="36"/>
        <v>0</v>
      </c>
      <c r="AJ116" s="42">
        <f t="shared" si="36"/>
        <v>0</v>
      </c>
      <c r="AK116" s="42">
        <f t="shared" si="36"/>
        <v>0</v>
      </c>
      <c r="AL116" s="42">
        <f t="shared" si="36"/>
        <v>0</v>
      </c>
      <c r="AM116" s="42">
        <f t="shared" si="36"/>
        <v>0</v>
      </c>
      <c r="AN116" s="42">
        <f t="shared" si="36"/>
        <v>0</v>
      </c>
      <c r="AO116" s="42">
        <f t="shared" si="34"/>
        <v>0</v>
      </c>
      <c r="AP116" s="42">
        <f t="shared" si="34"/>
        <v>0</v>
      </c>
      <c r="AQ116" s="42">
        <f t="shared" si="34"/>
        <v>0</v>
      </c>
      <c r="AR116" s="51"/>
      <c r="AS116" s="51"/>
      <c r="AT116" s="51"/>
      <c r="AU116" s="51"/>
      <c r="AV116" s="51"/>
      <c r="AW116" s="51"/>
    </row>
    <row r="117" spans="1:49">
      <c r="A117" s="107" t="str">
        <f t="shared" si="32"/>
        <v>TCOKEOVS</v>
      </c>
      <c r="B117" s="135" t="s">
        <v>197</v>
      </c>
      <c r="C117" s="42">
        <f t="shared" ref="C117:AN117" si="37">B71</f>
        <v>-35.013496644</v>
      </c>
      <c r="D117" s="42">
        <f t="shared" si="37"/>
        <v>0</v>
      </c>
      <c r="E117" s="42">
        <f t="shared" si="37"/>
        <v>24.231105000000003</v>
      </c>
      <c r="F117" s="42">
        <f t="shared" si="37"/>
        <v>0</v>
      </c>
      <c r="G117" s="42">
        <f t="shared" si="37"/>
        <v>0</v>
      </c>
      <c r="H117" s="42">
        <f t="shared" si="37"/>
        <v>6.9901138080000003</v>
      </c>
      <c r="I117" s="42">
        <f t="shared" si="37"/>
        <v>0</v>
      </c>
      <c r="J117" s="42">
        <f t="shared" si="37"/>
        <v>0</v>
      </c>
      <c r="K117" s="42">
        <f t="shared" si="37"/>
        <v>0</v>
      </c>
      <c r="L117" s="42">
        <f t="shared" si="37"/>
        <v>0</v>
      </c>
      <c r="M117" s="42">
        <f t="shared" si="37"/>
        <v>0</v>
      </c>
      <c r="N117" s="42">
        <f t="shared" si="37"/>
        <v>0</v>
      </c>
      <c r="O117" s="42">
        <f t="shared" si="37"/>
        <v>0</v>
      </c>
      <c r="P117" s="42">
        <f t="shared" si="37"/>
        <v>0</v>
      </c>
      <c r="Q117" s="42">
        <f t="shared" si="37"/>
        <v>0</v>
      </c>
      <c r="R117" s="42">
        <f t="shared" si="37"/>
        <v>0</v>
      </c>
      <c r="S117" s="42">
        <f t="shared" si="37"/>
        <v>0</v>
      </c>
      <c r="T117" s="42">
        <f t="shared" si="37"/>
        <v>0</v>
      </c>
      <c r="U117" s="42">
        <f t="shared" si="37"/>
        <v>0</v>
      </c>
      <c r="V117" s="42">
        <f t="shared" si="37"/>
        <v>0</v>
      </c>
      <c r="W117" s="42">
        <f t="shared" si="37"/>
        <v>0</v>
      </c>
      <c r="X117" s="42">
        <f t="shared" si="37"/>
        <v>0</v>
      </c>
      <c r="Y117" s="42">
        <f t="shared" si="37"/>
        <v>0</v>
      </c>
      <c r="Z117" s="42">
        <f t="shared" si="37"/>
        <v>0</v>
      </c>
      <c r="AA117" s="42">
        <f t="shared" si="37"/>
        <v>0</v>
      </c>
      <c r="AB117" s="42">
        <f t="shared" si="37"/>
        <v>0</v>
      </c>
      <c r="AC117" s="42">
        <f t="shared" si="37"/>
        <v>0</v>
      </c>
      <c r="AD117" s="42">
        <f t="shared" si="37"/>
        <v>0</v>
      </c>
      <c r="AE117" s="42">
        <f t="shared" si="37"/>
        <v>0</v>
      </c>
      <c r="AF117" s="42">
        <f t="shared" si="37"/>
        <v>0</v>
      </c>
      <c r="AG117" s="42">
        <f t="shared" si="37"/>
        <v>0</v>
      </c>
      <c r="AH117" s="42">
        <f t="shared" si="37"/>
        <v>0</v>
      </c>
      <c r="AI117" s="42">
        <f t="shared" si="37"/>
        <v>0</v>
      </c>
      <c r="AJ117" s="42">
        <f t="shared" si="37"/>
        <v>0</v>
      </c>
      <c r="AK117" s="42">
        <f t="shared" si="37"/>
        <v>0</v>
      </c>
      <c r="AL117" s="42">
        <f t="shared" si="37"/>
        <v>0</v>
      </c>
      <c r="AM117" s="42">
        <f t="shared" si="37"/>
        <v>0</v>
      </c>
      <c r="AN117" s="42">
        <f t="shared" si="37"/>
        <v>0</v>
      </c>
      <c r="AO117" s="42">
        <f t="shared" si="34"/>
        <v>0</v>
      </c>
      <c r="AP117" s="42">
        <f t="shared" si="34"/>
        <v>0</v>
      </c>
      <c r="AQ117" s="42">
        <f t="shared" si="34"/>
        <v>-3.5702937000000006</v>
      </c>
      <c r="AR117" s="51"/>
      <c r="AS117" s="51"/>
      <c r="AT117" s="51"/>
      <c r="AU117" s="51"/>
      <c r="AV117" s="51"/>
      <c r="AW117" s="51"/>
    </row>
    <row r="118" spans="1:49">
      <c r="A118" s="107" t="str">
        <f t="shared" si="32"/>
        <v>TGASWKS</v>
      </c>
      <c r="B118" s="135" t="s">
        <v>198</v>
      </c>
      <c r="C118" s="42">
        <f t="shared" ref="C118:AN118" si="38">B72</f>
        <v>0</v>
      </c>
      <c r="D118" s="42">
        <f t="shared" si="38"/>
        <v>0</v>
      </c>
      <c r="E118" s="42">
        <f t="shared" si="38"/>
        <v>0</v>
      </c>
      <c r="F118" s="42">
        <f t="shared" si="38"/>
        <v>0</v>
      </c>
      <c r="G118" s="42">
        <f t="shared" si="38"/>
        <v>0</v>
      </c>
      <c r="H118" s="42">
        <f t="shared" si="38"/>
        <v>0</v>
      </c>
      <c r="I118" s="42">
        <f t="shared" si="38"/>
        <v>0</v>
      </c>
      <c r="J118" s="42">
        <f t="shared" si="38"/>
        <v>0</v>
      </c>
      <c r="K118" s="42">
        <f t="shared" si="38"/>
        <v>0</v>
      </c>
      <c r="L118" s="42">
        <f t="shared" si="38"/>
        <v>0</v>
      </c>
      <c r="M118" s="42">
        <f t="shared" si="38"/>
        <v>0</v>
      </c>
      <c r="N118" s="42">
        <f t="shared" si="38"/>
        <v>0</v>
      </c>
      <c r="O118" s="42">
        <f t="shared" si="38"/>
        <v>0</v>
      </c>
      <c r="P118" s="42">
        <f t="shared" si="38"/>
        <v>0</v>
      </c>
      <c r="Q118" s="42">
        <f t="shared" si="38"/>
        <v>0</v>
      </c>
      <c r="R118" s="42">
        <f t="shared" si="38"/>
        <v>0</v>
      </c>
      <c r="S118" s="42">
        <f t="shared" si="38"/>
        <v>0</v>
      </c>
      <c r="T118" s="42">
        <f t="shared" si="38"/>
        <v>0</v>
      </c>
      <c r="U118" s="42">
        <f t="shared" si="38"/>
        <v>0</v>
      </c>
      <c r="V118" s="42">
        <f t="shared" si="38"/>
        <v>0</v>
      </c>
      <c r="W118" s="42">
        <f t="shared" si="38"/>
        <v>0</v>
      </c>
      <c r="X118" s="42">
        <f t="shared" si="38"/>
        <v>0</v>
      </c>
      <c r="Y118" s="42">
        <f t="shared" si="38"/>
        <v>0</v>
      </c>
      <c r="Z118" s="42">
        <f t="shared" si="38"/>
        <v>0</v>
      </c>
      <c r="AA118" s="42">
        <f t="shared" si="38"/>
        <v>0</v>
      </c>
      <c r="AB118" s="42">
        <f t="shared" si="38"/>
        <v>0</v>
      </c>
      <c r="AC118" s="42">
        <f t="shared" si="38"/>
        <v>0</v>
      </c>
      <c r="AD118" s="42">
        <f t="shared" si="38"/>
        <v>0</v>
      </c>
      <c r="AE118" s="42">
        <f t="shared" si="38"/>
        <v>0</v>
      </c>
      <c r="AF118" s="42">
        <f t="shared" si="38"/>
        <v>0</v>
      </c>
      <c r="AG118" s="42">
        <f t="shared" si="38"/>
        <v>0</v>
      </c>
      <c r="AH118" s="42">
        <f t="shared" si="38"/>
        <v>0</v>
      </c>
      <c r="AI118" s="42">
        <f t="shared" si="38"/>
        <v>0</v>
      </c>
      <c r="AJ118" s="42">
        <f t="shared" si="38"/>
        <v>0</v>
      </c>
      <c r="AK118" s="42">
        <f t="shared" si="38"/>
        <v>0</v>
      </c>
      <c r="AL118" s="42">
        <f t="shared" si="38"/>
        <v>0</v>
      </c>
      <c r="AM118" s="42">
        <f t="shared" si="38"/>
        <v>0</v>
      </c>
      <c r="AN118" s="42">
        <f t="shared" si="38"/>
        <v>0</v>
      </c>
      <c r="AO118" s="42">
        <f t="shared" si="34"/>
        <v>0</v>
      </c>
      <c r="AP118" s="42">
        <f t="shared" si="34"/>
        <v>0</v>
      </c>
      <c r="AQ118" s="42">
        <f t="shared" si="34"/>
        <v>0</v>
      </c>
      <c r="AR118" s="51"/>
      <c r="AS118" s="51"/>
      <c r="AT118" s="51"/>
      <c r="AU118" s="51"/>
      <c r="AV118" s="51"/>
      <c r="AW118" s="51"/>
    </row>
    <row r="119" spans="1:49">
      <c r="A119" s="107" t="str">
        <f t="shared" si="32"/>
        <v>BLASTFUR</v>
      </c>
      <c r="B119" s="135" t="s">
        <v>199</v>
      </c>
      <c r="C119" s="42">
        <f t="shared" ref="C119:AN119" si="39">B73</f>
        <v>0</v>
      </c>
      <c r="D119" s="42">
        <f t="shared" si="39"/>
        <v>0</v>
      </c>
      <c r="E119" s="42">
        <f t="shared" si="39"/>
        <v>-24.055301268000004</v>
      </c>
      <c r="F119" s="42">
        <f t="shared" si="39"/>
        <v>0</v>
      </c>
      <c r="G119" s="42">
        <f t="shared" si="39"/>
        <v>0</v>
      </c>
      <c r="H119" s="42">
        <f t="shared" si="39"/>
        <v>-7.2012960000000003E-3</v>
      </c>
      <c r="I119" s="42">
        <f t="shared" si="39"/>
        <v>8.8672655880000004</v>
      </c>
      <c r="J119" s="42">
        <f t="shared" si="39"/>
        <v>0</v>
      </c>
      <c r="K119" s="42">
        <f t="shared" si="39"/>
        <v>0</v>
      </c>
      <c r="L119" s="42">
        <f t="shared" si="39"/>
        <v>0</v>
      </c>
      <c r="M119" s="42">
        <f t="shared" si="39"/>
        <v>0</v>
      </c>
      <c r="N119" s="42">
        <f t="shared" si="39"/>
        <v>0</v>
      </c>
      <c r="O119" s="42">
        <f t="shared" si="39"/>
        <v>0</v>
      </c>
      <c r="P119" s="42">
        <f t="shared" si="39"/>
        <v>0</v>
      </c>
      <c r="Q119" s="42">
        <f t="shared" si="39"/>
        <v>0</v>
      </c>
      <c r="R119" s="42">
        <f t="shared" si="39"/>
        <v>0</v>
      </c>
      <c r="S119" s="42">
        <f t="shared" si="39"/>
        <v>0</v>
      </c>
      <c r="T119" s="42">
        <f t="shared" si="39"/>
        <v>0</v>
      </c>
      <c r="U119" s="42">
        <f t="shared" si="39"/>
        <v>0</v>
      </c>
      <c r="V119" s="42">
        <f t="shared" si="39"/>
        <v>0</v>
      </c>
      <c r="W119" s="42">
        <f t="shared" si="39"/>
        <v>0</v>
      </c>
      <c r="X119" s="42">
        <f t="shared" si="39"/>
        <v>0</v>
      </c>
      <c r="Y119" s="42">
        <f t="shared" si="39"/>
        <v>0</v>
      </c>
      <c r="Z119" s="42">
        <f t="shared" si="39"/>
        <v>0</v>
      </c>
      <c r="AA119" s="42">
        <f t="shared" si="39"/>
        <v>0</v>
      </c>
      <c r="AB119" s="42">
        <f t="shared" si="39"/>
        <v>0</v>
      </c>
      <c r="AC119" s="42">
        <f t="shared" si="39"/>
        <v>0</v>
      </c>
      <c r="AD119" s="42">
        <f t="shared" si="39"/>
        <v>0</v>
      </c>
      <c r="AE119" s="42">
        <f t="shared" si="39"/>
        <v>0</v>
      </c>
      <c r="AF119" s="42">
        <f t="shared" si="39"/>
        <v>0</v>
      </c>
      <c r="AG119" s="42">
        <f t="shared" si="39"/>
        <v>-7.719998652000001</v>
      </c>
      <c r="AH119" s="42">
        <f t="shared" si="39"/>
        <v>0</v>
      </c>
      <c r="AI119" s="42">
        <f t="shared" si="39"/>
        <v>0</v>
      </c>
      <c r="AJ119" s="42">
        <f t="shared" si="39"/>
        <v>0</v>
      </c>
      <c r="AK119" s="42">
        <f t="shared" si="39"/>
        <v>0</v>
      </c>
      <c r="AL119" s="42">
        <f t="shared" si="39"/>
        <v>0</v>
      </c>
      <c r="AM119" s="42">
        <f t="shared" si="39"/>
        <v>0</v>
      </c>
      <c r="AN119" s="42">
        <f t="shared" si="39"/>
        <v>0</v>
      </c>
      <c r="AO119" s="42">
        <f t="shared" si="34"/>
        <v>0</v>
      </c>
      <c r="AP119" s="42">
        <f t="shared" si="34"/>
        <v>0</v>
      </c>
      <c r="AQ119" s="42">
        <f t="shared" si="34"/>
        <v>-22.915235628000001</v>
      </c>
      <c r="AR119" s="51"/>
      <c r="AS119" s="51"/>
      <c r="AT119" s="51"/>
      <c r="AU119" s="51"/>
      <c r="AV119" s="51"/>
      <c r="AW119" s="51"/>
    </row>
    <row r="120" spans="1:49">
      <c r="A120" s="107" t="str">
        <f t="shared" si="32"/>
        <v>PETCHEM</v>
      </c>
      <c r="B120" s="135" t="s">
        <v>200</v>
      </c>
      <c r="C120" s="42">
        <f t="shared" ref="C120:AN120" si="40">B74</f>
        <v>0</v>
      </c>
      <c r="D120" s="42">
        <f t="shared" si="40"/>
        <v>0</v>
      </c>
      <c r="E120" s="42">
        <f t="shared" si="40"/>
        <v>0</v>
      </c>
      <c r="F120" s="42">
        <f t="shared" si="40"/>
        <v>0</v>
      </c>
      <c r="G120" s="42">
        <f t="shared" si="40"/>
        <v>0</v>
      </c>
      <c r="H120" s="42">
        <f t="shared" si="40"/>
        <v>0</v>
      </c>
      <c r="I120" s="42">
        <f t="shared" si="40"/>
        <v>0</v>
      </c>
      <c r="J120" s="42">
        <f t="shared" si="40"/>
        <v>0</v>
      </c>
      <c r="K120" s="42">
        <f t="shared" si="40"/>
        <v>0</v>
      </c>
      <c r="L120" s="42">
        <f t="shared" si="40"/>
        <v>0</v>
      </c>
      <c r="M120" s="42">
        <f t="shared" si="40"/>
        <v>0</v>
      </c>
      <c r="N120" s="42">
        <f t="shared" si="40"/>
        <v>0</v>
      </c>
      <c r="O120" s="42">
        <f t="shared" si="40"/>
        <v>0</v>
      </c>
      <c r="P120" s="42">
        <f t="shared" si="40"/>
        <v>0</v>
      </c>
      <c r="Q120" s="42">
        <f t="shared" si="40"/>
        <v>0</v>
      </c>
      <c r="R120" s="42">
        <f t="shared" si="40"/>
        <v>0</v>
      </c>
      <c r="S120" s="42">
        <f t="shared" si="40"/>
        <v>0</v>
      </c>
      <c r="T120" s="42">
        <f t="shared" si="40"/>
        <v>0</v>
      </c>
      <c r="U120" s="42">
        <f t="shared" si="40"/>
        <v>6.6293791200000003</v>
      </c>
      <c r="V120" s="42">
        <f t="shared" si="40"/>
        <v>0</v>
      </c>
      <c r="W120" s="42">
        <f t="shared" si="40"/>
        <v>0</v>
      </c>
      <c r="X120" s="42">
        <f t="shared" si="40"/>
        <v>-2.574002772</v>
      </c>
      <c r="Y120" s="42">
        <f t="shared" si="40"/>
        <v>0</v>
      </c>
      <c r="Z120" s="42">
        <f t="shared" si="40"/>
        <v>-2.4839865720000001</v>
      </c>
      <c r="AA120" s="42">
        <f t="shared" si="40"/>
        <v>0</v>
      </c>
      <c r="AB120" s="42">
        <f t="shared" si="40"/>
        <v>0</v>
      </c>
      <c r="AC120" s="42">
        <f t="shared" si="40"/>
        <v>0</v>
      </c>
      <c r="AD120" s="42">
        <f t="shared" si="40"/>
        <v>0</v>
      </c>
      <c r="AE120" s="42">
        <f t="shared" si="40"/>
        <v>0</v>
      </c>
      <c r="AF120" s="42">
        <f t="shared" si="40"/>
        <v>0</v>
      </c>
      <c r="AG120" s="42">
        <f t="shared" si="40"/>
        <v>0</v>
      </c>
      <c r="AH120" s="42">
        <f t="shared" si="40"/>
        <v>-2.1999959280000003</v>
      </c>
      <c r="AI120" s="42">
        <f t="shared" si="40"/>
        <v>0</v>
      </c>
      <c r="AJ120" s="42">
        <f t="shared" si="40"/>
        <v>0</v>
      </c>
      <c r="AK120" s="42">
        <f t="shared" si="40"/>
        <v>0</v>
      </c>
      <c r="AL120" s="42">
        <f t="shared" si="40"/>
        <v>0</v>
      </c>
      <c r="AM120" s="42">
        <f t="shared" si="40"/>
        <v>0</v>
      </c>
      <c r="AN120" s="42">
        <f t="shared" si="40"/>
        <v>0</v>
      </c>
      <c r="AO120" s="42">
        <f t="shared" si="34"/>
        <v>0</v>
      </c>
      <c r="AP120" s="42">
        <f t="shared" si="34"/>
        <v>0</v>
      </c>
      <c r="AQ120" s="42">
        <f t="shared" si="34"/>
        <v>-0.62860615200000003</v>
      </c>
      <c r="AR120" s="51"/>
      <c r="AS120" s="51"/>
      <c r="AT120" s="51"/>
      <c r="AU120" s="51"/>
      <c r="AV120" s="51"/>
      <c r="AW120" s="51"/>
    </row>
    <row r="121" spans="1:49">
      <c r="A121" s="107" t="str">
        <f t="shared" si="32"/>
        <v>TBKB</v>
      </c>
      <c r="B121" s="135" t="s">
        <v>201</v>
      </c>
      <c r="C121" s="42">
        <f t="shared" ref="C121:AN121" si="41">B75</f>
        <v>0</v>
      </c>
      <c r="D121" s="42">
        <f t="shared" si="41"/>
        <v>4.6892160000000047E-3</v>
      </c>
      <c r="E121" s="42">
        <f t="shared" si="41"/>
        <v>0</v>
      </c>
      <c r="F121" s="42">
        <f t="shared" si="41"/>
        <v>0</v>
      </c>
      <c r="G121" s="42">
        <f t="shared" si="41"/>
        <v>0</v>
      </c>
      <c r="H121" s="42">
        <f t="shared" si="41"/>
        <v>0</v>
      </c>
      <c r="I121" s="42">
        <f t="shared" si="41"/>
        <v>0</v>
      </c>
      <c r="J121" s="42">
        <f t="shared" si="41"/>
        <v>0</v>
      </c>
      <c r="K121" s="42">
        <f t="shared" si="41"/>
        <v>0</v>
      </c>
      <c r="L121" s="42">
        <f t="shared" si="41"/>
        <v>0</v>
      </c>
      <c r="M121" s="42">
        <f t="shared" si="41"/>
        <v>0</v>
      </c>
      <c r="N121" s="42">
        <f t="shared" si="41"/>
        <v>0</v>
      </c>
      <c r="O121" s="42">
        <f t="shared" si="41"/>
        <v>0</v>
      </c>
      <c r="P121" s="42">
        <f t="shared" si="41"/>
        <v>0</v>
      </c>
      <c r="Q121" s="42">
        <f t="shared" si="41"/>
        <v>0</v>
      </c>
      <c r="R121" s="42">
        <f t="shared" si="41"/>
        <v>0</v>
      </c>
      <c r="S121" s="42">
        <f t="shared" si="41"/>
        <v>0</v>
      </c>
      <c r="T121" s="42">
        <f t="shared" si="41"/>
        <v>0</v>
      </c>
      <c r="U121" s="42">
        <f t="shared" si="41"/>
        <v>0</v>
      </c>
      <c r="V121" s="42">
        <f t="shared" si="41"/>
        <v>0</v>
      </c>
      <c r="W121" s="42">
        <f t="shared" si="41"/>
        <v>0</v>
      </c>
      <c r="X121" s="42">
        <f t="shared" si="41"/>
        <v>0</v>
      </c>
      <c r="Y121" s="42">
        <f t="shared" si="41"/>
        <v>0</v>
      </c>
      <c r="Z121" s="42">
        <f t="shared" si="41"/>
        <v>0</v>
      </c>
      <c r="AA121" s="42">
        <f t="shared" si="41"/>
        <v>0</v>
      </c>
      <c r="AB121" s="42">
        <f t="shared" si="41"/>
        <v>0</v>
      </c>
      <c r="AC121" s="42">
        <f t="shared" si="41"/>
        <v>0</v>
      </c>
      <c r="AD121" s="42">
        <f t="shared" si="41"/>
        <v>0</v>
      </c>
      <c r="AE121" s="42">
        <f t="shared" si="41"/>
        <v>0</v>
      </c>
      <c r="AF121" s="42">
        <f t="shared" si="41"/>
        <v>0</v>
      </c>
      <c r="AG121" s="42">
        <f t="shared" si="41"/>
        <v>0</v>
      </c>
      <c r="AH121" s="42">
        <f t="shared" si="41"/>
        <v>0</v>
      </c>
      <c r="AI121" s="42">
        <f t="shared" si="41"/>
        <v>0</v>
      </c>
      <c r="AJ121" s="42">
        <f t="shared" si="41"/>
        <v>0</v>
      </c>
      <c r="AK121" s="42">
        <f t="shared" si="41"/>
        <v>0</v>
      </c>
      <c r="AL121" s="42">
        <f t="shared" si="41"/>
        <v>0</v>
      </c>
      <c r="AM121" s="42">
        <f t="shared" si="41"/>
        <v>0</v>
      </c>
      <c r="AN121" s="42">
        <f t="shared" si="41"/>
        <v>0</v>
      </c>
      <c r="AO121" s="42">
        <f t="shared" si="34"/>
        <v>0</v>
      </c>
      <c r="AP121" s="42">
        <f t="shared" si="34"/>
        <v>0</v>
      </c>
      <c r="AQ121" s="42">
        <f t="shared" si="34"/>
        <v>4.6892160000000004E-3</v>
      </c>
      <c r="AR121" s="51"/>
      <c r="AS121" s="51"/>
      <c r="AT121" s="51"/>
      <c r="AU121" s="51"/>
      <c r="AV121" s="51"/>
      <c r="AW121" s="51"/>
    </row>
    <row r="122" spans="1:49">
      <c r="A122" s="136" t="s">
        <v>202</v>
      </c>
      <c r="B122" s="137" t="s">
        <v>203</v>
      </c>
      <c r="C122" s="125">
        <f t="shared" ref="C122:AQ122" si="42">IF(C124=0,C123,C124)</f>
        <v>0</v>
      </c>
      <c r="D122" s="125">
        <f t="shared" si="42"/>
        <v>0</v>
      </c>
      <c r="E122" s="125">
        <f t="shared" si="42"/>
        <v>0</v>
      </c>
      <c r="F122" s="125">
        <f t="shared" si="42"/>
        <v>0</v>
      </c>
      <c r="G122" s="125">
        <f t="shared" si="42"/>
        <v>0</v>
      </c>
      <c r="H122" s="125">
        <f t="shared" si="42"/>
        <v>0</v>
      </c>
      <c r="I122" s="125">
        <f t="shared" si="42"/>
        <v>0</v>
      </c>
      <c r="J122" s="125">
        <f t="shared" si="42"/>
        <v>0</v>
      </c>
      <c r="K122" s="125">
        <f t="shared" si="42"/>
        <v>0</v>
      </c>
      <c r="L122" s="125">
        <f t="shared" si="42"/>
        <v>0</v>
      </c>
      <c r="M122" s="125">
        <f t="shared" si="42"/>
        <v>0</v>
      </c>
      <c r="N122" s="125">
        <f t="shared" si="42"/>
        <v>0</v>
      </c>
      <c r="O122" s="125">
        <f t="shared" si="42"/>
        <v>0</v>
      </c>
      <c r="P122" s="125">
        <f t="shared" si="42"/>
        <v>0</v>
      </c>
      <c r="Q122" s="125">
        <f t="shared" si="42"/>
        <v>0</v>
      </c>
      <c r="R122" s="125">
        <f t="shared" si="42"/>
        <v>0</v>
      </c>
      <c r="S122" s="125">
        <f t="shared" si="42"/>
        <v>-448.39924617600002</v>
      </c>
      <c r="T122" s="125">
        <f t="shared" si="42"/>
        <v>-30.359994048000001</v>
      </c>
      <c r="U122" s="125">
        <f t="shared" si="42"/>
        <v>-116.184076812</v>
      </c>
      <c r="V122" s="125">
        <f t="shared" si="42"/>
        <v>-1.6830936000000003</v>
      </c>
      <c r="W122" s="125">
        <f t="shared" si="42"/>
        <v>-8.7922799999999999</v>
      </c>
      <c r="X122" s="125">
        <f t="shared" si="42"/>
        <v>22.274990172000003</v>
      </c>
      <c r="Y122" s="125">
        <f t="shared" si="42"/>
        <v>0</v>
      </c>
      <c r="Z122" s="125">
        <f t="shared" si="42"/>
        <v>11.315999304000002</v>
      </c>
      <c r="AA122" s="125">
        <f t="shared" si="42"/>
        <v>171.02801671200001</v>
      </c>
      <c r="AB122" s="125">
        <f t="shared" si="42"/>
        <v>0</v>
      </c>
      <c r="AC122" s="125">
        <f t="shared" si="42"/>
        <v>0</v>
      </c>
      <c r="AD122" s="125">
        <f t="shared" si="42"/>
        <v>26.230008924000003</v>
      </c>
      <c r="AE122" s="125">
        <f t="shared" si="42"/>
        <v>0</v>
      </c>
      <c r="AF122" s="125">
        <f t="shared" si="42"/>
        <v>271.66018305600005</v>
      </c>
      <c r="AG122" s="125">
        <f t="shared" si="42"/>
        <v>48.360010211999999</v>
      </c>
      <c r="AH122" s="125">
        <f t="shared" si="42"/>
        <v>8.7999837120000013</v>
      </c>
      <c r="AI122" s="125">
        <f t="shared" si="42"/>
        <v>7.629982452000001</v>
      </c>
      <c r="AJ122" s="125">
        <f t="shared" si="42"/>
        <v>10.710001872000001</v>
      </c>
      <c r="AK122" s="125">
        <f t="shared" si="42"/>
        <v>9.9060106680000004</v>
      </c>
      <c r="AL122" s="125">
        <f t="shared" si="42"/>
        <v>0</v>
      </c>
      <c r="AM122" s="125">
        <f t="shared" si="42"/>
        <v>4.0320140040000005</v>
      </c>
      <c r="AN122" s="125">
        <f t="shared" si="42"/>
        <v>4.8800084760000004</v>
      </c>
      <c r="AO122" s="125">
        <f t="shared" si="42"/>
        <v>0</v>
      </c>
      <c r="AP122" s="125">
        <f t="shared" si="42"/>
        <v>0</v>
      </c>
      <c r="AQ122" s="125">
        <f t="shared" si="42"/>
        <v>-8.5914810720000006</v>
      </c>
      <c r="AR122" s="51"/>
      <c r="AS122" s="51"/>
      <c r="AT122" s="51"/>
      <c r="AU122" s="51"/>
      <c r="AV122" s="51"/>
      <c r="AW122" s="51"/>
    </row>
    <row r="123" spans="1:49">
      <c r="A123" s="107" t="s">
        <v>204</v>
      </c>
      <c r="B123" s="135"/>
      <c r="C123" s="42">
        <f t="shared" ref="C123:AN123" si="43">B76</f>
        <v>0</v>
      </c>
      <c r="D123" s="42">
        <f t="shared" si="43"/>
        <v>0</v>
      </c>
      <c r="E123" s="42">
        <f t="shared" si="43"/>
        <v>0</v>
      </c>
      <c r="F123" s="42">
        <f t="shared" si="43"/>
        <v>0</v>
      </c>
      <c r="G123" s="42">
        <f t="shared" si="43"/>
        <v>0</v>
      </c>
      <c r="H123" s="42">
        <f t="shared" si="43"/>
        <v>0</v>
      </c>
      <c r="I123" s="42">
        <f t="shared" si="43"/>
        <v>0</v>
      </c>
      <c r="J123" s="42">
        <f t="shared" si="43"/>
        <v>0</v>
      </c>
      <c r="K123" s="42">
        <f t="shared" si="43"/>
        <v>0</v>
      </c>
      <c r="L123" s="42">
        <f t="shared" si="43"/>
        <v>0</v>
      </c>
      <c r="M123" s="42">
        <f t="shared" si="43"/>
        <v>0</v>
      </c>
      <c r="N123" s="42">
        <f t="shared" si="43"/>
        <v>0</v>
      </c>
      <c r="O123" s="42">
        <f t="shared" si="43"/>
        <v>0</v>
      </c>
      <c r="P123" s="42">
        <f t="shared" si="43"/>
        <v>0</v>
      </c>
      <c r="Q123" s="42">
        <f t="shared" si="43"/>
        <v>0</v>
      </c>
      <c r="R123" s="42">
        <f t="shared" si="43"/>
        <v>0</v>
      </c>
      <c r="S123" s="42">
        <f t="shared" si="43"/>
        <v>-448.39924617600002</v>
      </c>
      <c r="T123" s="42">
        <f t="shared" si="43"/>
        <v>-30.359994048000001</v>
      </c>
      <c r="U123" s="42">
        <f t="shared" si="43"/>
        <v>-116.184076812</v>
      </c>
      <c r="V123" s="42">
        <f t="shared" si="43"/>
        <v>-1.6830936000000003</v>
      </c>
      <c r="W123" s="42">
        <f t="shared" si="43"/>
        <v>-8.7922799999999999</v>
      </c>
      <c r="X123" s="42">
        <f t="shared" si="43"/>
        <v>22.274990172000003</v>
      </c>
      <c r="Y123" s="42">
        <f t="shared" si="43"/>
        <v>0</v>
      </c>
      <c r="Z123" s="42">
        <f t="shared" si="43"/>
        <v>11.315999304000002</v>
      </c>
      <c r="AA123" s="42">
        <f t="shared" si="43"/>
        <v>171.02801671200001</v>
      </c>
      <c r="AB123" s="42">
        <f t="shared" si="43"/>
        <v>0</v>
      </c>
      <c r="AC123" s="42">
        <f t="shared" si="43"/>
        <v>0</v>
      </c>
      <c r="AD123" s="42">
        <f t="shared" si="43"/>
        <v>26.230008924000003</v>
      </c>
      <c r="AE123" s="42">
        <f t="shared" si="43"/>
        <v>0</v>
      </c>
      <c r="AF123" s="42">
        <f t="shared" si="43"/>
        <v>271.66018305600005</v>
      </c>
      <c r="AG123" s="42">
        <f t="shared" si="43"/>
        <v>48.360010211999999</v>
      </c>
      <c r="AH123" s="42">
        <f t="shared" si="43"/>
        <v>8.7999837120000013</v>
      </c>
      <c r="AI123" s="42">
        <f t="shared" si="43"/>
        <v>7.629982452000001</v>
      </c>
      <c r="AJ123" s="42">
        <f t="shared" si="43"/>
        <v>10.710001872000001</v>
      </c>
      <c r="AK123" s="42">
        <f t="shared" si="43"/>
        <v>9.9060106680000004</v>
      </c>
      <c r="AL123" s="42">
        <f t="shared" si="43"/>
        <v>0</v>
      </c>
      <c r="AM123" s="42">
        <f t="shared" si="43"/>
        <v>4.0320140040000005</v>
      </c>
      <c r="AN123" s="42">
        <f t="shared" si="43"/>
        <v>4.8800084760000004</v>
      </c>
      <c r="AO123" s="42">
        <f>AU76</f>
        <v>0</v>
      </c>
      <c r="AP123" s="42">
        <f>AV76</f>
        <v>0</v>
      </c>
      <c r="AQ123" s="42">
        <f>AW76</f>
        <v>-8.5914810720000006</v>
      </c>
      <c r="AR123" s="51"/>
      <c r="AS123" s="51"/>
      <c r="AT123" s="51"/>
      <c r="AU123" s="51"/>
      <c r="AV123" s="51"/>
      <c r="AW123" s="51"/>
    </row>
    <row r="124" spans="1:49">
      <c r="A124" s="138" t="s">
        <v>205</v>
      </c>
      <c r="B124" s="139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1"/>
      <c r="AS124" s="51"/>
      <c r="AT124" s="51"/>
      <c r="AU124" s="51"/>
      <c r="AV124" s="51"/>
      <c r="AW124" s="51"/>
    </row>
    <row r="125" spans="1:49">
      <c r="A125" s="107" t="str">
        <f>A77</f>
        <v>LIQUEFAC,ELNG</v>
      </c>
      <c r="B125" s="135" t="s">
        <v>206</v>
      </c>
      <c r="C125" s="42">
        <f t="shared" ref="C125:AN125" si="44">B77</f>
        <v>0</v>
      </c>
      <c r="D125" s="42">
        <f t="shared" si="44"/>
        <v>0</v>
      </c>
      <c r="E125" s="42">
        <f t="shared" si="44"/>
        <v>0</v>
      </c>
      <c r="F125" s="42">
        <f t="shared" si="44"/>
        <v>0</v>
      </c>
      <c r="G125" s="42">
        <f t="shared" si="44"/>
        <v>0</v>
      </c>
      <c r="H125" s="42">
        <f t="shared" si="44"/>
        <v>0</v>
      </c>
      <c r="I125" s="42">
        <f t="shared" si="44"/>
        <v>0</v>
      </c>
      <c r="J125" s="42">
        <f t="shared" si="44"/>
        <v>0</v>
      </c>
      <c r="K125" s="42">
        <f t="shared" si="44"/>
        <v>0</v>
      </c>
      <c r="L125" s="42">
        <f t="shared" si="44"/>
        <v>0</v>
      </c>
      <c r="M125" s="42">
        <f t="shared" si="44"/>
        <v>0</v>
      </c>
      <c r="N125" s="42">
        <f t="shared" si="44"/>
        <v>0</v>
      </c>
      <c r="O125" s="42">
        <f t="shared" si="44"/>
        <v>0</v>
      </c>
      <c r="P125" s="42">
        <f t="shared" si="44"/>
        <v>0</v>
      </c>
      <c r="Q125" s="42">
        <f t="shared" si="44"/>
        <v>0</v>
      </c>
      <c r="R125" s="42">
        <f t="shared" si="44"/>
        <v>0</v>
      </c>
      <c r="S125" s="42">
        <f t="shared" si="44"/>
        <v>0</v>
      </c>
      <c r="T125" s="42">
        <f t="shared" si="44"/>
        <v>0</v>
      </c>
      <c r="U125" s="42">
        <f t="shared" si="44"/>
        <v>0</v>
      </c>
      <c r="V125" s="42">
        <f t="shared" si="44"/>
        <v>0</v>
      </c>
      <c r="W125" s="42">
        <f t="shared" si="44"/>
        <v>0</v>
      </c>
      <c r="X125" s="42">
        <f t="shared" si="44"/>
        <v>0</v>
      </c>
      <c r="Y125" s="42">
        <f t="shared" si="44"/>
        <v>0</v>
      </c>
      <c r="Z125" s="42">
        <f t="shared" si="44"/>
        <v>0</v>
      </c>
      <c r="AA125" s="42">
        <f t="shared" si="44"/>
        <v>0</v>
      </c>
      <c r="AB125" s="42">
        <f t="shared" si="44"/>
        <v>0</v>
      </c>
      <c r="AC125" s="42">
        <f t="shared" si="44"/>
        <v>0</v>
      </c>
      <c r="AD125" s="42">
        <f t="shared" si="44"/>
        <v>0</v>
      </c>
      <c r="AE125" s="42">
        <f t="shared" si="44"/>
        <v>0</v>
      </c>
      <c r="AF125" s="42">
        <f t="shared" si="44"/>
        <v>0</v>
      </c>
      <c r="AG125" s="42">
        <f t="shared" si="44"/>
        <v>0</v>
      </c>
      <c r="AH125" s="42">
        <f t="shared" si="44"/>
        <v>0</v>
      </c>
      <c r="AI125" s="42">
        <f t="shared" si="44"/>
        <v>0</v>
      </c>
      <c r="AJ125" s="42">
        <f t="shared" si="44"/>
        <v>0</v>
      </c>
      <c r="AK125" s="42">
        <f t="shared" si="44"/>
        <v>0</v>
      </c>
      <c r="AL125" s="42">
        <f t="shared" si="44"/>
        <v>0</v>
      </c>
      <c r="AM125" s="42">
        <f t="shared" si="44"/>
        <v>0</v>
      </c>
      <c r="AN125" s="42">
        <f t="shared" si="44"/>
        <v>0</v>
      </c>
      <c r="AO125" s="42">
        <f t="shared" ref="AO125:AQ126" si="45">AU77</f>
        <v>0</v>
      </c>
      <c r="AP125" s="42">
        <f t="shared" si="45"/>
        <v>0</v>
      </c>
      <c r="AQ125" s="42">
        <f t="shared" si="45"/>
        <v>0</v>
      </c>
      <c r="AR125" s="51"/>
      <c r="AS125" s="51"/>
      <c r="AT125" s="51"/>
      <c r="AU125" s="51"/>
      <c r="AV125" s="51"/>
      <c r="AW125" s="51"/>
    </row>
    <row r="126" spans="1:49">
      <c r="A126" s="107" t="str">
        <f>A78</f>
        <v>TNONSPEC,TCHARCOAL</v>
      </c>
      <c r="B126" s="135" t="s">
        <v>207</v>
      </c>
      <c r="C126" s="42">
        <f t="shared" ref="C126:AN126" si="46">B78</f>
        <v>0</v>
      </c>
      <c r="D126" s="42">
        <f t="shared" si="46"/>
        <v>0</v>
      </c>
      <c r="E126" s="42">
        <f t="shared" si="46"/>
        <v>-3.4574175719999998</v>
      </c>
      <c r="F126" s="42">
        <f t="shared" si="46"/>
        <v>0</v>
      </c>
      <c r="G126" s="42">
        <f t="shared" si="46"/>
        <v>0</v>
      </c>
      <c r="H126" s="42">
        <f t="shared" si="46"/>
        <v>0</v>
      </c>
      <c r="I126" s="42">
        <f t="shared" si="46"/>
        <v>0</v>
      </c>
      <c r="J126" s="42">
        <f t="shared" si="46"/>
        <v>1.998610848</v>
      </c>
      <c r="K126" s="42">
        <f t="shared" si="46"/>
        <v>0</v>
      </c>
      <c r="L126" s="42">
        <f t="shared" si="46"/>
        <v>0</v>
      </c>
      <c r="M126" s="42">
        <f t="shared" si="46"/>
        <v>0</v>
      </c>
      <c r="N126" s="42">
        <f t="shared" si="46"/>
        <v>0</v>
      </c>
      <c r="O126" s="42">
        <f t="shared" si="46"/>
        <v>0</v>
      </c>
      <c r="P126" s="42">
        <f t="shared" si="46"/>
        <v>0</v>
      </c>
      <c r="Q126" s="42">
        <f t="shared" si="46"/>
        <v>0</v>
      </c>
      <c r="R126" s="42">
        <f t="shared" si="46"/>
        <v>-10.497312431999999</v>
      </c>
      <c r="S126" s="42">
        <f t="shared" si="46"/>
        <v>0</v>
      </c>
      <c r="T126" s="42">
        <f t="shared" si="46"/>
        <v>0</v>
      </c>
      <c r="U126" s="42">
        <f t="shared" si="46"/>
        <v>0</v>
      </c>
      <c r="V126" s="42">
        <f t="shared" si="46"/>
        <v>0</v>
      </c>
      <c r="W126" s="42">
        <f t="shared" si="46"/>
        <v>8.7922799999999999</v>
      </c>
      <c r="X126" s="42">
        <f t="shared" si="46"/>
        <v>0</v>
      </c>
      <c r="Y126" s="42">
        <f t="shared" si="46"/>
        <v>0</v>
      </c>
      <c r="Z126" s="42">
        <f t="shared" si="46"/>
        <v>0</v>
      </c>
      <c r="AA126" s="42">
        <f t="shared" si="46"/>
        <v>0</v>
      </c>
      <c r="AB126" s="42">
        <f t="shared" si="46"/>
        <v>0</v>
      </c>
      <c r="AC126" s="42">
        <f t="shared" si="46"/>
        <v>0</v>
      </c>
      <c r="AD126" s="42">
        <f t="shared" si="46"/>
        <v>0</v>
      </c>
      <c r="AE126" s="42">
        <f t="shared" si="46"/>
        <v>0</v>
      </c>
      <c r="AF126" s="42">
        <f t="shared" si="46"/>
        <v>0</v>
      </c>
      <c r="AG126" s="42">
        <f t="shared" si="46"/>
        <v>0</v>
      </c>
      <c r="AH126" s="42">
        <f t="shared" si="46"/>
        <v>0</v>
      </c>
      <c r="AI126" s="42">
        <f t="shared" si="46"/>
        <v>0</v>
      </c>
      <c r="AJ126" s="42">
        <f t="shared" si="46"/>
        <v>0</v>
      </c>
      <c r="AK126" s="42">
        <f t="shared" si="46"/>
        <v>0</v>
      </c>
      <c r="AL126" s="42">
        <f t="shared" si="46"/>
        <v>0</v>
      </c>
      <c r="AM126" s="42">
        <f t="shared" si="46"/>
        <v>0</v>
      </c>
      <c r="AN126" s="42">
        <f t="shared" si="46"/>
        <v>0</v>
      </c>
      <c r="AO126" s="42">
        <f t="shared" si="45"/>
        <v>0</v>
      </c>
      <c r="AP126" s="42">
        <f t="shared" si="45"/>
        <v>0</v>
      </c>
      <c r="AQ126" s="42">
        <f t="shared" si="45"/>
        <v>-3.1638391559999999</v>
      </c>
      <c r="AR126" s="51"/>
      <c r="AS126" s="51"/>
      <c r="AT126" s="51"/>
      <c r="AU126" s="51"/>
      <c r="AV126" s="51"/>
      <c r="AW126" s="51"/>
    </row>
    <row r="127" spans="1:49">
      <c r="A127" s="14"/>
      <c r="B127" s="14"/>
      <c r="C127" s="49"/>
      <c r="D127" s="14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</row>
    <row r="128" spans="1:49" ht="18">
      <c r="A128" s="47" t="s">
        <v>208</v>
      </c>
      <c r="B128" s="47"/>
      <c r="C128" s="19"/>
      <c r="D128" s="19"/>
      <c r="E128" s="19"/>
      <c r="F128" s="19"/>
      <c r="G128" s="19"/>
      <c r="H128" s="19"/>
      <c r="I128" s="19"/>
      <c r="J128" s="19"/>
      <c r="K128" s="141"/>
      <c r="L128" s="141"/>
      <c r="M128" s="141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</row>
    <row r="129" spans="1:49" ht="33.75">
      <c r="A129" s="142"/>
      <c r="B129" s="142" t="s">
        <v>209</v>
      </c>
      <c r="C129" s="428" t="s">
        <v>210</v>
      </c>
      <c r="D129" s="428" t="s">
        <v>211</v>
      </c>
      <c r="E129" s="428" t="s">
        <v>212</v>
      </c>
      <c r="F129" s="428" t="s">
        <v>213</v>
      </c>
      <c r="G129" s="428" t="s">
        <v>27</v>
      </c>
      <c r="H129" s="428" t="s">
        <v>214</v>
      </c>
      <c r="I129" s="428" t="s">
        <v>215</v>
      </c>
      <c r="J129" s="428" t="s">
        <v>97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70"/>
      <c r="AR129" s="70"/>
      <c r="AS129" s="70"/>
      <c r="AT129" s="70"/>
      <c r="AU129" s="70"/>
      <c r="AV129" s="70"/>
      <c r="AW129" s="70"/>
    </row>
    <row r="130" spans="1:49" ht="13.5" thickBot="1">
      <c r="A130" s="119"/>
      <c r="B130" s="144"/>
      <c r="C130" s="121" t="s">
        <v>216</v>
      </c>
      <c r="D130" s="121" t="s">
        <v>217</v>
      </c>
      <c r="E130" s="121" t="s">
        <v>218</v>
      </c>
      <c r="F130" s="121" t="s">
        <v>219</v>
      </c>
      <c r="G130" s="121" t="s">
        <v>220</v>
      </c>
      <c r="H130" s="121" t="s">
        <v>221</v>
      </c>
      <c r="I130" s="121" t="s">
        <v>222</v>
      </c>
      <c r="J130" s="121" t="s">
        <v>223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5"/>
      <c r="AR130" s="55"/>
      <c r="AS130" s="55"/>
      <c r="AT130" s="55"/>
      <c r="AU130" s="55"/>
      <c r="AV130" s="55"/>
      <c r="AW130" s="55"/>
    </row>
    <row r="131" spans="1:49">
      <c r="A131" s="107" t="str">
        <f t="shared" ref="A131:A137" si="47">A81</f>
        <v>MINES</v>
      </c>
      <c r="B131" s="135" t="s">
        <v>224</v>
      </c>
      <c r="C131" s="42">
        <f t="shared" ref="C131:C137" si="48">Q81+F81</f>
        <v>0</v>
      </c>
      <c r="D131" s="42">
        <f t="shared" ref="D131:D137" si="49">B81+C81+D81+E81+G81+H81+I81</f>
        <v>0</v>
      </c>
      <c r="E131" s="42">
        <f t="shared" ref="E131:E137" si="50">R81+S81+T81+U81+V81</f>
        <v>0</v>
      </c>
      <c r="F131" s="42">
        <f t="shared" ref="F131:F137" si="51">Z81+AA81+AB81+AC81+AD81+AE81+AF81+AG81+AH81+AI81+AJ81+AK81+AM81+AL81</f>
        <v>0</v>
      </c>
      <c r="G131" s="42">
        <f t="shared" ref="G131:G137" si="52">W81+X81+Y81</f>
        <v>0</v>
      </c>
      <c r="H131" s="42">
        <f t="shared" ref="H131:H137" si="53">J81+K81+L81+M81+N81+P81</f>
        <v>0</v>
      </c>
      <c r="I131" s="42">
        <f t="shared" ref="I131:J137" si="54">AU81</f>
        <v>0</v>
      </c>
      <c r="J131" s="42">
        <f t="shared" si="54"/>
        <v>0</v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</row>
    <row r="132" spans="1:49">
      <c r="A132" s="107" t="str">
        <f t="shared" si="47"/>
        <v>OILGASEX</v>
      </c>
      <c r="B132" s="135" t="s">
        <v>225</v>
      </c>
      <c r="C132" s="42">
        <f t="shared" si="48"/>
        <v>0</v>
      </c>
      <c r="D132" s="42">
        <f t="shared" si="49"/>
        <v>0</v>
      </c>
      <c r="E132" s="42">
        <f t="shared" si="50"/>
        <v>0</v>
      </c>
      <c r="F132" s="42">
        <f t="shared" si="51"/>
        <v>0</v>
      </c>
      <c r="G132" s="42">
        <f t="shared" si="52"/>
        <v>0</v>
      </c>
      <c r="H132" s="42">
        <f t="shared" si="53"/>
        <v>0</v>
      </c>
      <c r="I132" s="42">
        <f t="shared" si="54"/>
        <v>0</v>
      </c>
      <c r="J132" s="42">
        <f t="shared" si="54"/>
        <v>0</v>
      </c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</row>
    <row r="133" spans="1:49">
      <c r="A133" s="107" t="str">
        <f t="shared" si="47"/>
        <v>EPATFUEL</v>
      </c>
      <c r="B133" s="135" t="s">
        <v>196</v>
      </c>
      <c r="C133" s="42">
        <f t="shared" si="48"/>
        <v>0</v>
      </c>
      <c r="D133" s="42">
        <f t="shared" si="49"/>
        <v>0</v>
      </c>
      <c r="E133" s="42">
        <f t="shared" si="50"/>
        <v>0</v>
      </c>
      <c r="F133" s="42">
        <f t="shared" si="51"/>
        <v>0</v>
      </c>
      <c r="G133" s="42">
        <f t="shared" si="52"/>
        <v>0</v>
      </c>
      <c r="H133" s="42">
        <f t="shared" si="53"/>
        <v>0</v>
      </c>
      <c r="I133" s="42">
        <f t="shared" si="54"/>
        <v>0</v>
      </c>
      <c r="J133" s="42">
        <f t="shared" si="54"/>
        <v>0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</row>
    <row r="134" spans="1:49">
      <c r="A134" s="107" t="str">
        <f t="shared" si="47"/>
        <v>ECOKEOVS</v>
      </c>
      <c r="B134" s="135" t="s">
        <v>197</v>
      </c>
      <c r="C134" s="42">
        <f t="shared" si="48"/>
        <v>0</v>
      </c>
      <c r="D134" s="42">
        <f t="shared" si="49"/>
        <v>-1.9423821240000001</v>
      </c>
      <c r="E134" s="42">
        <f t="shared" si="50"/>
        <v>0</v>
      </c>
      <c r="F134" s="42">
        <f t="shared" si="51"/>
        <v>0</v>
      </c>
      <c r="G134" s="42">
        <f t="shared" si="52"/>
        <v>0</v>
      </c>
      <c r="H134" s="42">
        <f t="shared" si="53"/>
        <v>0</v>
      </c>
      <c r="I134" s="42">
        <f t="shared" si="54"/>
        <v>0</v>
      </c>
      <c r="J134" s="42">
        <f t="shared" si="54"/>
        <v>0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</row>
    <row r="135" spans="1:49">
      <c r="A135" s="107" t="str">
        <f t="shared" si="47"/>
        <v>EGASWKS</v>
      </c>
      <c r="B135" s="135" t="s">
        <v>198</v>
      </c>
      <c r="C135" s="42">
        <f t="shared" si="48"/>
        <v>0</v>
      </c>
      <c r="D135" s="42">
        <f t="shared" si="49"/>
        <v>0</v>
      </c>
      <c r="E135" s="42">
        <f t="shared" si="50"/>
        <v>0</v>
      </c>
      <c r="F135" s="42">
        <f t="shared" si="51"/>
        <v>0</v>
      </c>
      <c r="G135" s="42">
        <f t="shared" si="52"/>
        <v>0</v>
      </c>
      <c r="H135" s="42">
        <f t="shared" si="53"/>
        <v>0</v>
      </c>
      <c r="I135" s="42">
        <f t="shared" si="54"/>
        <v>0</v>
      </c>
      <c r="J135" s="42">
        <f t="shared" si="54"/>
        <v>0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</row>
    <row r="136" spans="1:49">
      <c r="A136" s="107" t="str">
        <f t="shared" si="47"/>
        <v>EBKB</v>
      </c>
      <c r="B136" s="135" t="s">
        <v>201</v>
      </c>
      <c r="C136" s="42">
        <f t="shared" si="48"/>
        <v>0</v>
      </c>
      <c r="D136" s="42">
        <f t="shared" si="49"/>
        <v>0</v>
      </c>
      <c r="E136" s="42">
        <f t="shared" si="50"/>
        <v>0</v>
      </c>
      <c r="F136" s="42">
        <f t="shared" si="51"/>
        <v>0</v>
      </c>
      <c r="G136" s="42">
        <f t="shared" si="52"/>
        <v>0</v>
      </c>
      <c r="H136" s="42">
        <f t="shared" si="53"/>
        <v>0</v>
      </c>
      <c r="I136" s="42">
        <f t="shared" si="54"/>
        <v>0</v>
      </c>
      <c r="J136" s="42">
        <f t="shared" si="54"/>
        <v>0</v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</row>
    <row r="137" spans="1:49">
      <c r="A137" s="107" t="str">
        <f t="shared" si="47"/>
        <v>EREFINER</v>
      </c>
      <c r="B137" s="135" t="s">
        <v>226</v>
      </c>
      <c r="C137" s="42">
        <f t="shared" si="48"/>
        <v>-12.196022796000001</v>
      </c>
      <c r="D137" s="42">
        <f t="shared" si="49"/>
        <v>0</v>
      </c>
      <c r="E137" s="42">
        <f t="shared" si="50"/>
        <v>0</v>
      </c>
      <c r="F137" s="42">
        <f t="shared" si="51"/>
        <v>-6.9120299880000005</v>
      </c>
      <c r="G137" s="42">
        <f t="shared" si="52"/>
        <v>-19.800005220000003</v>
      </c>
      <c r="H137" s="42">
        <f t="shared" si="53"/>
        <v>0</v>
      </c>
      <c r="I137" s="42">
        <f t="shared" si="54"/>
        <v>-4.6484365680000002</v>
      </c>
      <c r="J137" s="42">
        <f t="shared" si="54"/>
        <v>-1.634694192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</row>
    <row r="138" spans="1:49">
      <c r="A138" s="107" t="str">
        <f>A91</f>
        <v>ENONSPEC</v>
      </c>
      <c r="B138" s="135" t="s">
        <v>227</v>
      </c>
      <c r="C138" s="42">
        <f>Q91+F91</f>
        <v>0</v>
      </c>
      <c r="D138" s="42">
        <f>B91+C91+D91+E91+G91+H91+I91*0</f>
        <v>0</v>
      </c>
      <c r="E138" s="42">
        <f>R91+S91+T91+U91+V91</f>
        <v>0</v>
      </c>
      <c r="F138" s="42">
        <f>Z91+AA91+AB91+AC91+AD91+AE91+AF91+AG91+AH91+AI91+AJ91+AK91+AM91+AL91</f>
        <v>0</v>
      </c>
      <c r="G138" s="42">
        <f>W91+X91+Y91</f>
        <v>0</v>
      </c>
      <c r="H138" s="42">
        <f>J91+K91+L91+M91+N91+P91</f>
        <v>0</v>
      </c>
      <c r="I138" s="42">
        <f>AU91</f>
        <v>0</v>
      </c>
      <c r="J138" s="42">
        <f>AV91</f>
        <v>0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</row>
    <row r="139" spans="1:49">
      <c r="A139" s="107" t="s">
        <v>141</v>
      </c>
      <c r="B139" s="135" t="s">
        <v>228</v>
      </c>
      <c r="C139" s="42">
        <f>Q92+F92+AQ94</f>
        <v>3.8688962760000008E-2</v>
      </c>
      <c r="D139" s="42">
        <f>B92+C92+D92+E92+G92+H92+I92</f>
        <v>-1.6143463440000001</v>
      </c>
      <c r="E139" s="42">
        <f>R92+S92+T92+U92+V92</f>
        <v>0</v>
      </c>
      <c r="F139" s="42">
        <f>Z92+AA92+AB92+AC92+AD92+AE92+AF92+AG92+AH92+AI92+AJ92+AK92+AM92+AL92</f>
        <v>0</v>
      </c>
      <c r="G139" s="42">
        <f>W92+X92+Y92</f>
        <v>-1.6334800200000001</v>
      </c>
      <c r="H139" s="42">
        <f>J92+K92+L92+M92+N92+P92</f>
        <v>0</v>
      </c>
      <c r="I139" s="42">
        <f>AU92</f>
        <v>-9.9593923680000014</v>
      </c>
      <c r="J139" s="42">
        <f>AV92</f>
        <v>-12.431614032000001</v>
      </c>
      <c r="K139" s="49"/>
      <c r="L139" s="49" t="s">
        <v>229</v>
      </c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</row>
    <row r="140" spans="1:49">
      <c r="A140" s="107" t="str">
        <f>A94</f>
        <v>PIPELINE</v>
      </c>
      <c r="B140" s="135" t="s">
        <v>230</v>
      </c>
      <c r="C140" s="42">
        <f>-(Q94+F94-MAX(0,C139))</f>
        <v>-0.35721484524000002</v>
      </c>
      <c r="D140" s="42">
        <f>B94+C94+D94+E94+G94+H94+I94</f>
        <v>0</v>
      </c>
      <c r="E140" s="42">
        <f>-(R94+S94+T94+U94+V94)</f>
        <v>0</v>
      </c>
      <c r="F140" s="42">
        <f>-(Z94+AA94+AB94+AC94+AD94+AE94+AF94+AG94+AH94+AI94+AJ94+AK94+AM94+AL94)</f>
        <v>0</v>
      </c>
      <c r="G140" s="42">
        <f>W94+X94+Y94</f>
        <v>0</v>
      </c>
      <c r="H140" s="42">
        <f>-(J94+K94+L94+M94+N94+P94)</f>
        <v>0</v>
      </c>
      <c r="I140" s="42">
        <f>-AU94</f>
        <v>0</v>
      </c>
      <c r="J140" s="42">
        <f>-AV94</f>
        <v>0</v>
      </c>
      <c r="K140" s="49"/>
      <c r="L140" s="145">
        <f>SUM(MIN(0,Q54+Q55),Q62:Q67,Q80,Q92,-Q93)</f>
        <v>-150.016937724</v>
      </c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</row>
    <row r="141" spans="1:49">
      <c r="A141" s="107" t="s">
        <v>25</v>
      </c>
      <c r="B141" s="107" t="s">
        <v>25</v>
      </c>
      <c r="C141" s="42">
        <f t="shared" ref="C141:J141" si="55">SUM(C131:C138)</f>
        <v>-12.196022796000001</v>
      </c>
      <c r="D141" s="42">
        <f t="shared" si="55"/>
        <v>-1.9423821240000001</v>
      </c>
      <c r="E141" s="42">
        <f t="shared" si="55"/>
        <v>0</v>
      </c>
      <c r="F141" s="42">
        <f t="shared" si="55"/>
        <v>-6.9120299880000005</v>
      </c>
      <c r="G141" s="42">
        <f t="shared" si="55"/>
        <v>-19.800005220000003</v>
      </c>
      <c r="H141" s="42">
        <f t="shared" si="55"/>
        <v>0</v>
      </c>
      <c r="I141" s="42">
        <f t="shared" si="55"/>
        <v>-4.6484365680000002</v>
      </c>
      <c r="J141" s="42">
        <f t="shared" si="55"/>
        <v>-1.634694192</v>
      </c>
      <c r="K141" s="49"/>
      <c r="L141" s="49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</row>
    <row r="142" spans="1:49">
      <c r="A142" s="22"/>
      <c r="B142" s="22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</row>
    <row r="143" spans="1:49" ht="18">
      <c r="A143" s="47" t="s">
        <v>231</v>
      </c>
      <c r="B143" s="4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</row>
    <row r="144" spans="1:49" ht="33.75">
      <c r="A144" s="142"/>
      <c r="B144" s="142" t="s">
        <v>209</v>
      </c>
      <c r="C144" s="428" t="s">
        <v>210</v>
      </c>
      <c r="D144" s="428" t="s">
        <v>211</v>
      </c>
      <c r="E144" s="428" t="s">
        <v>212</v>
      </c>
      <c r="F144" s="428" t="s">
        <v>213</v>
      </c>
      <c r="G144" s="428" t="s">
        <v>27</v>
      </c>
      <c r="H144" s="428" t="s">
        <v>214</v>
      </c>
      <c r="I144" s="428" t="s">
        <v>215</v>
      </c>
      <c r="J144" s="428" t="s">
        <v>97</v>
      </c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</row>
    <row r="145" spans="1:49" ht="13.5" thickBot="1">
      <c r="A145" s="119"/>
      <c r="B145" s="144"/>
      <c r="C145" s="133" t="str">
        <f t="shared" ref="C145:J146" si="56">C130</f>
        <v>UPNNGA</v>
      </c>
      <c r="D145" s="133" t="str">
        <f t="shared" si="56"/>
        <v>UPNCOA</v>
      </c>
      <c r="E145" s="133" t="str">
        <f t="shared" si="56"/>
        <v>UPNCRD</v>
      </c>
      <c r="F145" s="133" t="str">
        <f t="shared" si="56"/>
        <v>UPNRPP</v>
      </c>
      <c r="G145" s="133" t="str">
        <f t="shared" si="56"/>
        <v>UPNRPG</v>
      </c>
      <c r="H145" s="133" t="str">
        <f t="shared" si="56"/>
        <v>UPNREN</v>
      </c>
      <c r="I145" s="133" t="str">
        <f t="shared" si="56"/>
        <v>UPNELC</v>
      </c>
      <c r="J145" s="133" t="str">
        <f t="shared" si="56"/>
        <v>UPNSTM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</row>
    <row r="146" spans="1:49">
      <c r="A146" s="107" t="str">
        <f>A131</f>
        <v>MINES</v>
      </c>
      <c r="B146" s="135" t="s">
        <v>224</v>
      </c>
      <c r="C146" s="42">
        <f t="shared" si="56"/>
        <v>0</v>
      </c>
      <c r="D146" s="42">
        <f t="shared" si="56"/>
        <v>0</v>
      </c>
      <c r="E146" s="42">
        <f t="shared" si="56"/>
        <v>0</v>
      </c>
      <c r="F146" s="42">
        <f t="shared" si="56"/>
        <v>0</v>
      </c>
      <c r="G146" s="42">
        <f t="shared" si="56"/>
        <v>0</v>
      </c>
      <c r="H146" s="42">
        <f t="shared" si="56"/>
        <v>0</v>
      </c>
      <c r="I146" s="42">
        <f t="shared" si="56"/>
        <v>0</v>
      </c>
      <c r="J146" s="42">
        <f t="shared" si="56"/>
        <v>0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</row>
    <row r="147" spans="1:49">
      <c r="A147" s="79" t="str">
        <f>B31</f>
        <v>Hardcoal mines</v>
      </c>
      <c r="B147" s="135" t="s">
        <v>18</v>
      </c>
      <c r="C147" s="42">
        <f>C31*C146</f>
        <v>0</v>
      </c>
      <c r="D147" s="42">
        <f>C31*D146</f>
        <v>0</v>
      </c>
      <c r="E147" s="42">
        <f>C31*E146</f>
        <v>0</v>
      </c>
      <c r="F147" s="42">
        <f>C31*F146</f>
        <v>0</v>
      </c>
      <c r="G147" s="42">
        <f>C31*G146</f>
        <v>0</v>
      </c>
      <c r="H147" s="42">
        <f>C31*H146</f>
        <v>0</v>
      </c>
      <c r="I147" s="42">
        <f>C31*I146</f>
        <v>0</v>
      </c>
      <c r="J147" s="42">
        <f>C31*J146</f>
        <v>0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</row>
    <row r="148" spans="1:49">
      <c r="A148" s="87" t="str">
        <f>B32</f>
        <v>Browncoal mines</v>
      </c>
      <c r="B148" s="146" t="s">
        <v>18</v>
      </c>
      <c r="C148" s="52">
        <f>C32*C146</f>
        <v>0</v>
      </c>
      <c r="D148" s="52">
        <f>C32*D146</f>
        <v>0</v>
      </c>
      <c r="E148" s="52">
        <f>C32*E146</f>
        <v>0</v>
      </c>
      <c r="F148" s="52">
        <f>C32*F146</f>
        <v>0</v>
      </c>
      <c r="G148" s="52">
        <f>C32*G146</f>
        <v>0</v>
      </c>
      <c r="H148" s="52">
        <f>C32*H146</f>
        <v>0</v>
      </c>
      <c r="I148" s="52">
        <f>C32*I146</f>
        <v>0</v>
      </c>
      <c r="J148" s="52">
        <f>C32*J146</f>
        <v>0</v>
      </c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</row>
    <row r="149" spans="1:49">
      <c r="A149" s="107" t="str">
        <f>A132</f>
        <v>OILGASEX</v>
      </c>
      <c r="B149" s="135" t="s">
        <v>225</v>
      </c>
      <c r="C149" s="42">
        <f t="shared" ref="C149:J149" si="57">C132</f>
        <v>0</v>
      </c>
      <c r="D149" s="42">
        <f t="shared" si="57"/>
        <v>0</v>
      </c>
      <c r="E149" s="42">
        <f t="shared" si="57"/>
        <v>0</v>
      </c>
      <c r="F149" s="42">
        <f t="shared" si="57"/>
        <v>0</v>
      </c>
      <c r="G149" s="42">
        <f t="shared" si="57"/>
        <v>0</v>
      </c>
      <c r="H149" s="42">
        <f t="shared" si="57"/>
        <v>0</v>
      </c>
      <c r="I149" s="42">
        <f t="shared" si="57"/>
        <v>0</v>
      </c>
      <c r="J149" s="42">
        <f t="shared" si="57"/>
        <v>0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</row>
    <row r="150" spans="1:49">
      <c r="A150" s="79" t="s">
        <v>232</v>
      </c>
      <c r="B150" s="135" t="s">
        <v>18</v>
      </c>
      <c r="C150" s="42">
        <f t="shared" ref="C150:J150" si="58">C38*C$149</f>
        <v>0</v>
      </c>
      <c r="D150" s="42">
        <f t="shared" si="58"/>
        <v>0</v>
      </c>
      <c r="E150" s="42">
        <f t="shared" si="58"/>
        <v>0</v>
      </c>
      <c r="F150" s="42">
        <f t="shared" si="58"/>
        <v>0</v>
      </c>
      <c r="G150" s="42">
        <f t="shared" si="58"/>
        <v>0</v>
      </c>
      <c r="H150" s="42">
        <f t="shared" si="58"/>
        <v>0</v>
      </c>
      <c r="I150" s="42">
        <f t="shared" si="58"/>
        <v>0</v>
      </c>
      <c r="J150" s="42">
        <f t="shared" si="58"/>
        <v>0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</row>
    <row r="151" spans="1:49">
      <c r="A151" s="79" t="s">
        <v>45</v>
      </c>
      <c r="B151" s="135" t="s">
        <v>18</v>
      </c>
      <c r="C151" s="42">
        <f t="shared" ref="C151:J151" si="59">C39*C41*C$149</f>
        <v>0</v>
      </c>
      <c r="D151" s="42">
        <f t="shared" si="59"/>
        <v>0</v>
      </c>
      <c r="E151" s="42">
        <f t="shared" si="59"/>
        <v>0</v>
      </c>
      <c r="F151" s="42">
        <f t="shared" si="59"/>
        <v>0</v>
      </c>
      <c r="G151" s="42">
        <f t="shared" si="59"/>
        <v>0</v>
      </c>
      <c r="H151" s="42">
        <f t="shared" si="59"/>
        <v>0</v>
      </c>
      <c r="I151" s="42">
        <f t="shared" si="59"/>
        <v>0</v>
      </c>
      <c r="J151" s="42">
        <f t="shared" si="59"/>
        <v>0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</row>
    <row r="152" spans="1:49">
      <c r="A152" s="79" t="s">
        <v>47</v>
      </c>
      <c r="B152" s="135" t="s">
        <v>18</v>
      </c>
      <c r="C152" s="42">
        <f t="shared" ref="C152:J152" si="60">C39*C42*C$149</f>
        <v>0</v>
      </c>
      <c r="D152" s="42">
        <f t="shared" si="60"/>
        <v>0</v>
      </c>
      <c r="E152" s="42">
        <f t="shared" si="60"/>
        <v>0</v>
      </c>
      <c r="F152" s="42">
        <f t="shared" si="60"/>
        <v>0</v>
      </c>
      <c r="G152" s="42">
        <f t="shared" si="60"/>
        <v>0</v>
      </c>
      <c r="H152" s="42">
        <f t="shared" si="60"/>
        <v>0</v>
      </c>
      <c r="I152" s="42">
        <f t="shared" si="60"/>
        <v>0</v>
      </c>
      <c r="J152" s="42">
        <f t="shared" si="60"/>
        <v>0</v>
      </c>
      <c r="K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</row>
    <row r="153" spans="1:49">
      <c r="A153" s="79" t="s">
        <v>19</v>
      </c>
      <c r="B153" s="135" t="s">
        <v>18</v>
      </c>
      <c r="C153" s="42">
        <f t="shared" ref="C153:J153" si="61">C39*C43*C$149</f>
        <v>0</v>
      </c>
      <c r="D153" s="42">
        <f t="shared" si="61"/>
        <v>0</v>
      </c>
      <c r="E153" s="42">
        <f t="shared" si="61"/>
        <v>0</v>
      </c>
      <c r="F153" s="42">
        <f t="shared" si="61"/>
        <v>0</v>
      </c>
      <c r="G153" s="42">
        <f t="shared" si="61"/>
        <v>0</v>
      </c>
      <c r="H153" s="42">
        <f t="shared" si="61"/>
        <v>0</v>
      </c>
      <c r="I153" s="42">
        <f t="shared" si="61"/>
        <v>0</v>
      </c>
      <c r="J153" s="42">
        <f t="shared" si="61"/>
        <v>0</v>
      </c>
      <c r="K153" s="57"/>
      <c r="L153" s="14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</row>
    <row r="154" spans="1:49">
      <c r="A154" s="79" t="s">
        <v>21</v>
      </c>
      <c r="B154" s="135" t="s">
        <v>18</v>
      </c>
      <c r="C154" s="42">
        <f t="shared" ref="C154:J155" si="62">C39*C44*C$149</f>
        <v>0</v>
      </c>
      <c r="D154" s="42">
        <f t="shared" si="62"/>
        <v>0</v>
      </c>
      <c r="E154" s="42">
        <f t="shared" si="62"/>
        <v>0</v>
      </c>
      <c r="F154" s="42">
        <f t="shared" si="62"/>
        <v>0</v>
      </c>
      <c r="G154" s="42">
        <f t="shared" si="62"/>
        <v>0</v>
      </c>
      <c r="H154" s="42">
        <f t="shared" si="62"/>
        <v>0</v>
      </c>
      <c r="I154" s="42">
        <f t="shared" si="62"/>
        <v>0</v>
      </c>
      <c r="J154" s="42">
        <f t="shared" si="62"/>
        <v>0</v>
      </c>
      <c r="K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</row>
    <row r="155" spans="1:49">
      <c r="A155" s="79" t="s">
        <v>17</v>
      </c>
      <c r="B155" s="135" t="s">
        <v>18</v>
      </c>
      <c r="C155" s="42">
        <f t="shared" si="62"/>
        <v>0</v>
      </c>
      <c r="D155" s="42">
        <f t="shared" si="62"/>
        <v>0</v>
      </c>
      <c r="E155" s="42">
        <f t="shared" si="62"/>
        <v>0</v>
      </c>
      <c r="F155" s="42">
        <f t="shared" si="62"/>
        <v>0</v>
      </c>
      <c r="G155" s="42">
        <f t="shared" si="62"/>
        <v>0</v>
      </c>
      <c r="H155" s="42">
        <f t="shared" si="62"/>
        <v>0</v>
      </c>
      <c r="I155" s="42">
        <f t="shared" si="62"/>
        <v>0</v>
      </c>
      <c r="J155" s="42">
        <f t="shared" si="62"/>
        <v>0</v>
      </c>
      <c r="K155" s="57"/>
      <c r="L155" s="14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</row>
    <row r="156" spans="1:49">
      <c r="A156" s="87" t="s">
        <v>23</v>
      </c>
      <c r="B156" s="146" t="s">
        <v>18</v>
      </c>
      <c r="C156" s="52">
        <f t="shared" ref="C156:J156" si="63">C39*C46*C$149</f>
        <v>0</v>
      </c>
      <c r="D156" s="52">
        <f t="shared" si="63"/>
        <v>0</v>
      </c>
      <c r="E156" s="52">
        <f t="shared" si="63"/>
        <v>0</v>
      </c>
      <c r="F156" s="52">
        <f t="shared" si="63"/>
        <v>0</v>
      </c>
      <c r="G156" s="52">
        <f t="shared" si="63"/>
        <v>0</v>
      </c>
      <c r="H156" s="52">
        <f t="shared" si="63"/>
        <v>0</v>
      </c>
      <c r="I156" s="52">
        <f t="shared" si="63"/>
        <v>0</v>
      </c>
      <c r="J156" s="52">
        <f t="shared" si="63"/>
        <v>0</v>
      </c>
      <c r="K156" s="49"/>
      <c r="L156" s="49"/>
      <c r="M156" s="49"/>
      <c r="N156" s="49"/>
      <c r="O156" s="49"/>
      <c r="P156" s="49"/>
      <c r="Q156" s="49"/>
      <c r="R156" s="49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</row>
    <row r="157" spans="1:49">
      <c r="A157" s="107" t="str">
        <f t="shared" ref="A157:A162" si="64">A133</f>
        <v>EPATFUEL</v>
      </c>
      <c r="B157" s="135" t="s">
        <v>196</v>
      </c>
      <c r="C157" s="42">
        <f t="shared" ref="C157:J160" si="65">C133</f>
        <v>0</v>
      </c>
      <c r="D157" s="42">
        <f t="shared" si="65"/>
        <v>0</v>
      </c>
      <c r="E157" s="42">
        <f t="shared" si="65"/>
        <v>0</v>
      </c>
      <c r="F157" s="42">
        <f t="shared" si="65"/>
        <v>0</v>
      </c>
      <c r="G157" s="42">
        <f t="shared" si="65"/>
        <v>0</v>
      </c>
      <c r="H157" s="42">
        <f t="shared" si="65"/>
        <v>0</v>
      </c>
      <c r="I157" s="42">
        <f t="shared" si="65"/>
        <v>0</v>
      </c>
      <c r="J157" s="42">
        <f t="shared" si="65"/>
        <v>0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</row>
    <row r="158" spans="1:49">
      <c r="A158" s="107" t="str">
        <f t="shared" si="64"/>
        <v>ECOKEOVS</v>
      </c>
      <c r="B158" s="135" t="s">
        <v>197</v>
      </c>
      <c r="C158" s="42">
        <f t="shared" si="65"/>
        <v>0</v>
      </c>
      <c r="D158" s="42">
        <f t="shared" si="65"/>
        <v>-1.9423821240000001</v>
      </c>
      <c r="E158" s="42">
        <f t="shared" si="65"/>
        <v>0</v>
      </c>
      <c r="F158" s="42">
        <f t="shared" si="65"/>
        <v>0</v>
      </c>
      <c r="G158" s="42">
        <f t="shared" si="65"/>
        <v>0</v>
      </c>
      <c r="H158" s="42">
        <f t="shared" si="65"/>
        <v>0</v>
      </c>
      <c r="I158" s="42">
        <f t="shared" si="65"/>
        <v>0</v>
      </c>
      <c r="J158" s="42">
        <f t="shared" si="65"/>
        <v>0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</row>
    <row r="159" spans="1:49">
      <c r="A159" s="107" t="str">
        <f t="shared" si="64"/>
        <v>EGASWKS</v>
      </c>
      <c r="B159" s="135" t="s">
        <v>198</v>
      </c>
      <c r="C159" s="42">
        <f t="shared" si="65"/>
        <v>0</v>
      </c>
      <c r="D159" s="42">
        <f t="shared" si="65"/>
        <v>0</v>
      </c>
      <c r="E159" s="42">
        <f t="shared" si="65"/>
        <v>0</v>
      </c>
      <c r="F159" s="42">
        <f t="shared" si="65"/>
        <v>0</v>
      </c>
      <c r="G159" s="42">
        <f t="shared" si="65"/>
        <v>0</v>
      </c>
      <c r="H159" s="42">
        <f t="shared" si="65"/>
        <v>0</v>
      </c>
      <c r="I159" s="42">
        <f t="shared" si="65"/>
        <v>0</v>
      </c>
      <c r="J159" s="42">
        <f t="shared" si="65"/>
        <v>0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</row>
    <row r="160" spans="1:49">
      <c r="A160" s="107" t="str">
        <f t="shared" si="64"/>
        <v>EBKB</v>
      </c>
      <c r="B160" s="135" t="s">
        <v>201</v>
      </c>
      <c r="C160" s="42">
        <f t="shared" si="65"/>
        <v>0</v>
      </c>
      <c r="D160" s="42">
        <f t="shared" si="65"/>
        <v>0</v>
      </c>
      <c r="E160" s="42">
        <f t="shared" si="65"/>
        <v>0</v>
      </c>
      <c r="F160" s="42">
        <f t="shared" si="65"/>
        <v>0</v>
      </c>
      <c r="G160" s="42">
        <f t="shared" si="65"/>
        <v>0</v>
      </c>
      <c r="H160" s="42">
        <f t="shared" si="65"/>
        <v>0</v>
      </c>
      <c r="I160" s="42">
        <f t="shared" si="65"/>
        <v>0</v>
      </c>
      <c r="J160" s="42">
        <f t="shared" si="65"/>
        <v>0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</row>
    <row r="161" spans="1:49">
      <c r="A161" s="147" t="str">
        <f t="shared" si="64"/>
        <v>EREFINER</v>
      </c>
      <c r="B161" s="148" t="s">
        <v>226</v>
      </c>
      <c r="C161" s="149">
        <f>C137+S180</f>
        <v>-11.209740575437809</v>
      </c>
      <c r="D161" s="149">
        <f>D137+S183</f>
        <v>0</v>
      </c>
      <c r="E161" s="149">
        <f>E137</f>
        <v>0</v>
      </c>
      <c r="F161" s="149">
        <f>F137+S181</f>
        <v>-6.3530598713327064</v>
      </c>
      <c r="G161" s="149">
        <f>G137+S182</f>
        <v>-18.198795264740703</v>
      </c>
      <c r="H161" s="149">
        <f>H137</f>
        <v>0</v>
      </c>
      <c r="I161" s="149">
        <f>I137</f>
        <v>-4.6484365680000002</v>
      </c>
      <c r="J161" s="149">
        <f>J137-O174</f>
        <v>-4.1575468451472002</v>
      </c>
      <c r="K161" s="150" t="s">
        <v>233</v>
      </c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</row>
    <row r="162" spans="1:49">
      <c r="A162" s="106" t="str">
        <f t="shared" si="64"/>
        <v>ENONSPEC</v>
      </c>
      <c r="B162" s="146" t="s">
        <v>227</v>
      </c>
      <c r="C162" s="52">
        <f>C138</f>
        <v>0</v>
      </c>
      <c r="D162" s="52">
        <f>D138</f>
        <v>0</v>
      </c>
      <c r="E162" s="52">
        <f>E138</f>
        <v>0</v>
      </c>
      <c r="F162" s="52">
        <f>F138</f>
        <v>0</v>
      </c>
      <c r="G162" s="52">
        <f>G138</f>
        <v>0</v>
      </c>
      <c r="H162" s="52">
        <f>H138</f>
        <v>0</v>
      </c>
      <c r="I162" s="52">
        <f>I138</f>
        <v>0</v>
      </c>
      <c r="J162" s="52">
        <f>J138</f>
        <v>0</v>
      </c>
      <c r="K162" s="150" t="s">
        <v>234</v>
      </c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</row>
    <row r="163" spans="1:49">
      <c r="A163" s="107" t="str">
        <f>A140</f>
        <v>PIPELINE</v>
      </c>
      <c r="B163" s="135" t="s">
        <v>230</v>
      </c>
      <c r="C163" s="42">
        <f t="shared" ref="C163:J163" si="66">C140</f>
        <v>-0.35721484524000002</v>
      </c>
      <c r="D163" s="42">
        <f t="shared" si="66"/>
        <v>0</v>
      </c>
      <c r="E163" s="42">
        <f t="shared" si="66"/>
        <v>0</v>
      </c>
      <c r="F163" s="42">
        <f t="shared" si="66"/>
        <v>0</v>
      </c>
      <c r="G163" s="42">
        <f t="shared" si="66"/>
        <v>0</v>
      </c>
      <c r="H163" s="42">
        <f t="shared" si="66"/>
        <v>0</v>
      </c>
      <c r="I163" s="42">
        <f t="shared" si="66"/>
        <v>0</v>
      </c>
      <c r="J163" s="42">
        <f t="shared" si="66"/>
        <v>0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</row>
    <row r="164" spans="1:49">
      <c r="A164" s="79" t="str">
        <f>B24</f>
        <v>Oil pipelines</v>
      </c>
      <c r="B164" s="135" t="s">
        <v>18</v>
      </c>
      <c r="C164" s="42">
        <f t="shared" ref="C164:J164" si="67">C24*C163</f>
        <v>-0.10716445357200001</v>
      </c>
      <c r="D164" s="42">
        <f t="shared" si="67"/>
        <v>0</v>
      </c>
      <c r="E164" s="42">
        <f t="shared" si="67"/>
        <v>0</v>
      </c>
      <c r="F164" s="42">
        <f t="shared" si="67"/>
        <v>0</v>
      </c>
      <c r="G164" s="42">
        <f t="shared" si="67"/>
        <v>0</v>
      </c>
      <c r="H164" s="42">
        <f t="shared" si="67"/>
        <v>0</v>
      </c>
      <c r="I164" s="42">
        <f t="shared" si="67"/>
        <v>0</v>
      </c>
      <c r="J164" s="42">
        <f t="shared" si="67"/>
        <v>0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</row>
    <row r="165" spans="1:49">
      <c r="A165" s="79" t="str">
        <f>B25</f>
        <v>Gas pipelines</v>
      </c>
      <c r="B165" s="135" t="s">
        <v>18</v>
      </c>
      <c r="C165" s="42">
        <f t="shared" ref="C165:J165" si="68">C25*C163</f>
        <v>-0.142885938096</v>
      </c>
      <c r="D165" s="42">
        <f t="shared" si="68"/>
        <v>0</v>
      </c>
      <c r="E165" s="42">
        <f t="shared" si="68"/>
        <v>0</v>
      </c>
      <c r="F165" s="42">
        <f t="shared" si="68"/>
        <v>0</v>
      </c>
      <c r="G165" s="42">
        <f t="shared" si="68"/>
        <v>0</v>
      </c>
      <c r="H165" s="42">
        <f t="shared" si="68"/>
        <v>0</v>
      </c>
      <c r="I165" s="42">
        <f t="shared" si="68"/>
        <v>0</v>
      </c>
      <c r="J165" s="42">
        <f t="shared" si="68"/>
        <v>0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</row>
    <row r="166" spans="1:49">
      <c r="A166" s="79" t="str">
        <f>B26</f>
        <v>Rpp pipelines</v>
      </c>
      <c r="B166" s="135" t="s">
        <v>18</v>
      </c>
      <c r="C166" s="42">
        <f t="shared" ref="C166:J166" si="69">C26*C163</f>
        <v>-0.10716445357200001</v>
      </c>
      <c r="D166" s="42">
        <f t="shared" si="69"/>
        <v>0</v>
      </c>
      <c r="E166" s="42">
        <f t="shared" si="69"/>
        <v>0</v>
      </c>
      <c r="F166" s="42">
        <f t="shared" si="69"/>
        <v>0</v>
      </c>
      <c r="G166" s="42">
        <f t="shared" si="69"/>
        <v>0</v>
      </c>
      <c r="H166" s="42">
        <f t="shared" si="69"/>
        <v>0</v>
      </c>
      <c r="I166" s="42">
        <f t="shared" si="69"/>
        <v>0</v>
      </c>
      <c r="J166" s="42">
        <f t="shared" si="69"/>
        <v>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</row>
    <row r="167" spans="1:49">
      <c r="A167" s="22"/>
      <c r="B167" s="151"/>
      <c r="C167" s="49"/>
      <c r="D167" s="49"/>
      <c r="E167" s="49"/>
      <c r="F167" s="49"/>
      <c r="G167" s="49"/>
      <c r="H167" s="49"/>
      <c r="I167" s="49"/>
      <c r="J167" s="57"/>
      <c r="K167" s="57"/>
      <c r="L167" s="57"/>
      <c r="M167" s="57"/>
      <c r="N167" s="22"/>
      <c r="O167" s="22"/>
      <c r="P167" s="22"/>
      <c r="Q167" s="22"/>
      <c r="R167" s="22"/>
      <c r="S167" s="22"/>
      <c r="T167" s="22"/>
      <c r="U167" s="22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</row>
    <row r="168" spans="1:49" ht="18">
      <c r="A168" s="152" t="s">
        <v>235</v>
      </c>
      <c r="B168" s="153"/>
      <c r="C168" s="154"/>
      <c r="D168" s="155"/>
      <c r="E168" s="36"/>
      <c r="F168" s="22"/>
      <c r="G168" s="22"/>
      <c r="H168" s="152" t="s">
        <v>236</v>
      </c>
      <c r="I168" s="153"/>
      <c r="J168" s="154"/>
      <c r="K168" s="155"/>
      <c r="L168" s="36"/>
      <c r="M168" s="22"/>
      <c r="N168" s="22"/>
      <c r="O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</row>
    <row r="169" spans="1:49">
      <c r="A169" s="156" t="s">
        <v>237</v>
      </c>
      <c r="B169" s="157">
        <v>4.9110446142861752E-2</v>
      </c>
      <c r="C169" s="158" t="s">
        <v>238</v>
      </c>
      <c r="D169" s="158" t="s">
        <v>239</v>
      </c>
      <c r="E169" s="158" t="s">
        <v>240</v>
      </c>
      <c r="F169" s="22"/>
      <c r="G169" s="22"/>
      <c r="H169" s="159" t="s">
        <v>241</v>
      </c>
      <c r="I169" s="159"/>
      <c r="J169" s="160">
        <f>B169</f>
        <v>4.9110446142861752E-2</v>
      </c>
      <c r="K169" s="161" t="s">
        <v>242</v>
      </c>
      <c r="L169" s="16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</row>
    <row r="170" spans="1:49">
      <c r="A170" s="163"/>
      <c r="B170" s="164"/>
      <c r="C170" s="165">
        <v>-4.1868000000000002E-2</v>
      </c>
      <c r="D170" s="166">
        <v>3.5999999999999999E-3</v>
      </c>
      <c r="E170" s="166">
        <v>1E-3</v>
      </c>
      <c r="F170" s="22"/>
      <c r="G170" s="22"/>
      <c r="H170" s="161"/>
      <c r="I170" s="161"/>
      <c r="J170" s="161"/>
      <c r="K170" s="161"/>
      <c r="L170" s="16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</row>
    <row r="171" spans="1:49" ht="13.5" thickBot="1">
      <c r="A171" s="167"/>
      <c r="B171" s="168" t="s">
        <v>243</v>
      </c>
      <c r="C171" s="169" t="s">
        <v>244</v>
      </c>
      <c r="D171" s="169" t="s">
        <v>245</v>
      </c>
      <c r="E171" s="169" t="s">
        <v>246</v>
      </c>
      <c r="F171" s="22"/>
      <c r="G171" s="22"/>
      <c r="H171" s="170"/>
      <c r="I171" s="171" t="s">
        <v>238</v>
      </c>
      <c r="J171" s="171" t="s">
        <v>239</v>
      </c>
      <c r="K171" s="171" t="s">
        <v>240</v>
      </c>
      <c r="L171" s="172" t="s">
        <v>247</v>
      </c>
      <c r="M171" s="172"/>
      <c r="O171" s="173">
        <v>4.4000000000000004</v>
      </c>
      <c r="P171" t="s">
        <v>248</v>
      </c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</row>
    <row r="172" spans="1:49">
      <c r="A172" s="174" t="s">
        <v>249</v>
      </c>
      <c r="B172" s="175" t="s">
        <v>56</v>
      </c>
      <c r="C172" s="176">
        <v>0</v>
      </c>
      <c r="D172" s="177">
        <v>0</v>
      </c>
      <c r="E172" s="177">
        <v>0</v>
      </c>
      <c r="F172" s="22"/>
      <c r="G172" s="22"/>
      <c r="H172" s="178" t="s">
        <v>250</v>
      </c>
      <c r="I172" s="179">
        <f>C172+C176</f>
        <v>18.26417826446221</v>
      </c>
      <c r="J172" s="179">
        <f>D172+D176</f>
        <v>9.6094594470918047</v>
      </c>
      <c r="K172" s="179">
        <f>E172+E176</f>
        <v>5.9205605647560393</v>
      </c>
      <c r="L172" s="180">
        <f t="shared" ref="L172:L187" si="70">IF(I172=0,0,J172/I172)</f>
        <v>0.52613697194302744</v>
      </c>
      <c r="M172" s="180">
        <f t="shared" ref="M172:M187" si="71">IF(K172=0,0,J172/K172)</f>
        <v>1.6230658131081492</v>
      </c>
      <c r="O172" s="181">
        <v>1.6</v>
      </c>
      <c r="P172" t="s">
        <v>251</v>
      </c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</row>
    <row r="173" spans="1:49">
      <c r="A173" s="174" t="s">
        <v>252</v>
      </c>
      <c r="B173" s="175" t="s">
        <v>58</v>
      </c>
      <c r="C173" s="176">
        <v>0.30396168000000001</v>
      </c>
      <c r="D173" s="177">
        <v>0.15479999999999999</v>
      </c>
      <c r="E173" s="177">
        <v>9.3993660000000007E-2</v>
      </c>
      <c r="F173" s="22"/>
      <c r="G173" s="22"/>
      <c r="H173" s="178" t="s">
        <v>74</v>
      </c>
      <c r="I173" s="179">
        <f>C178</f>
        <v>0</v>
      </c>
      <c r="J173" s="179">
        <f>D178</f>
        <v>1.0800000000000001E-2</v>
      </c>
      <c r="K173" s="179">
        <f>E178</f>
        <v>1.0048320000000002E-3</v>
      </c>
      <c r="L173" s="180">
        <f t="shared" si="70"/>
        <v>0</v>
      </c>
      <c r="M173" s="180">
        <f t="shared" si="71"/>
        <v>10.748065348237315</v>
      </c>
      <c r="O173" s="182">
        <f>-SUM(R76,T76,V76)</f>
        <v>573.37560298799997</v>
      </c>
      <c r="P173" t="s">
        <v>253</v>
      </c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</row>
    <row r="174" spans="1:49">
      <c r="A174" s="174" t="s">
        <v>254</v>
      </c>
      <c r="B174" s="175" t="s">
        <v>57</v>
      </c>
      <c r="C174" s="176">
        <v>3.600648E-2</v>
      </c>
      <c r="D174" s="177">
        <v>1.7999999999999999E-2</v>
      </c>
      <c r="E174" s="177">
        <v>1.1011284000000001E-2</v>
      </c>
      <c r="F174" s="22"/>
      <c r="G174" s="22"/>
      <c r="H174" s="178" t="s">
        <v>17</v>
      </c>
      <c r="I174" s="179">
        <f>C185</f>
        <v>0</v>
      </c>
      <c r="J174" s="179">
        <f>D185</f>
        <v>0</v>
      </c>
      <c r="K174" s="179">
        <f>E185</f>
        <v>0</v>
      </c>
      <c r="L174" s="180">
        <f t="shared" si="70"/>
        <v>0</v>
      </c>
      <c r="M174" s="180">
        <f t="shared" si="71"/>
        <v>0</v>
      </c>
      <c r="O174" s="183">
        <f>O173*O171/1000</f>
        <v>2.5228526531472002</v>
      </c>
      <c r="P174" t="s">
        <v>255</v>
      </c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</row>
    <row r="175" spans="1:49">
      <c r="A175" s="174" t="s">
        <v>256</v>
      </c>
      <c r="B175" s="175" t="s">
        <v>59</v>
      </c>
      <c r="C175" s="176">
        <v>0</v>
      </c>
      <c r="D175" s="177">
        <v>0</v>
      </c>
      <c r="E175" s="177">
        <v>0</v>
      </c>
      <c r="F175" s="22"/>
      <c r="G175" s="22"/>
      <c r="H175" s="178" t="s">
        <v>257</v>
      </c>
      <c r="I175" s="179">
        <f>C197+C198</f>
        <v>20.358921407062098</v>
      </c>
      <c r="J175" s="179">
        <f>D197+D198</f>
        <v>3.565452341112497</v>
      </c>
      <c r="K175" s="179">
        <f>E197+E198</f>
        <v>13.502522557090455</v>
      </c>
      <c r="L175" s="180">
        <f t="shared" si="70"/>
        <v>0.17512972666006332</v>
      </c>
      <c r="M175" s="180">
        <f t="shared" si="71"/>
        <v>0.26405823993533739</v>
      </c>
      <c r="O175" s="183">
        <f>O174/O172</f>
        <v>1.576782908217</v>
      </c>
      <c r="P175" t="s">
        <v>258</v>
      </c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</row>
    <row r="176" spans="1:49">
      <c r="A176" s="174" t="s">
        <v>229</v>
      </c>
      <c r="B176" s="175" t="s">
        <v>67</v>
      </c>
      <c r="C176" s="176">
        <v>18.26417826446221</v>
      </c>
      <c r="D176" s="177">
        <v>9.6094594470918047</v>
      </c>
      <c r="E176" s="177">
        <v>5.9205605647560393</v>
      </c>
      <c r="F176" s="22"/>
      <c r="G176" s="22"/>
      <c r="H176" s="178" t="s">
        <v>259</v>
      </c>
      <c r="I176" s="179">
        <f>C199</f>
        <v>3.7798421060749113E-3</v>
      </c>
      <c r="J176" s="179">
        <f>D199</f>
        <v>2.2172941963863844E-4</v>
      </c>
      <c r="K176" s="179">
        <f>E199</f>
        <v>3.5710093737158291E-3</v>
      </c>
      <c r="L176" s="180">
        <f t="shared" si="70"/>
        <v>5.866102694667534E-2</v>
      </c>
      <c r="M176" s="180">
        <f t="shared" si="71"/>
        <v>6.2091525513952084E-2</v>
      </c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</row>
    <row r="177" spans="1:49">
      <c r="A177" s="174" t="s">
        <v>260</v>
      </c>
      <c r="B177" s="175" t="s">
        <v>72</v>
      </c>
      <c r="C177" s="176">
        <v>9.901782000000002E-2</v>
      </c>
      <c r="D177" s="177">
        <v>4.6800000000000001E-2</v>
      </c>
      <c r="E177" s="177">
        <v>6.3011339999999999E-2</v>
      </c>
      <c r="F177" s="22"/>
      <c r="G177" s="22"/>
      <c r="H177" s="178" t="s">
        <v>261</v>
      </c>
      <c r="I177" s="179">
        <f>C174</f>
        <v>3.600648E-2</v>
      </c>
      <c r="J177" s="179">
        <f>D174</f>
        <v>1.7999999999999999E-2</v>
      </c>
      <c r="K177" s="179">
        <f>E174</f>
        <v>1.1011284000000001E-2</v>
      </c>
      <c r="L177" s="180">
        <f t="shared" si="70"/>
        <v>0.49991001619708447</v>
      </c>
      <c r="M177" s="180">
        <f t="shared" si="71"/>
        <v>1.6346867449790594</v>
      </c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</row>
    <row r="178" spans="1:49" ht="18">
      <c r="A178" s="174" t="s">
        <v>262</v>
      </c>
      <c r="B178" s="175" t="s">
        <v>74</v>
      </c>
      <c r="C178" s="176">
        <v>0</v>
      </c>
      <c r="D178" s="177">
        <v>1.0800000000000001E-2</v>
      </c>
      <c r="E178" s="177">
        <v>1.0048320000000002E-3</v>
      </c>
      <c r="F178" s="22"/>
      <c r="G178" s="22"/>
      <c r="H178" s="178" t="s">
        <v>263</v>
      </c>
      <c r="I178" s="179">
        <f>C173</f>
        <v>0.30396168000000001</v>
      </c>
      <c r="J178" s="179">
        <f>D173</f>
        <v>0.15479999999999999</v>
      </c>
      <c r="K178" s="179">
        <f>E173</f>
        <v>9.3993660000000007E-2</v>
      </c>
      <c r="L178" s="180">
        <f t="shared" si="70"/>
        <v>0.50927472173466071</v>
      </c>
      <c r="M178" s="180">
        <f t="shared" si="71"/>
        <v>1.6469195901085241</v>
      </c>
      <c r="P178" s="152" t="s">
        <v>264</v>
      </c>
      <c r="Q178" s="154"/>
      <c r="R178" s="155"/>
      <c r="S178" s="154"/>
      <c r="T178" s="48"/>
      <c r="U178" s="22"/>
      <c r="V178" s="22"/>
      <c r="W178" s="22"/>
      <c r="X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</row>
    <row r="179" spans="1:49" ht="13.5" thickBot="1">
      <c r="A179" s="184" t="s">
        <v>265</v>
      </c>
      <c r="B179" s="185" t="s">
        <v>73</v>
      </c>
      <c r="C179" s="186">
        <v>0</v>
      </c>
      <c r="D179" s="186">
        <v>0</v>
      </c>
      <c r="E179" s="186">
        <v>0</v>
      </c>
      <c r="F179" s="22"/>
      <c r="G179" s="22"/>
      <c r="H179" s="178" t="s">
        <v>266</v>
      </c>
      <c r="I179" s="179">
        <f>C175</f>
        <v>0</v>
      </c>
      <c r="J179" s="179">
        <f>D175</f>
        <v>0</v>
      </c>
      <c r="K179" s="179">
        <f>E175</f>
        <v>0</v>
      </c>
      <c r="L179" s="180">
        <f t="shared" si="70"/>
        <v>0</v>
      </c>
      <c r="M179" s="180">
        <f t="shared" si="71"/>
        <v>0</v>
      </c>
      <c r="P179" s="187" t="s">
        <v>267</v>
      </c>
      <c r="Q179" s="187" t="s">
        <v>268</v>
      </c>
      <c r="R179" s="187" t="s">
        <v>269</v>
      </c>
      <c r="S179" s="188" t="s">
        <v>238</v>
      </c>
      <c r="U179" s="22"/>
      <c r="V179" s="22"/>
      <c r="W179" s="22"/>
      <c r="X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</row>
    <row r="180" spans="1:49">
      <c r="A180" s="189" t="s">
        <v>270</v>
      </c>
      <c r="B180" s="190" t="s">
        <v>270</v>
      </c>
      <c r="C180" s="191">
        <v>18.703164244462211</v>
      </c>
      <c r="D180" s="192">
        <v>9.8398594470918042</v>
      </c>
      <c r="E180" s="192">
        <v>6.089581680756039</v>
      </c>
      <c r="F180" s="22"/>
      <c r="G180" s="22"/>
      <c r="H180" s="178" t="s">
        <v>271</v>
      </c>
      <c r="I180" s="179">
        <f>C189+C181+C186+C187</f>
        <v>1.6551645484514594</v>
      </c>
      <c r="J180" s="179">
        <f>D189+D181+D186+D187</f>
        <v>0.66959999999999997</v>
      </c>
      <c r="K180" s="179">
        <f>E189+E181+E186+E187</f>
        <v>0.79900891199999813</v>
      </c>
      <c r="L180" s="180">
        <f t="shared" si="70"/>
        <v>0.40455192242152904</v>
      </c>
      <c r="M180" s="180">
        <f t="shared" si="71"/>
        <v>0.83803821201934425</v>
      </c>
      <c r="O180" s="193" t="s">
        <v>216</v>
      </c>
      <c r="P180" s="194">
        <f>-C137</f>
        <v>12.196022796000001</v>
      </c>
      <c r="Q180" s="195">
        <v>0.8</v>
      </c>
      <c r="R180" s="194">
        <f>IF(P$184&gt;0,P180*Q180*N$206/Q$184,0)</f>
        <v>0.78902577644975314</v>
      </c>
      <c r="S180" s="196">
        <f>R180/Q180</f>
        <v>0.98628222056219139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</row>
    <row r="181" spans="1:49">
      <c r="A181" s="174" t="s">
        <v>272</v>
      </c>
      <c r="B181" s="175" t="s">
        <v>68</v>
      </c>
      <c r="C181" s="176">
        <v>0</v>
      </c>
      <c r="D181" s="177">
        <v>0</v>
      </c>
      <c r="E181" s="177">
        <v>0</v>
      </c>
      <c r="F181" s="22"/>
      <c r="G181" s="22"/>
      <c r="H181" s="178" t="s">
        <v>273</v>
      </c>
      <c r="I181" s="179">
        <f>C182+C183+C188</f>
        <v>4.0787516410912716E-2</v>
      </c>
      <c r="J181" s="179">
        <f>D182+D183+D188</f>
        <v>1.0800000000000001E-2</v>
      </c>
      <c r="K181" s="179">
        <f>E182+E183+E188</f>
        <v>6.9919560000000214E-3</v>
      </c>
      <c r="L181" s="180">
        <f t="shared" si="70"/>
        <v>0.26478689928545041</v>
      </c>
      <c r="M181" s="180">
        <f t="shared" si="71"/>
        <v>1.5446321458544601</v>
      </c>
      <c r="O181" s="193" t="s">
        <v>219</v>
      </c>
      <c r="P181" s="194">
        <f>-F137</f>
        <v>6.9120299880000005</v>
      </c>
      <c r="Q181" s="195">
        <v>0.8</v>
      </c>
      <c r="R181" s="194">
        <f>IF(P$184&gt;0,P181*Q181*N$206/Q$184,0)</f>
        <v>0.44717609333383518</v>
      </c>
      <c r="S181" s="196">
        <f>R181/Q181</f>
        <v>0.5589701166672939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</row>
    <row r="182" spans="1:49">
      <c r="A182" s="174" t="s">
        <v>274</v>
      </c>
      <c r="B182" s="175" t="s">
        <v>80</v>
      </c>
      <c r="C182" s="176">
        <v>4.0787516410912716E-2</v>
      </c>
      <c r="D182" s="177">
        <v>1.0800000000000001E-2</v>
      </c>
      <c r="E182" s="177">
        <v>6.9919560000000214E-3</v>
      </c>
      <c r="F182" s="22"/>
      <c r="G182" s="22"/>
      <c r="H182" s="178" t="s">
        <v>275</v>
      </c>
      <c r="I182" s="179">
        <f>C177+C179</f>
        <v>9.901782000000002E-2</v>
      </c>
      <c r="J182" s="179">
        <f>D177+D179</f>
        <v>4.6800000000000001E-2</v>
      </c>
      <c r="K182" s="179">
        <f>E177+E179</f>
        <v>6.3011339999999999E-2</v>
      </c>
      <c r="L182" s="180">
        <f t="shared" si="70"/>
        <v>0.4726421971317889</v>
      </c>
      <c r="M182" s="180">
        <f t="shared" si="71"/>
        <v>0.74272345263566852</v>
      </c>
      <c r="O182" s="193" t="s">
        <v>220</v>
      </c>
      <c r="P182" s="194">
        <f>-G137</f>
        <v>19.800005220000003</v>
      </c>
      <c r="Q182" s="195">
        <v>0.8</v>
      </c>
      <c r="R182" s="194">
        <f>IF(P$184&gt;0,P182*Q182*N$206/Q$184,0)</f>
        <v>1.2809679642074412</v>
      </c>
      <c r="S182" s="196">
        <f>R182/Q182</f>
        <v>1.6012099552593013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</row>
    <row r="183" spans="1:49">
      <c r="A183" s="174" t="s">
        <v>276</v>
      </c>
      <c r="B183" s="175" t="s">
        <v>75</v>
      </c>
      <c r="C183" s="176">
        <v>0</v>
      </c>
      <c r="D183" s="177">
        <v>0</v>
      </c>
      <c r="E183" s="177">
        <v>0</v>
      </c>
      <c r="F183" s="22"/>
      <c r="G183" s="22"/>
      <c r="H183" s="178" t="s">
        <v>277</v>
      </c>
      <c r="I183" s="179">
        <f>C184</f>
        <v>0</v>
      </c>
      <c r="J183" s="179">
        <f>D184</f>
        <v>0</v>
      </c>
      <c r="K183" s="179">
        <f>E184</f>
        <v>0</v>
      </c>
      <c r="L183" s="180">
        <f t="shared" si="70"/>
        <v>0</v>
      </c>
      <c r="M183" s="180">
        <f t="shared" si="71"/>
        <v>0</v>
      </c>
      <c r="O183" s="193" t="s">
        <v>217</v>
      </c>
      <c r="P183" s="194">
        <f>-D137</f>
        <v>0</v>
      </c>
      <c r="Q183" s="195">
        <v>0.8</v>
      </c>
      <c r="R183" s="194">
        <f>IF(P$184&gt;0,P183*Q183*N$206/Q$184,0)</f>
        <v>0</v>
      </c>
      <c r="S183" s="196">
        <f>R183/Q183</f>
        <v>0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</row>
    <row r="184" spans="1:49">
      <c r="A184" s="174" t="s">
        <v>278</v>
      </c>
      <c r="B184" s="175" t="s">
        <v>82</v>
      </c>
      <c r="C184" s="176">
        <v>0</v>
      </c>
      <c r="D184" s="177">
        <v>0</v>
      </c>
      <c r="E184" s="177">
        <v>0</v>
      </c>
      <c r="F184" s="22"/>
      <c r="G184" s="22"/>
      <c r="H184" s="178" t="s">
        <v>279</v>
      </c>
      <c r="I184" s="179">
        <f>C200</f>
        <v>0</v>
      </c>
      <c r="J184" s="179">
        <f>D200</f>
        <v>0</v>
      </c>
      <c r="K184" s="179">
        <f>E200</f>
        <v>0</v>
      </c>
      <c r="L184" s="180">
        <f t="shared" si="70"/>
        <v>0</v>
      </c>
      <c r="M184" s="180">
        <f t="shared" si="71"/>
        <v>0</v>
      </c>
      <c r="P184" s="197">
        <f>SUM(P180:P183)</f>
        <v>38.908058004000004</v>
      </c>
      <c r="Q184" s="113">
        <f>MAX(N206,SUMPRODUCT(P180:P183,Q180:Q183))</f>
        <v>31.126446403200006</v>
      </c>
      <c r="R184" s="197">
        <f>SUM(R180:R183)</f>
        <v>2.5171698339910296</v>
      </c>
      <c r="S184" s="197">
        <f>SUM(S180:S183)</f>
        <v>3.1464622924887866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</row>
    <row r="185" spans="1:49">
      <c r="A185" s="174" t="s">
        <v>280</v>
      </c>
      <c r="B185" s="175" t="s">
        <v>17</v>
      </c>
      <c r="C185" s="176">
        <v>0</v>
      </c>
      <c r="D185" s="177">
        <v>0</v>
      </c>
      <c r="E185" s="177">
        <v>0</v>
      </c>
      <c r="F185" s="22"/>
      <c r="G185" s="22"/>
      <c r="H185" s="178" t="s">
        <v>281</v>
      </c>
      <c r="I185" s="179">
        <f>SUM(C191:C195)</f>
        <v>75.31773977932032</v>
      </c>
      <c r="J185" s="179">
        <f>SUM(D191:D195)</f>
        <v>24.516774728428494</v>
      </c>
      <c r="K185" s="179">
        <f>SUM(E191:E195)</f>
        <v>38.490936503590689</v>
      </c>
      <c r="L185" s="180">
        <f t="shared" si="70"/>
        <v>0.32551129123447176</v>
      </c>
      <c r="M185" s="180">
        <f t="shared" si="71"/>
        <v>0.63694929132580103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197"/>
      <c r="Z185" s="22"/>
      <c r="AA185" s="197"/>
      <c r="AB185" s="197"/>
      <c r="AC185" s="198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</row>
    <row r="186" spans="1:49">
      <c r="A186" s="174" t="s">
        <v>282</v>
      </c>
      <c r="B186" s="175" t="s">
        <v>71</v>
      </c>
      <c r="C186" s="176">
        <v>0</v>
      </c>
      <c r="D186" s="177">
        <v>0</v>
      </c>
      <c r="E186" s="177">
        <v>0</v>
      </c>
      <c r="F186" s="22"/>
      <c r="G186" s="22"/>
      <c r="H186" s="178" t="s">
        <v>283</v>
      </c>
      <c r="I186" s="179">
        <f>C204</f>
        <v>0</v>
      </c>
      <c r="J186" s="179">
        <f>D204</f>
        <v>0</v>
      </c>
      <c r="K186" s="179">
        <f>E204</f>
        <v>0</v>
      </c>
      <c r="L186" s="180">
        <f t="shared" si="70"/>
        <v>0</v>
      </c>
      <c r="M186" s="180">
        <f t="shared" si="71"/>
        <v>0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</row>
    <row r="187" spans="1:49">
      <c r="A187" s="174" t="s">
        <v>284</v>
      </c>
      <c r="B187" s="175" t="s">
        <v>88</v>
      </c>
      <c r="C187" s="176">
        <v>0</v>
      </c>
      <c r="D187" s="177">
        <v>0</v>
      </c>
      <c r="E187" s="177">
        <v>7.9967880000000012E-3</v>
      </c>
      <c r="F187" s="22"/>
      <c r="G187" s="22"/>
      <c r="H187" s="25" t="s">
        <v>285</v>
      </c>
      <c r="I187" s="199">
        <f>SUM(I172:I186)</f>
        <v>116.07955733781307</v>
      </c>
      <c r="J187" s="199">
        <f>SUM(J172:J186)</f>
        <v>38.602708246052437</v>
      </c>
      <c r="K187" s="199">
        <f>SUM(K172:K186)</f>
        <v>58.892612618810894</v>
      </c>
      <c r="L187" s="199">
        <f t="shared" si="70"/>
        <v>0.3325538891719873</v>
      </c>
      <c r="M187" s="199">
        <f t="shared" si="71"/>
        <v>0.6554762393700011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</row>
    <row r="188" spans="1:49">
      <c r="A188" s="174" t="s">
        <v>286</v>
      </c>
      <c r="B188" s="175" t="s">
        <v>79</v>
      </c>
      <c r="C188" s="176">
        <v>0</v>
      </c>
      <c r="D188" s="177">
        <v>0</v>
      </c>
      <c r="E188" s="177">
        <v>0</v>
      </c>
      <c r="F188" s="22"/>
      <c r="G188" s="22"/>
      <c r="J188" s="200">
        <f t="array" ref="J188">MAX(0.01,SUM(IF($I172:$I186&gt;0,J172:J186,0)))</f>
        <v>38.591908246052434</v>
      </c>
      <c r="K188" s="200">
        <f t="array" ref="K188">MAX(0.01,SUM(IF($I172:$I186&gt;0,K172:K186,0)))</f>
        <v>58.891607786810894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</row>
    <row r="189" spans="1:49" ht="13.5" thickBot="1">
      <c r="A189" s="174" t="s">
        <v>287</v>
      </c>
      <c r="B189" s="175" t="s">
        <v>81</v>
      </c>
      <c r="C189" s="176">
        <v>1.6551645484514594</v>
      </c>
      <c r="D189" s="177">
        <v>0.66959999999999997</v>
      </c>
      <c r="E189" s="177">
        <v>0.7910121239999981</v>
      </c>
      <c r="F189" s="22"/>
      <c r="G189" s="22"/>
      <c r="H189" s="171"/>
      <c r="I189" s="172" t="s">
        <v>288</v>
      </c>
      <c r="J189" s="172" t="s">
        <v>289</v>
      </c>
      <c r="K189" s="172" t="s">
        <v>290</v>
      </c>
      <c r="L189" s="172" t="s">
        <v>291</v>
      </c>
      <c r="M189" s="172" t="s">
        <v>292</v>
      </c>
      <c r="N189" s="201">
        <f>SUMPRODUCT(I172:I186,J190:J204,M190:M204)</f>
        <v>1.0205572613501059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</row>
    <row r="190" spans="1:49">
      <c r="A190" s="189" t="s">
        <v>270</v>
      </c>
      <c r="B190" s="190" t="s">
        <v>270</v>
      </c>
      <c r="C190" s="191">
        <v>1.695952064862372</v>
      </c>
      <c r="D190" s="192">
        <v>0.6804</v>
      </c>
      <c r="E190" s="192">
        <v>0.80600086799999815</v>
      </c>
      <c r="F190" s="22"/>
      <c r="G190" s="22"/>
      <c r="H190" s="178" t="s">
        <v>250</v>
      </c>
      <c r="I190" s="202">
        <v>0.82</v>
      </c>
      <c r="J190" s="203">
        <f t="shared" ref="J190:J204" si="72">MAX(0.15,L172*J$187/J$188*(1-J$169))</f>
        <v>0.50043815966230765</v>
      </c>
      <c r="K190" s="180">
        <f t="shared" ref="K190:K204" ca="1" si="73">MAX(0.01,(MAX(I190,MIN(1,J190+K172/(I172+Tiny)*K$187/K$188))-J190)/J190)</f>
        <v>0.64776828722081514</v>
      </c>
      <c r="L190" s="204">
        <f t="shared" ref="L190:L204" si="74">J190*K190*I172</f>
        <v>5.9206615833874929</v>
      </c>
      <c r="M190" s="196">
        <v>0.1</v>
      </c>
      <c r="N190" s="204">
        <f t="shared" ref="N190:N204" ca="1" si="75">J190*I172*M190*$O$175/($N$189+Tiny)*K190</f>
        <v>0.91475494168006688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</row>
    <row r="191" spans="1:49">
      <c r="A191" s="174" t="s">
        <v>293</v>
      </c>
      <c r="B191" s="175" t="s">
        <v>294</v>
      </c>
      <c r="C191" s="176">
        <v>0.10282299089123736</v>
      </c>
      <c r="D191" s="177">
        <v>2.8591431147533847E-2</v>
      </c>
      <c r="E191" s="177">
        <v>1.8138307146940869E-2</v>
      </c>
      <c r="F191" s="22"/>
      <c r="G191" s="22"/>
      <c r="H191" s="178" t="s">
        <v>74</v>
      </c>
      <c r="I191" s="202">
        <v>0.82</v>
      </c>
      <c r="J191" s="203">
        <f t="shared" si="72"/>
        <v>0.15</v>
      </c>
      <c r="K191" s="180">
        <f t="shared" ca="1" si="73"/>
        <v>5.666666666666667</v>
      </c>
      <c r="L191" s="204">
        <f t="shared" si="74"/>
        <v>0</v>
      </c>
      <c r="M191" s="196">
        <v>0.1</v>
      </c>
      <c r="N191" s="204">
        <f t="shared" ca="1" si="75"/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</row>
    <row r="192" spans="1:49">
      <c r="A192" s="174" t="s">
        <v>295</v>
      </c>
      <c r="B192" s="175" t="s">
        <v>62</v>
      </c>
      <c r="C192" s="176">
        <v>0.34495045200000019</v>
      </c>
      <c r="D192" s="177">
        <v>5.4000000000000006E-2</v>
      </c>
      <c r="E192" s="177">
        <v>0.19899860399999997</v>
      </c>
      <c r="F192" s="22"/>
      <c r="G192" s="22"/>
      <c r="H192" s="178" t="s">
        <v>17</v>
      </c>
      <c r="I192" s="202">
        <v>0.82</v>
      </c>
      <c r="J192" s="203">
        <f t="shared" si="72"/>
        <v>0.15</v>
      </c>
      <c r="K192" s="180">
        <f t="shared" ca="1" si="73"/>
        <v>4.4666666666666668</v>
      </c>
      <c r="L192" s="204">
        <f t="shared" si="74"/>
        <v>0</v>
      </c>
      <c r="M192" s="196">
        <v>0.1</v>
      </c>
      <c r="N192" s="204">
        <f t="shared" ca="1" si="75"/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</row>
    <row r="193" spans="1:49">
      <c r="A193" s="174" t="s">
        <v>296</v>
      </c>
      <c r="B193" s="175" t="s">
        <v>297</v>
      </c>
      <c r="C193" s="176">
        <v>2.0262397560382635</v>
      </c>
      <c r="D193" s="177">
        <v>0.41295741306648781</v>
      </c>
      <c r="E193" s="177">
        <v>1.192888668367065</v>
      </c>
      <c r="F193" s="22"/>
      <c r="G193" s="22"/>
      <c r="H193" s="178" t="s">
        <v>257</v>
      </c>
      <c r="I193" s="205">
        <v>0.78</v>
      </c>
      <c r="J193" s="203">
        <f t="shared" si="72"/>
        <v>0.166575631034375</v>
      </c>
      <c r="K193" s="180">
        <f t="shared" ca="1" si="73"/>
        <v>3.9815858882764199</v>
      </c>
      <c r="L193" s="204">
        <f t="shared" si="74"/>
        <v>13.502752941829419</v>
      </c>
      <c r="M193" s="196">
        <v>0</v>
      </c>
      <c r="N193" s="204">
        <f t="shared" ca="1" si="75"/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</row>
    <row r="194" spans="1:49">
      <c r="A194" s="174" t="s">
        <v>298</v>
      </c>
      <c r="B194" s="175" t="s">
        <v>61</v>
      </c>
      <c r="C194" s="176">
        <v>72.843726580390822</v>
      </c>
      <c r="D194" s="177">
        <v>24.021225884214473</v>
      </c>
      <c r="E194" s="177">
        <v>37.080910924076683</v>
      </c>
      <c r="F194" s="22"/>
      <c r="G194" s="22"/>
      <c r="H194" s="178" t="s">
        <v>259</v>
      </c>
      <c r="I194" s="205">
        <v>0.78</v>
      </c>
      <c r="J194" s="203">
        <f t="shared" si="72"/>
        <v>0.15</v>
      </c>
      <c r="K194" s="180">
        <f t="shared" ca="1" si="73"/>
        <v>5.666666666666667</v>
      </c>
      <c r="L194" s="204">
        <f t="shared" si="74"/>
        <v>3.2128657901636746E-3</v>
      </c>
      <c r="M194" s="196">
        <v>0.1</v>
      </c>
      <c r="N194" s="204">
        <f t="shared" ca="1" si="75"/>
        <v>4.9639467095255268E-4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</row>
    <row r="195" spans="1:49">
      <c r="A195" s="174" t="s">
        <v>159</v>
      </c>
      <c r="B195" s="175" t="s">
        <v>66</v>
      </c>
      <c r="C195" s="176">
        <v>0</v>
      </c>
      <c r="D195" s="177">
        <v>0</v>
      </c>
      <c r="E195" s="177">
        <v>0</v>
      </c>
      <c r="F195" s="22"/>
      <c r="G195" s="22"/>
      <c r="H195" s="178" t="s">
        <v>261</v>
      </c>
      <c r="I195" s="205">
        <v>0.78</v>
      </c>
      <c r="J195" s="203">
        <f t="shared" si="72"/>
        <v>0.47549224221694369</v>
      </c>
      <c r="K195" s="180">
        <f t="shared" ca="1" si="73"/>
        <v>0.6431633069094701</v>
      </c>
      <c r="L195" s="204">
        <f t="shared" si="74"/>
        <v>1.1011471573081421E-2</v>
      </c>
      <c r="M195" s="196">
        <v>0.1</v>
      </c>
      <c r="N195" s="204">
        <f t="shared" ca="1" si="75"/>
        <v>1.7012960282865349E-3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</row>
    <row r="196" spans="1:49">
      <c r="A196" s="189" t="s">
        <v>270</v>
      </c>
      <c r="B196" s="190" t="s">
        <v>270</v>
      </c>
      <c r="C196" s="191">
        <v>75.31773977932032</v>
      </c>
      <c r="D196" s="192">
        <v>24.516774728428494</v>
      </c>
      <c r="E196" s="192">
        <v>38.490936503590689</v>
      </c>
      <c r="F196" s="22"/>
      <c r="G196" s="22"/>
      <c r="H196" s="178" t="s">
        <v>263</v>
      </c>
      <c r="I196" s="205">
        <v>0.78</v>
      </c>
      <c r="J196" s="203">
        <f t="shared" si="72"/>
        <v>0.48439953490861104</v>
      </c>
      <c r="K196" s="180">
        <f t="shared" ca="1" si="73"/>
        <v>0.63838609044241079</v>
      </c>
      <c r="L196" s="204">
        <f t="shared" si="74"/>
        <v>9.399526344792121E-2</v>
      </c>
      <c r="M196" s="196">
        <v>0</v>
      </c>
      <c r="N196" s="204">
        <f t="shared" ca="1" si="75"/>
        <v>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</row>
    <row r="197" spans="1:49">
      <c r="A197" s="206" t="s">
        <v>299</v>
      </c>
      <c r="B197" s="175" t="s">
        <v>300</v>
      </c>
      <c r="C197" s="176">
        <v>15.577597147647225</v>
      </c>
      <c r="D197" s="177">
        <v>2.9045150237780355</v>
      </c>
      <c r="E197" s="177">
        <v>10.156832962973596</v>
      </c>
      <c r="F197" s="22"/>
      <c r="G197" s="22"/>
      <c r="H197" s="178" t="s">
        <v>266</v>
      </c>
      <c r="I197" s="205">
        <v>0.78</v>
      </c>
      <c r="J197" s="203">
        <f t="shared" si="72"/>
        <v>0.15</v>
      </c>
      <c r="K197" s="180">
        <f t="shared" ca="1" si="73"/>
        <v>4.2</v>
      </c>
      <c r="L197" s="204">
        <f t="shared" si="74"/>
        <v>0</v>
      </c>
      <c r="M197" s="196">
        <v>0</v>
      </c>
      <c r="N197" s="204">
        <f t="shared" ca="1" si="75"/>
        <v>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</row>
    <row r="198" spans="1:49">
      <c r="A198" s="206" t="s">
        <v>301</v>
      </c>
      <c r="B198" s="175" t="s">
        <v>302</v>
      </c>
      <c r="C198" s="176">
        <v>4.7813242594148733</v>
      </c>
      <c r="D198" s="177">
        <v>0.66093731733446148</v>
      </c>
      <c r="E198" s="177">
        <v>3.345689594116859</v>
      </c>
      <c r="F198" s="22"/>
      <c r="G198" s="22"/>
      <c r="H198" s="178" t="s">
        <v>271</v>
      </c>
      <c r="I198" s="205">
        <v>0.78</v>
      </c>
      <c r="J198" s="203">
        <f t="shared" si="72"/>
        <v>0.38479185143902267</v>
      </c>
      <c r="K198" s="180">
        <f t="shared" ca="1" si="73"/>
        <v>1.2545616013053775</v>
      </c>
      <c r="L198" s="204">
        <f t="shared" si="74"/>
        <v>0.7990225445246244</v>
      </c>
      <c r="M198" s="196">
        <v>0.1</v>
      </c>
      <c r="N198" s="204">
        <f t="shared" ca="1" si="75"/>
        <v>0.12345070070691207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</row>
    <row r="199" spans="1:49">
      <c r="A199" s="206" t="s">
        <v>303</v>
      </c>
      <c r="B199" s="175" t="s">
        <v>54</v>
      </c>
      <c r="C199" s="176">
        <v>3.7798421060749113E-3</v>
      </c>
      <c r="D199" s="177">
        <v>2.2172941963863844E-4</v>
      </c>
      <c r="E199" s="177">
        <v>3.5710093737158291E-3</v>
      </c>
      <c r="F199" s="22"/>
      <c r="G199" s="22"/>
      <c r="H199" s="178" t="s">
        <v>273</v>
      </c>
      <c r="I199" s="205">
        <v>0.78</v>
      </c>
      <c r="J199" s="203">
        <f t="shared" si="72"/>
        <v>0.25185355838374407</v>
      </c>
      <c r="K199" s="180">
        <f t="shared" ca="1" si="73"/>
        <v>2.0970378382009205</v>
      </c>
      <c r="L199" s="204">
        <f t="shared" si="74"/>
        <v>2.1541781654788195E-2</v>
      </c>
      <c r="M199" s="196">
        <v>0.1</v>
      </c>
      <c r="N199" s="204">
        <f t="shared" ca="1" si="75"/>
        <v>3.3282515718515504E-3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</row>
    <row r="200" spans="1:49">
      <c r="A200" s="174" t="s">
        <v>304</v>
      </c>
      <c r="B200" s="175" t="s">
        <v>87</v>
      </c>
      <c r="C200" s="176">
        <v>0</v>
      </c>
      <c r="D200" s="177">
        <v>0</v>
      </c>
      <c r="E200" s="177">
        <v>0</v>
      </c>
      <c r="F200" s="22"/>
      <c r="G200" s="22"/>
      <c r="H200" s="178" t="s">
        <v>275</v>
      </c>
      <c r="I200" s="205">
        <v>0.78</v>
      </c>
      <c r="J200" s="203">
        <f t="shared" si="72"/>
        <v>0.44955630173238309</v>
      </c>
      <c r="K200" s="180">
        <f t="shared" ca="1" si="73"/>
        <v>1.2244154873293072</v>
      </c>
      <c r="L200" s="204">
        <f t="shared" si="74"/>
        <v>5.4503735035197211E-2</v>
      </c>
      <c r="M200" s="196">
        <v>0.9</v>
      </c>
      <c r="N200" s="204">
        <f t="shared" ca="1" si="75"/>
        <v>7.5788498016884767E-2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</row>
    <row r="201" spans="1:49">
      <c r="A201" s="189" t="s">
        <v>270</v>
      </c>
      <c r="B201" s="190" t="s">
        <v>270</v>
      </c>
      <c r="C201" s="191">
        <v>20.362701249168172</v>
      </c>
      <c r="D201" s="192">
        <v>3.5656740705321357</v>
      </c>
      <c r="E201" s="192">
        <v>13.50609356646417</v>
      </c>
      <c r="F201" s="22"/>
      <c r="G201" s="22"/>
      <c r="H201" s="178" t="s">
        <v>277</v>
      </c>
      <c r="I201" s="205">
        <v>0.78</v>
      </c>
      <c r="J201" s="203">
        <f t="shared" si="72"/>
        <v>0.15</v>
      </c>
      <c r="K201" s="180">
        <f t="shared" ca="1" si="73"/>
        <v>4.2</v>
      </c>
      <c r="L201" s="204">
        <f t="shared" si="74"/>
        <v>0</v>
      </c>
      <c r="M201" s="196">
        <v>0.1</v>
      </c>
      <c r="N201" s="204">
        <f t="shared" ca="1" si="75"/>
        <v>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</row>
    <row r="202" spans="1:49">
      <c r="A202" s="207" t="s">
        <v>305</v>
      </c>
      <c r="B202" s="175" t="s">
        <v>89</v>
      </c>
      <c r="C202" s="176">
        <v>0</v>
      </c>
      <c r="D202" s="177">
        <v>0</v>
      </c>
      <c r="E202" s="177">
        <v>0</v>
      </c>
      <c r="F202" s="22"/>
      <c r="G202" s="22"/>
      <c r="H202" s="178" t="s">
        <v>279</v>
      </c>
      <c r="I202" s="205">
        <v>0.78</v>
      </c>
      <c r="J202" s="203">
        <f t="shared" si="72"/>
        <v>0.15</v>
      </c>
      <c r="K202" s="180">
        <f t="shared" ca="1" si="73"/>
        <v>4.2</v>
      </c>
      <c r="L202" s="204">
        <f t="shared" si="74"/>
        <v>0</v>
      </c>
      <c r="M202" s="196">
        <v>0.1</v>
      </c>
      <c r="N202" s="204">
        <f t="shared" ca="1" si="75"/>
        <v>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</row>
    <row r="203" spans="1:49">
      <c r="A203" s="207" t="s">
        <v>306</v>
      </c>
      <c r="B203" s="175" t="s">
        <v>90</v>
      </c>
      <c r="C203" s="176">
        <v>0</v>
      </c>
      <c r="D203" s="177">
        <v>0</v>
      </c>
      <c r="E203" s="177">
        <v>0</v>
      </c>
      <c r="F203" s="22"/>
      <c r="G203" s="22"/>
      <c r="H203" s="178" t="s">
        <v>281</v>
      </c>
      <c r="I203" s="205">
        <v>0.78</v>
      </c>
      <c r="J203" s="203">
        <f t="shared" si="72"/>
        <v>0.30961190758576812</v>
      </c>
      <c r="K203" s="180">
        <f t="shared" ca="1" si="73"/>
        <v>1.6506346363286124</v>
      </c>
      <c r="L203" s="204">
        <f t="shared" si="74"/>
        <v>38.491593250724371</v>
      </c>
      <c r="M203" s="196">
        <v>0</v>
      </c>
      <c r="N203" s="204">
        <f t="shared" ca="1" si="75"/>
        <v>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</row>
    <row r="204" spans="1:49">
      <c r="A204" s="207" t="s">
        <v>307</v>
      </c>
      <c r="B204" s="175" t="s">
        <v>91</v>
      </c>
      <c r="C204" s="176">
        <v>0</v>
      </c>
      <c r="D204" s="177">
        <v>0</v>
      </c>
      <c r="E204" s="177">
        <v>0</v>
      </c>
      <c r="F204" s="22"/>
      <c r="G204" s="22"/>
      <c r="H204" s="178" t="s">
        <v>283</v>
      </c>
      <c r="I204" s="205">
        <v>0.8</v>
      </c>
      <c r="J204" s="203">
        <f t="shared" si="72"/>
        <v>0.15</v>
      </c>
      <c r="K204" s="180">
        <f t="shared" ca="1" si="73"/>
        <v>4.3333333333333339</v>
      </c>
      <c r="L204" s="204">
        <f t="shared" si="74"/>
        <v>0</v>
      </c>
      <c r="M204" s="196">
        <v>0.1</v>
      </c>
      <c r="N204" s="204">
        <f t="shared" ca="1" si="75"/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</row>
    <row r="205" spans="1:49">
      <c r="A205" s="207" t="s">
        <v>308</v>
      </c>
      <c r="B205" s="175" t="s">
        <v>92</v>
      </c>
      <c r="C205" s="176">
        <v>0</v>
      </c>
      <c r="D205" s="177">
        <v>0</v>
      </c>
      <c r="E205" s="177">
        <v>0</v>
      </c>
      <c r="F205" s="22"/>
      <c r="G205" s="22"/>
      <c r="H205" t="s">
        <v>309</v>
      </c>
      <c r="J205" s="208">
        <f>SUMPRODUCT(J190:J204,I172:I186)</f>
        <v>36.707268098889145</v>
      </c>
      <c r="L205" s="208">
        <f>SUM(L190:L204)</f>
        <v>58.898295437967064</v>
      </c>
      <c r="M205" s="6" t="s">
        <v>310</v>
      </c>
      <c r="N205" s="208">
        <f>MIN(MAX(0,L205-K187),SUM(N190:N204))</f>
        <v>5.6828191561706376E-3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</row>
    <row r="206" spans="1:49">
      <c r="A206" s="207" t="s">
        <v>311</v>
      </c>
      <c r="B206" s="175" t="s">
        <v>93</v>
      </c>
      <c r="C206" s="176">
        <v>0</v>
      </c>
      <c r="D206" s="177">
        <v>0</v>
      </c>
      <c r="E206" s="177">
        <v>0</v>
      </c>
      <c r="F206" s="22"/>
      <c r="G206" s="22"/>
      <c r="J206" t="s">
        <v>312</v>
      </c>
      <c r="L206" s="208">
        <f>SUM(K172:K186)</f>
        <v>58.892612618810894</v>
      </c>
      <c r="M206" s="6" t="s">
        <v>313</v>
      </c>
      <c r="N206" s="208">
        <f>MAX(0,O174-N205)</f>
        <v>2.5171698339910296</v>
      </c>
      <c r="P206" s="200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</row>
    <row r="207" spans="1:49">
      <c r="A207" s="209" t="s">
        <v>314</v>
      </c>
      <c r="B207" s="190" t="s">
        <v>94</v>
      </c>
      <c r="C207" s="191">
        <v>0</v>
      </c>
      <c r="D207" s="192">
        <v>0</v>
      </c>
      <c r="E207" s="192">
        <v>0</v>
      </c>
      <c r="F207" s="22"/>
      <c r="G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</row>
    <row r="208" spans="1:49">
      <c r="A208" s="210"/>
      <c r="B208" s="190" t="s">
        <v>315</v>
      </c>
      <c r="C208" s="191">
        <f>SUM(C202:C207)+C201+C196+C190+C180</f>
        <v>116.07955733781307</v>
      </c>
      <c r="D208" s="192">
        <f>SUM(D202:D207)+D201+D196+D190+D180</f>
        <v>38.60270824605243</v>
      </c>
      <c r="E208" s="192">
        <f>SUM(E202:E207)+E201+E196+E190+E180</f>
        <v>58.892612618810901</v>
      </c>
      <c r="F208" s="22"/>
      <c r="G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</row>
    <row r="210" spans="1:1">
      <c r="A210" t="s">
        <v>669</v>
      </c>
    </row>
  </sheetData>
  <phoneticPr fontId="38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103"/>
  <sheetViews>
    <sheetView zoomScale="80" workbookViewId="0">
      <selection activeCell="D129" sqref="D129"/>
    </sheetView>
  </sheetViews>
  <sheetFormatPr defaultColWidth="9.140625" defaultRowHeight="12.75"/>
  <cols>
    <col min="1" max="1" width="16.28515625" customWidth="1"/>
    <col min="2" max="2" width="19" customWidth="1"/>
    <col min="6" max="6" width="8.5703125" customWidth="1"/>
  </cols>
  <sheetData>
    <row r="1" spans="1:45">
      <c r="D1" s="150"/>
      <c r="J1" s="34"/>
      <c r="K1" s="34"/>
      <c r="L1" s="34"/>
      <c r="M1" s="34"/>
      <c r="N1" s="34"/>
      <c r="O1" s="34"/>
      <c r="P1" s="34"/>
      <c r="Q1" s="90"/>
    </row>
    <row r="2" spans="1:45">
      <c r="D2" s="150"/>
      <c r="J2" s="34"/>
      <c r="K2" s="34"/>
      <c r="L2" s="34"/>
      <c r="M2" s="34"/>
      <c r="N2" s="34"/>
      <c r="O2" s="34"/>
      <c r="P2" s="34"/>
      <c r="Q2" s="90"/>
    </row>
    <row r="3" spans="1:45" ht="18">
      <c r="A3" s="15" t="s">
        <v>663</v>
      </c>
      <c r="C3" s="11"/>
      <c r="D3" s="150"/>
      <c r="E3" s="11"/>
      <c r="F3" s="228"/>
      <c r="G3" s="34"/>
      <c r="H3" s="34"/>
      <c r="I3" s="51"/>
      <c r="J3" s="51"/>
      <c r="K3" s="34"/>
      <c r="L3" s="34"/>
      <c r="M3" s="34"/>
      <c r="N3" s="34"/>
      <c r="O3" s="34"/>
      <c r="P3" s="34"/>
      <c r="Q3" s="55"/>
    </row>
    <row r="4" spans="1:45">
      <c r="A4" s="90"/>
      <c r="D4" s="314"/>
      <c r="F4" s="228"/>
      <c r="G4" s="57"/>
      <c r="H4" s="57"/>
      <c r="I4" s="57"/>
      <c r="J4" s="57"/>
      <c r="K4" s="57"/>
      <c r="L4" s="48"/>
      <c r="M4" s="48"/>
      <c r="N4" s="48"/>
      <c r="O4" s="48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88"/>
      <c r="AQ4" s="88"/>
      <c r="AR4" s="57"/>
      <c r="AS4" s="57"/>
    </row>
    <row r="5" spans="1:45">
      <c r="B5" s="318"/>
      <c r="C5" s="225"/>
      <c r="D5" s="225"/>
      <c r="E5" s="225"/>
      <c r="F5" s="228"/>
      <c r="G5" s="226"/>
      <c r="H5" s="226"/>
      <c r="I5" s="34"/>
      <c r="J5" s="226"/>
      <c r="K5" s="226"/>
      <c r="L5" s="55"/>
      <c r="M5" s="55"/>
      <c r="N5" s="55"/>
      <c r="O5" s="55"/>
      <c r="P5" s="55"/>
      <c r="AR5" s="55"/>
    </row>
    <row r="6" spans="1:45">
      <c r="A6" s="90"/>
      <c r="D6" s="314"/>
      <c r="F6" s="228"/>
      <c r="G6" s="57"/>
      <c r="H6" s="57"/>
      <c r="I6" s="57"/>
      <c r="J6" s="48"/>
      <c r="K6" s="48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88"/>
      <c r="AQ6" s="88"/>
      <c r="AR6" s="57"/>
      <c r="AS6" s="57"/>
    </row>
    <row r="7" spans="1:45" ht="18">
      <c r="A7" s="56" t="s">
        <v>1090</v>
      </c>
      <c r="B7" s="19"/>
      <c r="C7" s="19"/>
      <c r="D7" s="19"/>
      <c r="E7" s="19"/>
      <c r="F7" s="232" t="str">
        <f>"~FI_T: "&amp;Region</f>
        <v>~FI_T: FIN</v>
      </c>
      <c r="I7" s="51"/>
    </row>
    <row r="8" spans="1:45" ht="34.5" thickBot="1">
      <c r="A8" s="619" t="s">
        <v>529</v>
      </c>
      <c r="B8" s="619" t="s">
        <v>530</v>
      </c>
      <c r="C8" s="234" t="s">
        <v>1091</v>
      </c>
      <c r="D8" s="234" t="s">
        <v>531</v>
      </c>
      <c r="E8" s="234" t="s">
        <v>532</v>
      </c>
      <c r="F8" s="234" t="s">
        <v>545</v>
      </c>
      <c r="G8" s="235" t="str">
        <f ca="1">"\I:IEA NUMBER "&amp;BaseYear</f>
        <v>\I:IEA NUMBER 2010</v>
      </c>
      <c r="H8" s="235" t="str">
        <f ca="1">"\I:IEA NUMBER "&amp;Auxyear</f>
        <v>\I:IEA NUMBER 2017</v>
      </c>
      <c r="I8" s="235" t="s">
        <v>534</v>
      </c>
      <c r="J8" s="570" t="str">
        <f ca="1">"FLO_EMIS~"&amp;BaseYear</f>
        <v>FLO_EMIS~2010</v>
      </c>
      <c r="K8" s="570" t="str">
        <f ca="1">"FLO_EMIS~"&amp;Auxyear</f>
        <v>FLO_EMIS~2017</v>
      </c>
      <c r="L8" s="570" t="s">
        <v>536</v>
      </c>
      <c r="M8" s="570" t="s">
        <v>537</v>
      </c>
      <c r="N8" s="570" t="str">
        <f ca="1">"ACT_BND~UP~"&amp;BaseYear</f>
        <v>ACT_BND~UP~2010</v>
      </c>
      <c r="O8" s="570" t="str">
        <f ca="1">"ACT_BND~UP~"&amp;Auxyear</f>
        <v>ACT_BND~UP~2017</v>
      </c>
      <c r="P8" s="570" t="s">
        <v>1092</v>
      </c>
      <c r="Q8" s="570" t="s">
        <v>949</v>
      </c>
      <c r="R8" s="248"/>
      <c r="S8" s="248"/>
      <c r="T8" s="248"/>
      <c r="U8" s="248"/>
      <c r="V8" s="248"/>
      <c r="W8" s="248"/>
      <c r="X8" s="248"/>
      <c r="Y8" s="248"/>
      <c r="Z8" s="248"/>
      <c r="AA8" s="248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</row>
    <row r="9" spans="1:45">
      <c r="A9" s="184" t="s">
        <v>1093</v>
      </c>
      <c r="B9" s="30" t="s">
        <v>1094</v>
      </c>
      <c r="C9" s="107" t="str">
        <f ca="1">IF(1,AuxData!$C$97,"")</f>
        <v>CONHCO</v>
      </c>
      <c r="D9" s="30" t="s">
        <v>829</v>
      </c>
      <c r="E9" s="107" t="str">
        <f t="shared" ref="E9:E40" si="0">IF(OR(G9&lt;&gt;0,H9&lt;&gt;0),C9,"")</f>
        <v>CONHCO</v>
      </c>
      <c r="F9" s="107" t="str">
        <f t="shared" ref="F9:F40" si="1">IF(LEN(E9),D$9,"")</f>
        <v>UPXREFO</v>
      </c>
      <c r="G9" s="79">
        <f ca="1">IEAData!$C$105</f>
        <v>26.101348559999998</v>
      </c>
      <c r="H9" s="79">
        <f ca="1">AuxData!$C$105</f>
        <v>11.605319700000001</v>
      </c>
      <c r="I9" s="79">
        <v>1</v>
      </c>
      <c r="J9" s="40">
        <f t="shared" ref="J9:J40" si="2">IF(LEN($E9),IF(ABS(G9)&gt;0.0005,G9,0),"")</f>
        <v>26.101348559999998</v>
      </c>
      <c r="K9" s="40">
        <f t="shared" ref="K9:K40" si="3">IF(LEN($E9),IF(ABS(H9)&gt;0.0005,H9,0),"")</f>
        <v>11.605319700000001</v>
      </c>
      <c r="L9" s="79">
        <v>1</v>
      </c>
      <c r="M9" s="79">
        <v>50</v>
      </c>
      <c r="N9" s="707">
        <v>1</v>
      </c>
      <c r="O9" s="707">
        <v>1</v>
      </c>
      <c r="P9" s="707">
        <v>0</v>
      </c>
      <c r="Q9" s="707">
        <f>P9</f>
        <v>0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</row>
    <row r="10" spans="1:45">
      <c r="A10" s="107"/>
      <c r="B10" s="107"/>
      <c r="C10" s="30" t="str">
        <f ca="1">IF(1,AuxData!$D$97,"")</f>
        <v>CONBCO</v>
      </c>
      <c r="D10" s="30"/>
      <c r="E10" s="107" t="str">
        <f t="shared" si="0"/>
        <v>CONBCO</v>
      </c>
      <c r="F10" s="107" t="str">
        <f t="shared" si="1"/>
        <v>UPXREFO</v>
      </c>
      <c r="G10" s="79">
        <f ca="1">IEAData!$D$105</f>
        <v>19.503663516</v>
      </c>
      <c r="H10" s="79">
        <f ca="1">AuxData!$D$105</f>
        <v>22.872576299999999</v>
      </c>
      <c r="I10" s="79"/>
      <c r="J10" s="40">
        <f t="shared" si="2"/>
        <v>19.503663516</v>
      </c>
      <c r="K10" s="40">
        <f t="shared" si="3"/>
        <v>22.872576299999999</v>
      </c>
      <c r="L10" s="79"/>
      <c r="M10" s="79"/>
      <c r="N10" s="708"/>
      <c r="O10" s="708"/>
      <c r="P10" s="708"/>
      <c r="Q10" s="708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</row>
    <row r="11" spans="1:45">
      <c r="A11" s="107"/>
      <c r="B11" s="107"/>
      <c r="C11" s="30" t="str">
        <f ca="1">IF(1,AuxData!$E$97,"")</f>
        <v>CONOVC</v>
      </c>
      <c r="D11" s="30"/>
      <c r="E11" s="107" t="str">
        <f t="shared" si="0"/>
        <v>CONOVC</v>
      </c>
      <c r="F11" s="107" t="str">
        <f t="shared" si="1"/>
        <v>UPXREFO</v>
      </c>
      <c r="G11" s="79">
        <f ca="1">IEAData!$E$105</f>
        <v>0.20511133200000001</v>
      </c>
      <c r="H11" s="79">
        <f ca="1">AuxData!$E$105</f>
        <v>-1.4064005000000002</v>
      </c>
      <c r="I11" s="79"/>
      <c r="J11" s="40">
        <f t="shared" si="2"/>
        <v>0.20511133200000001</v>
      </c>
      <c r="K11" s="40">
        <f t="shared" si="3"/>
        <v>-1.4064005000000002</v>
      </c>
      <c r="L11" s="79"/>
      <c r="M11" s="79"/>
      <c r="N11" s="708"/>
      <c r="O11" s="708"/>
      <c r="P11" s="708"/>
      <c r="Q11" s="708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</row>
    <row r="12" spans="1:45">
      <c r="A12" s="107"/>
      <c r="B12" s="107"/>
      <c r="C12" s="107" t="str">
        <f ca="1">IF(1,AuxData!$K$97,"")</f>
        <v>BIOCHR</v>
      </c>
      <c r="D12" s="30"/>
      <c r="E12" s="107" t="str">
        <f t="shared" si="0"/>
        <v/>
      </c>
      <c r="F12" s="107" t="str">
        <f t="shared" si="1"/>
        <v/>
      </c>
      <c r="G12" s="79">
        <f ca="1">IEAData!$K$105</f>
        <v>0</v>
      </c>
      <c r="H12" s="79">
        <f ca="1">AuxData!$K$105</f>
        <v>0</v>
      </c>
      <c r="I12" s="79"/>
      <c r="J12" s="40" t="str">
        <f t="shared" si="2"/>
        <v/>
      </c>
      <c r="K12" s="40" t="str">
        <f t="shared" si="3"/>
        <v/>
      </c>
      <c r="L12" s="79"/>
      <c r="M12" s="79"/>
      <c r="N12" s="708"/>
      <c r="O12" s="708"/>
      <c r="P12" s="708"/>
      <c r="Q12" s="708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</row>
    <row r="13" spans="1:45">
      <c r="A13" s="107"/>
      <c r="B13" s="107"/>
      <c r="C13" s="30" t="str">
        <f ca="1">IF(1,AuxData!$L$97,"")</f>
        <v>BIOBSL</v>
      </c>
      <c r="D13" s="30"/>
      <c r="E13" s="107" t="str">
        <f t="shared" si="0"/>
        <v/>
      </c>
      <c r="F13" s="107" t="str">
        <f t="shared" si="1"/>
        <v/>
      </c>
      <c r="G13" s="79">
        <f ca="1">IEAData!$L$105</f>
        <v>0</v>
      </c>
      <c r="H13" s="79">
        <f ca="1">AuxData!$L$105</f>
        <v>0</v>
      </c>
      <c r="I13" s="79"/>
      <c r="J13" s="40" t="str">
        <f t="shared" si="2"/>
        <v/>
      </c>
      <c r="K13" s="40" t="str">
        <f t="shared" si="3"/>
        <v/>
      </c>
      <c r="L13" s="79"/>
      <c r="M13" s="79"/>
      <c r="N13" s="708"/>
      <c r="O13" s="708"/>
      <c r="P13" s="708"/>
      <c r="Q13" s="708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</row>
    <row r="14" spans="1:45">
      <c r="A14" s="107"/>
      <c r="B14" s="107"/>
      <c r="C14" s="30" t="str">
        <f ca="1">IF(1,AuxData!$M$97,"")</f>
        <v>BIOBIN</v>
      </c>
      <c r="D14" s="30"/>
      <c r="E14" s="107" t="str">
        <f t="shared" si="0"/>
        <v/>
      </c>
      <c r="F14" s="107" t="str">
        <f t="shared" si="1"/>
        <v/>
      </c>
      <c r="G14" s="79">
        <f ca="1">IEAData!$M$105</f>
        <v>0</v>
      </c>
      <c r="H14" s="79">
        <f ca="1">AuxData!$M$105</f>
        <v>0</v>
      </c>
      <c r="I14" s="79"/>
      <c r="J14" s="40" t="str">
        <f t="shared" si="2"/>
        <v/>
      </c>
      <c r="K14" s="40" t="str">
        <f t="shared" si="3"/>
        <v/>
      </c>
      <c r="L14" s="79"/>
      <c r="M14" s="79"/>
      <c r="N14" s="708"/>
      <c r="O14" s="708"/>
      <c r="P14" s="708"/>
      <c r="Q14" s="708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</row>
    <row r="15" spans="1:45">
      <c r="A15" s="107"/>
      <c r="B15" s="107"/>
      <c r="C15" s="30" t="str">
        <f ca="1">IF(1,AuxData!$O$97,"")</f>
        <v>BIOGAS</v>
      </c>
      <c r="D15" s="30"/>
      <c r="E15" s="107" t="str">
        <f t="shared" si="0"/>
        <v/>
      </c>
      <c r="F15" s="107" t="str">
        <f t="shared" si="1"/>
        <v/>
      </c>
      <c r="G15" s="79">
        <f ca="1">IEAData!$N$105</f>
        <v>0</v>
      </c>
      <c r="H15" s="79">
        <f ca="1">AuxData!$N$105</f>
        <v>0</v>
      </c>
      <c r="I15" s="79"/>
      <c r="J15" s="40" t="str">
        <f t="shared" si="2"/>
        <v/>
      </c>
      <c r="K15" s="40" t="str">
        <f t="shared" si="3"/>
        <v/>
      </c>
      <c r="L15" s="40"/>
      <c r="M15" s="79"/>
      <c r="N15" s="708"/>
      <c r="O15" s="708"/>
      <c r="P15" s="708"/>
      <c r="Q15" s="708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</row>
    <row r="16" spans="1:45">
      <c r="A16" s="107"/>
      <c r="B16" s="107"/>
      <c r="C16" s="107" t="str">
        <f ca="1">IF(1,AuxData!$P$97,"")</f>
        <v>BIOLIQ</v>
      </c>
      <c r="D16" s="30"/>
      <c r="E16" s="107" t="str">
        <f t="shared" si="0"/>
        <v>BIOLIQ</v>
      </c>
      <c r="F16" s="107" t="str">
        <f t="shared" si="1"/>
        <v>UPXREFO</v>
      </c>
      <c r="G16" s="79">
        <f ca="1">IEAData!$P$105</f>
        <v>0</v>
      </c>
      <c r="H16" s="79">
        <f ca="1">AuxData!$P$105</f>
        <v>-3.4751000000000005E-3</v>
      </c>
      <c r="I16" s="79"/>
      <c r="J16" s="40">
        <f t="shared" si="2"/>
        <v>0</v>
      </c>
      <c r="K16" s="40">
        <f t="shared" si="3"/>
        <v>-3.4751000000000005E-3</v>
      </c>
      <c r="L16" s="79"/>
      <c r="M16" s="79"/>
      <c r="N16" s="708"/>
      <c r="O16" s="708"/>
      <c r="P16" s="708"/>
      <c r="Q16" s="708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</row>
    <row r="17" spans="1:45">
      <c r="A17" s="107"/>
      <c r="B17" s="674"/>
      <c r="C17" s="30" t="str">
        <f ca="1">IF(1,AuxData!$R$97,"")</f>
        <v>GANNGA</v>
      </c>
      <c r="D17" s="30"/>
      <c r="E17" s="107" t="str">
        <f t="shared" si="0"/>
        <v>GANNGA</v>
      </c>
      <c r="F17" s="107" t="str">
        <f t="shared" si="1"/>
        <v>UPXREFO</v>
      </c>
      <c r="G17" s="79">
        <f ca="1">IEAData!$R$105</f>
        <v>0</v>
      </c>
      <c r="H17" s="79">
        <f ca="1">AuxData!$R$105</f>
        <v>0.89999869999999993</v>
      </c>
      <c r="I17" s="79"/>
      <c r="J17" s="40">
        <f t="shared" si="2"/>
        <v>0</v>
      </c>
      <c r="K17" s="40">
        <f t="shared" si="3"/>
        <v>0.89999869999999993</v>
      </c>
      <c r="L17" s="79"/>
      <c r="M17" s="79"/>
      <c r="N17" s="708"/>
      <c r="O17" s="708"/>
      <c r="P17" s="708"/>
      <c r="Q17" s="708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</row>
    <row r="18" spans="1:45">
      <c r="A18" s="709"/>
      <c r="B18" s="710"/>
      <c r="C18" s="107" t="str">
        <f ca="1">IF(1,AuxData!$T$97,"")</f>
        <v>OINCRH</v>
      </c>
      <c r="D18" s="30"/>
      <c r="E18" s="107" t="str">
        <f t="shared" si="0"/>
        <v>OINCRH</v>
      </c>
      <c r="F18" s="107" t="str">
        <f t="shared" si="1"/>
        <v>UPXREFO</v>
      </c>
      <c r="G18" s="79">
        <f ca="1">IEAData!$T$105</f>
        <v>-5.1192003599999998</v>
      </c>
      <c r="H18" s="79">
        <f ca="1">AuxData!$T$105</f>
        <v>5.8017618000000004</v>
      </c>
      <c r="I18" s="103"/>
      <c r="J18" s="40">
        <f t="shared" si="2"/>
        <v>-5.1192003599999998</v>
      </c>
      <c r="K18" s="40">
        <f t="shared" si="3"/>
        <v>5.8017618000000004</v>
      </c>
      <c r="L18" s="103"/>
      <c r="M18" s="103"/>
      <c r="N18" s="711"/>
      <c r="O18" s="711"/>
      <c r="P18" s="711"/>
      <c r="Q18" s="711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</row>
    <row r="19" spans="1:45">
      <c r="A19" s="709"/>
      <c r="B19" s="710"/>
      <c r="C19" s="107" t="str">
        <f ca="1">IF(1,AuxData!$V$97,"")</f>
        <v>OINNGL</v>
      </c>
      <c r="D19" s="30"/>
      <c r="E19" s="107" t="str">
        <f t="shared" si="0"/>
        <v/>
      </c>
      <c r="F19" s="107" t="str">
        <f t="shared" si="1"/>
        <v/>
      </c>
      <c r="G19" s="79">
        <f ca="1">IEAData!$V$105</f>
        <v>0</v>
      </c>
      <c r="H19" s="79">
        <f ca="1">AuxData!$V$105</f>
        <v>0</v>
      </c>
      <c r="I19" s="103"/>
      <c r="J19" s="40" t="str">
        <f t="shared" si="2"/>
        <v/>
      </c>
      <c r="K19" s="40" t="str">
        <f t="shared" si="3"/>
        <v/>
      </c>
      <c r="L19" s="103"/>
      <c r="M19" s="103"/>
      <c r="N19" s="711"/>
      <c r="O19" s="711"/>
      <c r="P19" s="711"/>
      <c r="Q19" s="711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</row>
    <row r="20" spans="1:45">
      <c r="A20" s="709"/>
      <c r="B20" s="710"/>
      <c r="C20" s="107" t="str">
        <f ca="1">IF(1,AuxData!$W$97,"")</f>
        <v>OINFEE</v>
      </c>
      <c r="D20" s="30"/>
      <c r="E20" s="107" t="str">
        <f t="shared" si="0"/>
        <v>OINFEE</v>
      </c>
      <c r="F20" s="107" t="str">
        <f t="shared" si="1"/>
        <v>UPXREFO</v>
      </c>
      <c r="G20" s="79">
        <f ca="1">IEAData!$W$105</f>
        <v>-0.50995224000000006</v>
      </c>
      <c r="H20" s="79">
        <f ca="1">AuxData!$W$105</f>
        <v>2.5499997999999997</v>
      </c>
      <c r="I20" s="103"/>
      <c r="J20" s="40">
        <f t="shared" si="2"/>
        <v>-0.50995224000000006</v>
      </c>
      <c r="K20" s="40">
        <f t="shared" si="3"/>
        <v>2.5499997999999997</v>
      </c>
      <c r="L20" s="103"/>
      <c r="M20" s="103"/>
      <c r="N20" s="711"/>
      <c r="O20" s="711"/>
      <c r="P20" s="711"/>
      <c r="Q20" s="711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</row>
    <row r="21" spans="1:45">
      <c r="A21" s="709"/>
      <c r="B21" s="674"/>
      <c r="C21" s="30" t="str">
        <f ca="1">IF(1,AuxData!$X$97,"")</f>
        <v>OINADD</v>
      </c>
      <c r="D21" s="30"/>
      <c r="E21" s="107" t="str">
        <f t="shared" si="0"/>
        <v/>
      </c>
      <c r="F21" s="107" t="str">
        <f t="shared" si="1"/>
        <v/>
      </c>
      <c r="G21" s="79">
        <f ca="1">IEAData!$X$105</f>
        <v>0</v>
      </c>
      <c r="H21" s="79">
        <f ca="1">AuxData!$X$105</f>
        <v>0</v>
      </c>
      <c r="I21" s="103"/>
      <c r="J21" s="40" t="str">
        <f t="shared" si="2"/>
        <v/>
      </c>
      <c r="K21" s="40" t="str">
        <f t="shared" si="3"/>
        <v/>
      </c>
      <c r="L21" s="103"/>
      <c r="M21" s="103"/>
      <c r="N21" s="711"/>
      <c r="O21" s="711"/>
      <c r="P21" s="711"/>
      <c r="Q21" s="711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</row>
    <row r="22" spans="1:45">
      <c r="A22" s="709"/>
      <c r="B22" s="710"/>
      <c r="C22" s="107" t="str">
        <f ca="1">IF(1,AuxData!$Y$97,"")</f>
        <v>OINNCR</v>
      </c>
      <c r="D22" s="30"/>
      <c r="E22" s="107" t="str">
        <f t="shared" si="0"/>
        <v/>
      </c>
      <c r="F22" s="107" t="str">
        <f t="shared" si="1"/>
        <v/>
      </c>
      <c r="G22" s="79">
        <f ca="1">IEAData!$Y$105</f>
        <v>0</v>
      </c>
      <c r="H22" s="79">
        <f ca="1">AuxData!$Y$105</f>
        <v>0</v>
      </c>
      <c r="I22" s="103"/>
      <c r="J22" s="40" t="str">
        <f t="shared" si="2"/>
        <v/>
      </c>
      <c r="K22" s="40" t="str">
        <f t="shared" si="3"/>
        <v/>
      </c>
      <c r="L22" s="103"/>
      <c r="M22" s="103"/>
      <c r="N22" s="711"/>
      <c r="O22" s="711"/>
      <c r="P22" s="711"/>
      <c r="Q22" s="71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</row>
    <row r="23" spans="1:45">
      <c r="A23" s="107"/>
      <c r="B23" s="674"/>
      <c r="C23" s="30" t="str">
        <f ca="1">IF(1,AuxData!$Z$97,"")</f>
        <v>GANRFG</v>
      </c>
      <c r="D23" s="30"/>
      <c r="E23" s="107" t="str">
        <f t="shared" si="0"/>
        <v/>
      </c>
      <c r="F23" s="107" t="str">
        <f t="shared" si="1"/>
        <v/>
      </c>
      <c r="G23" s="79">
        <f ca="1">IEAData!$Z$105</f>
        <v>0</v>
      </c>
      <c r="H23" s="79">
        <f ca="1">AuxData!$Z$105</f>
        <v>0</v>
      </c>
      <c r="I23" s="79"/>
      <c r="J23" s="40" t="str">
        <f t="shared" si="2"/>
        <v/>
      </c>
      <c r="K23" s="40" t="str">
        <f t="shared" si="3"/>
        <v/>
      </c>
      <c r="L23" s="79"/>
      <c r="M23" s="79"/>
      <c r="N23" s="708"/>
      <c r="O23" s="708"/>
      <c r="P23" s="708"/>
      <c r="Q23" s="708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</row>
    <row r="24" spans="1:45">
      <c r="A24" s="107"/>
      <c r="B24" s="677"/>
      <c r="C24" s="107" t="str">
        <f ca="1">IF(1,AuxData!$AA$97,"")</f>
        <v>GANETH</v>
      </c>
      <c r="D24" s="30"/>
      <c r="E24" s="107" t="str">
        <f t="shared" si="0"/>
        <v/>
      </c>
      <c r="F24" s="107" t="str">
        <f t="shared" si="1"/>
        <v/>
      </c>
      <c r="G24" s="79">
        <f ca="1">IEAData!$AA$105</f>
        <v>0</v>
      </c>
      <c r="H24" s="79">
        <f ca="1">AuxData!$AA$105</f>
        <v>0</v>
      </c>
      <c r="I24" s="79"/>
      <c r="J24" s="40" t="str">
        <f t="shared" si="2"/>
        <v/>
      </c>
      <c r="K24" s="40" t="str">
        <f t="shared" si="3"/>
        <v/>
      </c>
      <c r="L24" s="79"/>
      <c r="M24" s="79"/>
      <c r="N24" s="708"/>
      <c r="O24" s="708"/>
      <c r="P24" s="708"/>
      <c r="Q24" s="708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</row>
    <row r="25" spans="1:45">
      <c r="A25" s="107"/>
      <c r="B25" s="677"/>
      <c r="C25" s="107" t="str">
        <f ca="1">IF(1,AuxData!$AB$97,"")</f>
        <v>OINLPG</v>
      </c>
      <c r="D25" s="30"/>
      <c r="E25" s="107" t="str">
        <f t="shared" si="0"/>
        <v>OINLPG</v>
      </c>
      <c r="F25" s="107" t="str">
        <f t="shared" si="1"/>
        <v>UPXREFO</v>
      </c>
      <c r="G25" s="79">
        <f ca="1">IEAData!$AB$105</f>
        <v>0.64401357599999998</v>
      </c>
      <c r="H25" s="79">
        <f ca="1">AuxData!$AB$105</f>
        <v>-4.7380006000000003</v>
      </c>
      <c r="I25" s="79"/>
      <c r="J25" s="40">
        <f t="shared" si="2"/>
        <v>0.64401357599999998</v>
      </c>
      <c r="K25" s="40">
        <f t="shared" si="3"/>
        <v>-4.7380006000000003</v>
      </c>
      <c r="L25" s="79"/>
      <c r="M25" s="79"/>
      <c r="N25" s="708"/>
      <c r="O25" s="708"/>
      <c r="P25" s="708"/>
      <c r="Q25" s="708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</row>
    <row r="26" spans="1:45">
      <c r="A26" s="107"/>
      <c r="B26" s="677"/>
      <c r="C26" s="107" t="str">
        <f ca="1">IF(1,AuxData!$AC$97,"")</f>
        <v>OINGSL</v>
      </c>
      <c r="D26" s="30"/>
      <c r="E26" s="107" t="str">
        <f t="shared" si="0"/>
        <v>OINGSL</v>
      </c>
      <c r="F26" s="107" t="str">
        <f t="shared" si="1"/>
        <v>UPXREFO</v>
      </c>
      <c r="G26" s="79">
        <f ca="1">IEAData!$AC$105</f>
        <v>9.1960131240000003</v>
      </c>
      <c r="H26" s="79">
        <f ca="1">AuxData!$AC$105</f>
        <v>-0.5280014999999999</v>
      </c>
      <c r="I26" s="79"/>
      <c r="J26" s="40">
        <f t="shared" si="2"/>
        <v>9.1960131240000003</v>
      </c>
      <c r="K26" s="40">
        <f t="shared" si="3"/>
        <v>-0.5280014999999999</v>
      </c>
      <c r="L26" s="79"/>
      <c r="M26" s="79"/>
      <c r="N26" s="708"/>
      <c r="O26" s="708"/>
      <c r="P26" s="708"/>
      <c r="Q26" s="708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</row>
    <row r="27" spans="1:45">
      <c r="A27" s="107"/>
      <c r="B27" s="674"/>
      <c r="C27" s="30" t="str">
        <f ca="1">IF(1,AuxData!$AD$97,"")</f>
        <v>OINAVG</v>
      </c>
      <c r="D27" s="30"/>
      <c r="E27" s="107" t="str">
        <f t="shared" si="0"/>
        <v>OINAVG</v>
      </c>
      <c r="F27" s="107" t="str">
        <f t="shared" si="1"/>
        <v>UPXREFO</v>
      </c>
      <c r="G27" s="79">
        <f ca="1">IEAData!$AD$105</f>
        <v>4.4003267999999998E-2</v>
      </c>
      <c r="H27" s="79">
        <f ca="1">AuxData!$AD$105</f>
        <v>0</v>
      </c>
      <c r="I27" s="79"/>
      <c r="J27" s="40">
        <f t="shared" si="2"/>
        <v>4.4003267999999998E-2</v>
      </c>
      <c r="K27" s="40">
        <f t="shared" si="3"/>
        <v>0</v>
      </c>
      <c r="L27" s="79"/>
      <c r="M27" s="79"/>
      <c r="N27" s="708"/>
      <c r="O27" s="708"/>
      <c r="P27" s="708"/>
      <c r="Q27" s="708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</row>
    <row r="28" spans="1:45">
      <c r="A28" s="107"/>
      <c r="B28" s="107"/>
      <c r="C28" s="30" t="str">
        <f ca="1">IF(1,AuxData!$AE$97,"")</f>
        <v>OINJTG</v>
      </c>
      <c r="D28" s="30"/>
      <c r="E28" s="107" t="str">
        <f t="shared" si="0"/>
        <v/>
      </c>
      <c r="F28" s="107" t="str">
        <f t="shared" si="1"/>
        <v/>
      </c>
      <c r="G28" s="79">
        <f ca="1">IEAData!$AE$105</f>
        <v>0</v>
      </c>
      <c r="H28" s="79">
        <f ca="1">AuxData!$AE$105</f>
        <v>0</v>
      </c>
      <c r="I28" s="79"/>
      <c r="J28" s="40" t="str">
        <f t="shared" si="2"/>
        <v/>
      </c>
      <c r="K28" s="40" t="str">
        <f t="shared" si="3"/>
        <v/>
      </c>
      <c r="L28" s="79"/>
      <c r="M28" s="79"/>
      <c r="N28" s="708"/>
      <c r="O28" s="708"/>
      <c r="P28" s="708"/>
      <c r="Q28" s="708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</row>
    <row r="29" spans="1:45">
      <c r="A29" s="107"/>
      <c r="B29" s="107"/>
      <c r="C29" s="107" t="str">
        <f ca="1">IF(1,AuxData!$AF$97,"")</f>
        <v>OINJTK</v>
      </c>
      <c r="D29" s="30"/>
      <c r="E29" s="107" t="str">
        <f t="shared" si="0"/>
        <v>OINJTK</v>
      </c>
      <c r="F29" s="107" t="str">
        <f t="shared" si="1"/>
        <v>UPXREFO</v>
      </c>
      <c r="G29" s="79">
        <f ca="1">IEAData!$AF$105</f>
        <v>1.16099964</v>
      </c>
      <c r="H29" s="79">
        <f ca="1">AuxData!$AF$105</f>
        <v>0.17199789999999998</v>
      </c>
      <c r="I29" s="79"/>
      <c r="J29" s="40">
        <f t="shared" si="2"/>
        <v>1.16099964</v>
      </c>
      <c r="K29" s="40">
        <f t="shared" si="3"/>
        <v>0.17199789999999998</v>
      </c>
      <c r="L29" s="79"/>
      <c r="M29" s="79"/>
      <c r="N29" s="708"/>
      <c r="O29" s="708"/>
      <c r="P29" s="708"/>
      <c r="Q29" s="708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</row>
    <row r="30" spans="1:45">
      <c r="A30" s="107"/>
      <c r="B30" s="107"/>
      <c r="C30" s="107" t="str">
        <f ca="1">IF(1,AuxData!$AG$97,"")</f>
        <v>OINKER</v>
      </c>
      <c r="D30" s="30"/>
      <c r="E30" s="107" t="str">
        <f t="shared" si="0"/>
        <v/>
      </c>
      <c r="F30" s="107" t="str">
        <f t="shared" si="1"/>
        <v/>
      </c>
      <c r="G30" s="79">
        <f ca="1">IEAData!$AG$105</f>
        <v>0</v>
      </c>
      <c r="H30" s="79">
        <f ca="1">AuxData!$AG$105</f>
        <v>0</v>
      </c>
      <c r="I30" s="79"/>
      <c r="J30" s="40" t="str">
        <f t="shared" si="2"/>
        <v/>
      </c>
      <c r="K30" s="40" t="str">
        <f t="shared" si="3"/>
        <v/>
      </c>
      <c r="L30" s="79"/>
      <c r="M30" s="79"/>
      <c r="N30" s="708"/>
      <c r="O30" s="708"/>
      <c r="P30" s="708"/>
      <c r="Q30" s="708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</row>
    <row r="31" spans="1:45">
      <c r="A31" s="107"/>
      <c r="B31" s="107"/>
      <c r="C31" s="107" t="str">
        <f ca="1">IF(1,AuxData!$AH$97,"")</f>
        <v>OINDST</v>
      </c>
      <c r="D31" s="30"/>
      <c r="E31" s="107" t="str">
        <f t="shared" si="0"/>
        <v>OINDST</v>
      </c>
      <c r="F31" s="107" t="str">
        <f t="shared" si="1"/>
        <v>UPXREFO</v>
      </c>
      <c r="G31" s="79">
        <f ca="1">IEAData!$AH$105</f>
        <v>23.046617412</v>
      </c>
      <c r="H31" s="79">
        <f ca="1">AuxData!$AH$105</f>
        <v>11.1186001</v>
      </c>
      <c r="I31" s="79"/>
      <c r="J31" s="40">
        <f t="shared" si="2"/>
        <v>23.046617412</v>
      </c>
      <c r="K31" s="40">
        <f t="shared" si="3"/>
        <v>11.1186001</v>
      </c>
      <c r="L31" s="79"/>
      <c r="M31" s="79"/>
      <c r="N31" s="708"/>
      <c r="O31" s="708"/>
      <c r="P31" s="708"/>
      <c r="Q31" s="708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</row>
    <row r="32" spans="1:45">
      <c r="A32" s="107"/>
      <c r="B32" s="107"/>
      <c r="C32" s="30" t="str">
        <f ca="1">IF(1,AuxData!$AI$97,"")</f>
        <v>OINHFO</v>
      </c>
      <c r="D32" s="30"/>
      <c r="E32" s="107" t="str">
        <f t="shared" si="0"/>
        <v>OINHFO</v>
      </c>
      <c r="F32" s="107" t="str">
        <f t="shared" si="1"/>
        <v>UPXREFO</v>
      </c>
      <c r="G32" s="79">
        <f ca="1">IEAData!$AI$105</f>
        <v>1.0000171800000002</v>
      </c>
      <c r="H32" s="79">
        <f ca="1">AuxData!$AI$105</f>
        <v>-0.84000189999999997</v>
      </c>
      <c r="I32" s="79"/>
      <c r="J32" s="40">
        <f t="shared" si="2"/>
        <v>1.0000171800000002</v>
      </c>
      <c r="K32" s="40">
        <f t="shared" si="3"/>
        <v>-0.84000189999999997</v>
      </c>
      <c r="L32" s="79"/>
      <c r="M32" s="79"/>
      <c r="N32" s="708"/>
      <c r="O32" s="708"/>
      <c r="P32" s="708"/>
      <c r="Q32" s="708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</row>
    <row r="33" spans="1:45">
      <c r="A33" s="107"/>
      <c r="B33" s="107"/>
      <c r="C33" s="107" t="str">
        <f ca="1">IF(1,AuxData!$AJ$97,"")</f>
        <v>OINNAP</v>
      </c>
      <c r="D33" s="30"/>
      <c r="E33" s="107" t="str">
        <f t="shared" si="0"/>
        <v>OINNAP</v>
      </c>
      <c r="F33" s="107" t="str">
        <f t="shared" si="1"/>
        <v>UPXREFO</v>
      </c>
      <c r="G33" s="79">
        <f ca="1">IEAData!$AJ$105</f>
        <v>0.22001634</v>
      </c>
      <c r="H33" s="79">
        <f ca="1">AuxData!$AJ$105</f>
        <v>-0.61599969999999993</v>
      </c>
      <c r="I33" s="79"/>
      <c r="J33" s="40">
        <f t="shared" si="2"/>
        <v>0.22001634</v>
      </c>
      <c r="K33" s="40">
        <f t="shared" si="3"/>
        <v>-0.61599969999999993</v>
      </c>
      <c r="L33" s="79"/>
      <c r="M33" s="79"/>
      <c r="N33" s="708"/>
      <c r="O33" s="708"/>
      <c r="P33" s="708"/>
      <c r="Q33" s="708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</row>
    <row r="34" spans="1:45">
      <c r="A34" s="107"/>
      <c r="B34" s="107"/>
      <c r="C34" s="107" t="str">
        <f ca="1">IF(1,AuxData!$AK$97,"")</f>
        <v>OINWSP</v>
      </c>
      <c r="D34" s="30"/>
      <c r="E34" s="107" t="str">
        <f t="shared" si="0"/>
        <v/>
      </c>
      <c r="F34" s="107" t="str">
        <f t="shared" si="1"/>
        <v/>
      </c>
      <c r="G34" s="79">
        <f ca="1">IEAData!$AK$105</f>
        <v>0</v>
      </c>
      <c r="H34" s="79">
        <f ca="1">AuxData!$AK$105</f>
        <v>0</v>
      </c>
      <c r="I34" s="79"/>
      <c r="J34" s="40" t="str">
        <f t="shared" si="2"/>
        <v/>
      </c>
      <c r="K34" s="40" t="str">
        <f t="shared" si="3"/>
        <v/>
      </c>
      <c r="L34" s="79"/>
      <c r="M34" s="79"/>
      <c r="N34" s="708"/>
      <c r="O34" s="708"/>
      <c r="P34" s="708"/>
      <c r="Q34" s="708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</row>
    <row r="35" spans="1:45">
      <c r="A35" s="107"/>
      <c r="B35" s="107"/>
      <c r="C35" s="30" t="str">
        <f ca="1">IF(1,AuxData!$AL$97,"")</f>
        <v>OINLUB</v>
      </c>
      <c r="D35" s="30"/>
      <c r="E35" s="107" t="str">
        <f t="shared" si="0"/>
        <v/>
      </c>
      <c r="F35" s="107" t="str">
        <f t="shared" si="1"/>
        <v/>
      </c>
      <c r="G35" s="79">
        <f ca="1">IEAData!$AL$105</f>
        <v>0</v>
      </c>
      <c r="H35" s="79">
        <f ca="1">AuxData!$AL$105</f>
        <v>0</v>
      </c>
      <c r="I35" s="79"/>
      <c r="J35" s="40" t="str">
        <f t="shared" si="2"/>
        <v/>
      </c>
      <c r="K35" s="40" t="str">
        <f t="shared" si="3"/>
        <v/>
      </c>
      <c r="L35" s="79"/>
      <c r="M35" s="79"/>
      <c r="N35" s="708"/>
      <c r="O35" s="708"/>
      <c r="P35" s="708"/>
      <c r="Q35" s="708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</row>
    <row r="36" spans="1:45">
      <c r="A36" s="107"/>
      <c r="B36" s="107"/>
      <c r="C36" s="107" t="str">
        <f ca="1">IF(1,AuxData!$AM$97,"")</f>
        <v>OINASP</v>
      </c>
      <c r="D36" s="30"/>
      <c r="E36" s="107" t="str">
        <f t="shared" si="0"/>
        <v/>
      </c>
      <c r="F36" s="107" t="str">
        <f t="shared" si="1"/>
        <v/>
      </c>
      <c r="G36" s="79">
        <f ca="1">IEAData!$AM$105</f>
        <v>0</v>
      </c>
      <c r="H36" s="79">
        <f ca="1">AuxData!$AM$105</f>
        <v>0</v>
      </c>
      <c r="I36" s="79"/>
      <c r="J36" s="40" t="str">
        <f t="shared" si="2"/>
        <v/>
      </c>
      <c r="K36" s="40" t="str">
        <f t="shared" si="3"/>
        <v/>
      </c>
      <c r="L36" s="79"/>
      <c r="M36" s="79"/>
      <c r="N36" s="708"/>
      <c r="O36" s="708"/>
      <c r="P36" s="708"/>
      <c r="Q36" s="708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</row>
    <row r="37" spans="1:45">
      <c r="A37" s="107"/>
      <c r="B37" s="107"/>
      <c r="C37" s="30" t="str">
        <f ca="1">IF(1,AuxData!$AN$97,"")</f>
        <v>OINWAX</v>
      </c>
      <c r="D37" s="30"/>
      <c r="E37" s="107" t="str">
        <f t="shared" si="0"/>
        <v/>
      </c>
      <c r="F37" s="107" t="str">
        <f t="shared" si="1"/>
        <v/>
      </c>
      <c r="G37" s="79">
        <f ca="1">IEAData!$AN$105</f>
        <v>0</v>
      </c>
      <c r="H37" s="79">
        <f ca="1">AuxData!$AN$105</f>
        <v>0</v>
      </c>
      <c r="I37" s="79"/>
      <c r="J37" s="40" t="str">
        <f t="shared" si="2"/>
        <v/>
      </c>
      <c r="K37" s="40" t="str">
        <f t="shared" si="3"/>
        <v/>
      </c>
      <c r="L37" s="79"/>
      <c r="M37" s="79"/>
      <c r="N37" s="708"/>
      <c r="O37" s="708"/>
      <c r="P37" s="708"/>
      <c r="Q37" s="708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</row>
    <row r="38" spans="1:45">
      <c r="A38" s="107"/>
      <c r="B38" s="107"/>
      <c r="C38" s="107" t="str">
        <f ca="1">IF(1,AuxData!$AO$97,"")</f>
        <v>OINPTC</v>
      </c>
      <c r="D38" s="30"/>
      <c r="E38" s="107" t="str">
        <f t="shared" si="0"/>
        <v/>
      </c>
      <c r="F38" s="107" t="str">
        <f t="shared" si="1"/>
        <v/>
      </c>
      <c r="G38" s="79">
        <f ca="1">IEAData!$AO$105</f>
        <v>0</v>
      </c>
      <c r="H38" s="79">
        <f ca="1">AuxData!$AO$105</f>
        <v>0</v>
      </c>
      <c r="I38" s="79"/>
      <c r="J38" s="40" t="str">
        <f t="shared" si="2"/>
        <v/>
      </c>
      <c r="K38" s="40" t="str">
        <f t="shared" si="3"/>
        <v/>
      </c>
      <c r="L38" s="79"/>
      <c r="M38" s="79"/>
      <c r="N38" s="708"/>
      <c r="O38" s="708"/>
      <c r="P38" s="708"/>
      <c r="Q38" s="708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</row>
    <row r="39" spans="1:45">
      <c r="A39" s="106"/>
      <c r="B39" s="106"/>
      <c r="C39" s="106" t="str">
        <f ca="1">IF(1,AuxData!$AP$97,"")</f>
        <v>OINNSP</v>
      </c>
      <c r="D39" s="30"/>
      <c r="E39" s="107" t="str">
        <f t="shared" si="0"/>
        <v>OINNSP</v>
      </c>
      <c r="F39" s="107" t="str">
        <f t="shared" si="1"/>
        <v>UPXREFO</v>
      </c>
      <c r="G39" s="87">
        <f ca="1">IEAData!$AP$105</f>
        <v>0</v>
      </c>
      <c r="H39" s="87">
        <f ca="1">AuxData!$AP$105</f>
        <v>4.00007E-2</v>
      </c>
      <c r="I39" s="87"/>
      <c r="J39" s="40">
        <f t="shared" si="2"/>
        <v>0</v>
      </c>
      <c r="K39" s="40">
        <f t="shared" si="3"/>
        <v>4.00007E-2</v>
      </c>
      <c r="L39" s="87"/>
      <c r="M39" s="87"/>
      <c r="N39" s="712"/>
      <c r="O39" s="712"/>
      <c r="P39" s="712"/>
      <c r="Q39" s="712"/>
      <c r="R39" s="248"/>
      <c r="S39" s="248"/>
      <c r="T39" s="248"/>
      <c r="U39" s="248"/>
      <c r="V39" s="248"/>
      <c r="W39" s="248"/>
      <c r="X39" s="248"/>
      <c r="Y39" s="248"/>
      <c r="Z39" s="248"/>
      <c r="AA39" s="248"/>
      <c r="AB39" s="248"/>
      <c r="AC39" s="248"/>
      <c r="AD39" s="248"/>
      <c r="AE39" s="248"/>
      <c r="AF39" s="248"/>
      <c r="AG39" s="248"/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</row>
    <row r="40" spans="1:45">
      <c r="A40" s="184" t="s">
        <v>1095</v>
      </c>
      <c r="B40" s="107" t="s">
        <v>1096</v>
      </c>
      <c r="C40" s="107" t="str">
        <f ca="1">IF(1,AuxData!$C$97,"")</f>
        <v>CONHCO</v>
      </c>
      <c r="D40" s="30" t="s">
        <v>829</v>
      </c>
      <c r="E40" s="107" t="str">
        <f t="shared" si="0"/>
        <v>CONHCO</v>
      </c>
      <c r="F40" s="107" t="str">
        <f t="shared" si="1"/>
        <v>UPXREFO</v>
      </c>
      <c r="G40" s="79">
        <f ca="1">IEAData!$C$107</f>
        <v>-0.43999081200000006</v>
      </c>
      <c r="H40" s="79">
        <f ca="1">AuxData!$C$107</f>
        <v>-1.2120577000000001</v>
      </c>
      <c r="I40" s="79">
        <v>1</v>
      </c>
      <c r="J40" s="40">
        <f t="shared" si="2"/>
        <v>-0.43999081200000006</v>
      </c>
      <c r="K40" s="40">
        <f t="shared" si="3"/>
        <v>-1.2120577000000001</v>
      </c>
      <c r="L40" s="79">
        <v>1</v>
      </c>
      <c r="M40" s="79">
        <v>50</v>
      </c>
      <c r="N40" s="707">
        <v>1</v>
      </c>
      <c r="O40" s="707">
        <v>1</v>
      </c>
      <c r="P40" s="707">
        <v>0</v>
      </c>
      <c r="Q40" s="707">
        <f>P40</f>
        <v>0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</row>
    <row r="41" spans="1:45">
      <c r="A41" s="107"/>
      <c r="B41" s="107"/>
      <c r="C41" s="107" t="str">
        <f ca="1">IF(1,AuxData!$D$97,"")</f>
        <v>CONBCO</v>
      </c>
      <c r="D41" s="30"/>
      <c r="E41" s="107" t="str">
        <f t="shared" ref="E41:E72" si="4">IF(OR(G41&lt;&gt;0,H41&lt;&gt;0),C41,"")</f>
        <v>CONBCO</v>
      </c>
      <c r="F41" s="107" t="str">
        <f t="shared" ref="F41:F72" si="5">IF(LEN(E41),D$9,"")</f>
        <v>UPXREFO</v>
      </c>
      <c r="G41" s="79">
        <f ca="1">IEAData!$D$107</f>
        <v>1.2871479240000001</v>
      </c>
      <c r="H41" s="79">
        <f ca="1">AuxData!$D$107</f>
        <v>6.8746999999999992E-3</v>
      </c>
      <c r="I41" s="79"/>
      <c r="J41" s="40">
        <f t="shared" ref="J41:J72" si="6">IF(LEN($E41),IF(ABS(G41)&gt;0.0005,G41,0),"")</f>
        <v>1.2871479240000001</v>
      </c>
      <c r="K41" s="40">
        <f t="shared" ref="K41:K72" si="7">IF(LEN($E41),IF(ABS(H41)&gt;0.0005,H41,0),"")</f>
        <v>6.8746999999999992E-3</v>
      </c>
      <c r="L41" s="79"/>
      <c r="M41" s="79"/>
      <c r="N41" s="708"/>
      <c r="O41" s="708"/>
      <c r="P41" s="708"/>
      <c r="Q41" s="708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</row>
    <row r="42" spans="1:45">
      <c r="A42" s="107"/>
      <c r="B42" s="107"/>
      <c r="C42" s="107" t="str">
        <f ca="1">IF(1,AuxData!$E$97,"")</f>
        <v>CONOVC</v>
      </c>
      <c r="D42" s="30"/>
      <c r="E42" s="107" t="str">
        <f t="shared" si="4"/>
        <v/>
      </c>
      <c r="F42" s="107" t="str">
        <f t="shared" si="5"/>
        <v/>
      </c>
      <c r="G42" s="79">
        <f ca="1">IEAData!$E$107</f>
        <v>0</v>
      </c>
      <c r="H42" s="79">
        <f ca="1">AuxData!$E$107</f>
        <v>0</v>
      </c>
      <c r="I42" s="79"/>
      <c r="J42" s="40" t="str">
        <f t="shared" si="6"/>
        <v/>
      </c>
      <c r="K42" s="40" t="str">
        <f t="shared" si="7"/>
        <v/>
      </c>
      <c r="L42" s="79"/>
      <c r="M42" s="79"/>
      <c r="N42" s="708"/>
      <c r="O42" s="708"/>
      <c r="P42" s="708"/>
      <c r="Q42" s="708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</row>
    <row r="43" spans="1:45">
      <c r="A43" s="107"/>
      <c r="B43" s="674"/>
      <c r="C43" s="30" t="str">
        <f ca="1">IF(1,AuxData!$G$97,"")</f>
        <v>GANGWG</v>
      </c>
      <c r="D43" s="30"/>
      <c r="E43" s="107" t="str">
        <f t="shared" si="4"/>
        <v/>
      </c>
      <c r="F43" s="107" t="str">
        <f t="shared" si="5"/>
        <v/>
      </c>
      <c r="G43" s="79">
        <f ca="1">IEAData!$G$107</f>
        <v>0</v>
      </c>
      <c r="H43" s="79">
        <f ca="1">AuxData!$G$107</f>
        <v>0</v>
      </c>
      <c r="I43" s="79"/>
      <c r="J43" s="40" t="str">
        <f t="shared" si="6"/>
        <v/>
      </c>
      <c r="K43" s="40" t="str">
        <f t="shared" si="7"/>
        <v/>
      </c>
      <c r="L43" s="79"/>
      <c r="M43" s="79"/>
      <c r="N43" s="708"/>
      <c r="O43" s="708"/>
      <c r="P43" s="708"/>
      <c r="Q43" s="708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</row>
    <row r="44" spans="1:45">
      <c r="A44" s="107"/>
      <c r="B44" s="677"/>
      <c r="C44" s="107" t="str">
        <f ca="1">IF(1,AuxData!$H$97,"")</f>
        <v>GANCOG</v>
      </c>
      <c r="D44" s="30"/>
      <c r="E44" s="107" t="str">
        <f t="shared" si="4"/>
        <v/>
      </c>
      <c r="F44" s="107" t="str">
        <f t="shared" si="5"/>
        <v/>
      </c>
      <c r="G44" s="79">
        <f ca="1">IEAData!$H$107</f>
        <v>0</v>
      </c>
      <c r="H44" s="79">
        <f ca="1">AuxData!$H$107</f>
        <v>0</v>
      </c>
      <c r="I44" s="79"/>
      <c r="J44" s="40" t="str">
        <f t="shared" si="6"/>
        <v/>
      </c>
      <c r="K44" s="40" t="str">
        <f t="shared" si="7"/>
        <v/>
      </c>
      <c r="L44" s="79"/>
      <c r="M44" s="79"/>
      <c r="N44" s="708"/>
      <c r="O44" s="708"/>
      <c r="P44" s="708"/>
      <c r="Q44" s="708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</row>
    <row r="45" spans="1:45">
      <c r="A45" s="107"/>
      <c r="B45" s="677"/>
      <c r="C45" s="30" t="str">
        <f ca="1">IF(1,AuxData!$I$97,"")</f>
        <v>GANBFG</v>
      </c>
      <c r="D45" s="30"/>
      <c r="E45" s="107" t="str">
        <f t="shared" si="4"/>
        <v/>
      </c>
      <c r="F45" s="107" t="str">
        <f t="shared" si="5"/>
        <v/>
      </c>
      <c r="G45" s="79">
        <f ca="1">IEAData!$I$107</f>
        <v>0</v>
      </c>
      <c r="H45" s="79">
        <f ca="1">AuxData!$I$107</f>
        <v>0</v>
      </c>
      <c r="I45" s="79"/>
      <c r="J45" s="40" t="str">
        <f t="shared" si="6"/>
        <v/>
      </c>
      <c r="K45" s="40" t="str">
        <f t="shared" si="7"/>
        <v/>
      </c>
      <c r="L45" s="79"/>
      <c r="M45" s="79"/>
      <c r="N45" s="708"/>
      <c r="O45" s="708"/>
      <c r="P45" s="708"/>
      <c r="Q45" s="708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</row>
    <row r="46" spans="1:45">
      <c r="A46" s="107"/>
      <c r="B46" s="677"/>
      <c r="C46" s="107" t="str">
        <f ca="1">IF(1,AuxData!$J$97,"")</f>
        <v>GANOXY</v>
      </c>
      <c r="D46" s="30"/>
      <c r="E46" s="107" t="str">
        <f t="shared" si="4"/>
        <v/>
      </c>
      <c r="F46" s="107" t="str">
        <f t="shared" si="5"/>
        <v/>
      </c>
      <c r="G46" s="79">
        <f ca="1">IEAData!$J$107</f>
        <v>0</v>
      </c>
      <c r="H46" s="79">
        <f ca="1">AuxData!$J$107</f>
        <v>0</v>
      </c>
      <c r="I46" s="79"/>
      <c r="J46" s="40" t="str">
        <f t="shared" si="6"/>
        <v/>
      </c>
      <c r="K46" s="40" t="str">
        <f t="shared" si="7"/>
        <v/>
      </c>
      <c r="L46" s="79"/>
      <c r="M46" s="79"/>
      <c r="N46" s="708"/>
      <c r="O46" s="708"/>
      <c r="P46" s="708"/>
      <c r="Q46" s="708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</row>
    <row r="47" spans="1:45">
      <c r="A47" s="107"/>
      <c r="B47" s="674"/>
      <c r="C47" s="107" t="str">
        <f ca="1">IF(1,AuxData!$R$97,"")</f>
        <v>GANNGA</v>
      </c>
      <c r="D47" s="30"/>
      <c r="E47" s="107" t="str">
        <f t="shared" si="4"/>
        <v>GANNGA</v>
      </c>
      <c r="F47" s="107" t="str">
        <f t="shared" si="5"/>
        <v>UPXREFO</v>
      </c>
      <c r="G47" s="79">
        <f ca="1">IEAData!$R$107</f>
        <v>-0.10797757200000001</v>
      </c>
      <c r="H47" s="79">
        <f ca="1">AuxData!$R$107</f>
        <v>0.8397003999999999</v>
      </c>
      <c r="I47" s="79"/>
      <c r="J47" s="40">
        <f t="shared" si="6"/>
        <v>-0.10797757200000001</v>
      </c>
      <c r="K47" s="40">
        <f t="shared" si="7"/>
        <v>0.8397003999999999</v>
      </c>
      <c r="L47" s="79"/>
      <c r="M47" s="79"/>
      <c r="N47" s="708"/>
      <c r="O47" s="708"/>
      <c r="P47" s="708"/>
      <c r="Q47" s="708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</row>
    <row r="48" spans="1:45">
      <c r="A48" s="107"/>
      <c r="B48" s="677"/>
      <c r="C48" s="30" t="str">
        <f ca="1">IF(1,AuxData!$T$97,"")</f>
        <v>OINCRH</v>
      </c>
      <c r="D48" s="30"/>
      <c r="E48" s="107" t="str">
        <f t="shared" si="4"/>
        <v>OINCRH</v>
      </c>
      <c r="F48" s="107" t="str">
        <f t="shared" si="5"/>
        <v>UPXREFO</v>
      </c>
      <c r="G48" s="79">
        <f ca="1">IEAData!$T$107</f>
        <v>-5.9297229719999995</v>
      </c>
      <c r="H48" s="79">
        <f ca="1">AuxData!$T$107</f>
        <v>4.1380195999999998</v>
      </c>
      <c r="I48" s="79"/>
      <c r="J48" s="40">
        <f t="shared" si="6"/>
        <v>-5.9297229719999995</v>
      </c>
      <c r="K48" s="40">
        <f t="shared" si="7"/>
        <v>4.1380195999999998</v>
      </c>
      <c r="L48" s="79"/>
      <c r="M48" s="79"/>
      <c r="N48" s="708"/>
      <c r="O48" s="708"/>
      <c r="P48" s="708"/>
      <c r="Q48" s="708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</row>
    <row r="49" spans="1:45">
      <c r="A49" s="107"/>
      <c r="B49" s="677"/>
      <c r="C49" s="107" t="str">
        <f ca="1">IF(1,AuxData!$V$97,"")</f>
        <v>OINNGL</v>
      </c>
      <c r="D49" s="30"/>
      <c r="E49" s="107" t="str">
        <f t="shared" si="4"/>
        <v>OINNGL</v>
      </c>
      <c r="F49" s="107" t="str">
        <f t="shared" si="5"/>
        <v>UPXREFO</v>
      </c>
      <c r="G49" s="79">
        <f ca="1">IEAData!$V$107</f>
        <v>10.912014972000001</v>
      </c>
      <c r="H49" s="79">
        <f ca="1">AuxData!$V$107</f>
        <v>-4.1800006000000005</v>
      </c>
      <c r="I49" s="79"/>
      <c r="J49" s="40">
        <f t="shared" si="6"/>
        <v>10.912014972000001</v>
      </c>
      <c r="K49" s="40">
        <f t="shared" si="7"/>
        <v>-4.1800006000000005</v>
      </c>
      <c r="L49" s="79"/>
      <c r="M49" s="79"/>
      <c r="N49" s="708"/>
      <c r="O49" s="708"/>
      <c r="P49" s="708"/>
      <c r="Q49" s="708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</row>
    <row r="50" spans="1:45">
      <c r="A50" s="107"/>
      <c r="B50" s="677"/>
      <c r="C50" s="30" t="str">
        <f ca="1">IF(1,AuxData!$W$97,"")</f>
        <v>OINFEE</v>
      </c>
      <c r="D50" s="30"/>
      <c r="E50" s="107" t="str">
        <f t="shared" si="4"/>
        <v>OINFEE</v>
      </c>
      <c r="F50" s="107" t="str">
        <f t="shared" si="5"/>
        <v>UPXREFO</v>
      </c>
      <c r="G50" s="79">
        <f ca="1">IEAData!$W$107</f>
        <v>4.2496019999999995E-2</v>
      </c>
      <c r="H50" s="79">
        <f ca="1">AuxData!$W$107</f>
        <v>-0.67999909999999997</v>
      </c>
      <c r="I50" s="79"/>
      <c r="J50" s="40">
        <f t="shared" si="6"/>
        <v>4.2496019999999995E-2</v>
      </c>
      <c r="K50" s="40">
        <f t="shared" si="7"/>
        <v>-0.67999909999999997</v>
      </c>
      <c r="L50" s="79"/>
      <c r="M50" s="79"/>
      <c r="N50" s="708"/>
      <c r="O50" s="708"/>
      <c r="P50" s="708"/>
      <c r="Q50" s="708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</row>
    <row r="51" spans="1:45">
      <c r="A51" s="107"/>
      <c r="B51" s="677"/>
      <c r="C51" s="30" t="str">
        <f ca="1">IF(1,AuxData!$X$97,"")</f>
        <v>OINADD</v>
      </c>
      <c r="D51" s="30"/>
      <c r="E51" s="107" t="str">
        <f t="shared" si="4"/>
        <v>OINADD</v>
      </c>
      <c r="F51" s="107" t="str">
        <f t="shared" si="5"/>
        <v>UPXREFO</v>
      </c>
      <c r="G51" s="79">
        <f ca="1">IEAData!$X$107</f>
        <v>7.5362818680000006</v>
      </c>
      <c r="H51" s="79">
        <f ca="1">AuxData!$X$107</f>
        <v>4.2500199999999995E-2</v>
      </c>
      <c r="I51" s="79"/>
      <c r="J51" s="40">
        <f t="shared" si="6"/>
        <v>7.5362818680000006</v>
      </c>
      <c r="K51" s="40">
        <f t="shared" si="7"/>
        <v>4.2500199999999995E-2</v>
      </c>
      <c r="L51" s="79"/>
      <c r="M51" s="79"/>
      <c r="N51" s="708"/>
      <c r="O51" s="708"/>
      <c r="P51" s="708"/>
      <c r="Q51" s="708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</row>
    <row r="52" spans="1:45">
      <c r="A52" s="107"/>
      <c r="B52" s="677"/>
      <c r="C52" s="107" t="str">
        <f ca="1">IF(1,AuxData!$Y$97,"")</f>
        <v>OINNCR</v>
      </c>
      <c r="D52" s="30"/>
      <c r="E52" s="107" t="str">
        <f t="shared" si="4"/>
        <v/>
      </c>
      <c r="F52" s="107" t="str">
        <f t="shared" si="5"/>
        <v/>
      </c>
      <c r="G52" s="79">
        <f ca="1">IEAData!$Y$107</f>
        <v>0</v>
      </c>
      <c r="H52" s="79">
        <f ca="1">AuxData!$Y$107</f>
        <v>0</v>
      </c>
      <c r="I52" s="79"/>
      <c r="J52" s="40" t="str">
        <f t="shared" si="6"/>
        <v/>
      </c>
      <c r="K52" s="40" t="str">
        <f t="shared" si="7"/>
        <v/>
      </c>
      <c r="L52" s="79"/>
      <c r="M52" s="79"/>
      <c r="N52" s="708"/>
      <c r="O52" s="708"/>
      <c r="P52" s="708"/>
      <c r="Q52" s="708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</row>
    <row r="53" spans="1:45">
      <c r="A53" s="107"/>
      <c r="B53" s="674"/>
      <c r="C53" s="30" t="str">
        <f ca="1">IF(1,AuxData!$Z$97,"")</f>
        <v>GANRFG</v>
      </c>
      <c r="D53" s="30"/>
      <c r="E53" s="107" t="str">
        <f t="shared" si="4"/>
        <v>GANRFG</v>
      </c>
      <c r="F53" s="107" t="str">
        <f t="shared" si="5"/>
        <v>UPXREFO</v>
      </c>
      <c r="G53" s="79">
        <f ca="1">IEAData!$Z$107</f>
        <v>-1.5345040680000002</v>
      </c>
      <c r="H53" s="79">
        <f ca="1">AuxData!$Z$107</f>
        <v>0</v>
      </c>
      <c r="I53" s="79"/>
      <c r="J53" s="40">
        <f t="shared" si="6"/>
        <v>-1.5345040680000002</v>
      </c>
      <c r="K53" s="40">
        <f t="shared" si="7"/>
        <v>0</v>
      </c>
      <c r="L53" s="79"/>
      <c r="M53" s="79"/>
      <c r="N53" s="708"/>
      <c r="O53" s="708"/>
      <c r="P53" s="708"/>
      <c r="Q53" s="708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</row>
    <row r="54" spans="1:45">
      <c r="A54" s="107"/>
      <c r="B54" s="674"/>
      <c r="C54" s="30" t="str">
        <f ca="1">IF(1,AuxData!$AA$97,"")</f>
        <v>GANETH</v>
      </c>
      <c r="D54" s="30"/>
      <c r="E54" s="107" t="str">
        <f t="shared" si="4"/>
        <v/>
      </c>
      <c r="F54" s="107" t="str">
        <f t="shared" si="5"/>
        <v/>
      </c>
      <c r="G54" s="79">
        <f ca="1">IEAData!$AA$107</f>
        <v>0</v>
      </c>
      <c r="H54" s="79">
        <f ca="1">AuxData!$AA$107</f>
        <v>0</v>
      </c>
      <c r="I54" s="79"/>
      <c r="J54" s="40" t="str">
        <f t="shared" si="6"/>
        <v/>
      </c>
      <c r="K54" s="40" t="str">
        <f t="shared" si="7"/>
        <v/>
      </c>
      <c r="L54" s="79"/>
      <c r="M54" s="79"/>
      <c r="N54" s="708"/>
      <c r="O54" s="708"/>
      <c r="P54" s="708"/>
      <c r="Q54" s="708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</row>
    <row r="55" spans="1:45">
      <c r="A55" s="107"/>
      <c r="B55" s="674"/>
      <c r="C55" s="30" t="str">
        <f ca="1">AuxData!$AB$97</f>
        <v>OINLPG</v>
      </c>
      <c r="D55" s="30"/>
      <c r="E55" s="107" t="str">
        <f t="shared" si="4"/>
        <v/>
      </c>
      <c r="F55" s="107" t="str">
        <f t="shared" si="5"/>
        <v/>
      </c>
      <c r="G55" s="79"/>
      <c r="H55" s="79"/>
      <c r="I55" s="79"/>
      <c r="J55" s="40" t="str">
        <f t="shared" si="6"/>
        <v/>
      </c>
      <c r="K55" s="40" t="str">
        <f t="shared" si="7"/>
        <v/>
      </c>
      <c r="L55" s="79"/>
      <c r="M55" s="79"/>
      <c r="N55" s="708"/>
      <c r="O55" s="708"/>
      <c r="P55" s="708"/>
      <c r="Q55" s="708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</row>
    <row r="56" spans="1:45">
      <c r="A56" s="107"/>
      <c r="B56" s="677"/>
      <c r="C56" s="107" t="str">
        <f ca="1">IF(1,AuxData!$AC$97,"")</f>
        <v>OINGSL</v>
      </c>
      <c r="D56" s="30"/>
      <c r="E56" s="107" t="str">
        <f t="shared" si="4"/>
        <v>OINGSL</v>
      </c>
      <c r="F56" s="107" t="str">
        <f t="shared" si="5"/>
        <v>UPXREFO</v>
      </c>
      <c r="G56" s="79">
        <f ca="1">IEAData!$AC$107</f>
        <v>-9.1080065880000003</v>
      </c>
      <c r="H56" s="79">
        <f ca="1">AuxData!$AC$107</f>
        <v>1.8919982000000002</v>
      </c>
      <c r="I56" s="79"/>
      <c r="J56" s="40">
        <f t="shared" si="6"/>
        <v>-9.1080065880000003</v>
      </c>
      <c r="K56" s="40">
        <f t="shared" si="7"/>
        <v>1.8919982000000002</v>
      </c>
      <c r="L56" s="79"/>
      <c r="M56" s="79"/>
      <c r="N56" s="708"/>
      <c r="O56" s="708"/>
      <c r="P56" s="708"/>
      <c r="Q56" s="708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</row>
    <row r="57" spans="1:45">
      <c r="A57" s="107"/>
      <c r="B57" s="677"/>
      <c r="C57" s="30" t="str">
        <f ca="1">IF(1,AuxData!$AD$97,"")</f>
        <v>OINAVG</v>
      </c>
      <c r="D57" s="30"/>
      <c r="E57" s="107" t="str">
        <f t="shared" si="4"/>
        <v>OINAVG</v>
      </c>
      <c r="F57" s="107" t="str">
        <f t="shared" si="5"/>
        <v>UPXREFO</v>
      </c>
      <c r="G57" s="79">
        <f ca="1">IEAData!$AD$107</f>
        <v>-8.8006535999999996E-2</v>
      </c>
      <c r="H57" s="79">
        <f ca="1">AuxData!$AD$107</f>
        <v>0</v>
      </c>
      <c r="I57" s="79"/>
      <c r="J57" s="40">
        <f t="shared" si="6"/>
        <v>-8.8006535999999996E-2</v>
      </c>
      <c r="K57" s="40">
        <f t="shared" si="7"/>
        <v>0</v>
      </c>
      <c r="L57" s="79"/>
      <c r="M57" s="79"/>
      <c r="N57" s="708"/>
      <c r="O57" s="708"/>
      <c r="P57" s="708"/>
      <c r="Q57" s="708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</row>
    <row r="58" spans="1:45">
      <c r="A58" s="107"/>
      <c r="B58" s="674"/>
      <c r="C58" s="107" t="str">
        <f ca="1">IF(1,AuxData!$AE$97,"")</f>
        <v>OINJTG</v>
      </c>
      <c r="D58" s="30"/>
      <c r="E58" s="107" t="str">
        <f t="shared" si="4"/>
        <v/>
      </c>
      <c r="F58" s="107" t="str">
        <f t="shared" si="5"/>
        <v/>
      </c>
      <c r="G58" s="79">
        <f ca="1">IEAData!$AE$107</f>
        <v>0</v>
      </c>
      <c r="H58" s="79">
        <f ca="1">AuxData!$AE$107</f>
        <v>0</v>
      </c>
      <c r="I58" s="79"/>
      <c r="J58" s="40" t="str">
        <f t="shared" si="6"/>
        <v/>
      </c>
      <c r="K58" s="40" t="str">
        <f t="shared" si="7"/>
        <v/>
      </c>
      <c r="L58" s="79"/>
      <c r="M58" s="79"/>
      <c r="N58" s="708"/>
      <c r="O58" s="708"/>
      <c r="P58" s="708"/>
      <c r="Q58" s="708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</row>
    <row r="59" spans="1:45">
      <c r="A59" s="107"/>
      <c r="B59" s="107"/>
      <c r="C59" s="107" t="str">
        <f ca="1">IF(1,AuxData!$AF$97,"")</f>
        <v>OINJTK</v>
      </c>
      <c r="D59" s="30"/>
      <c r="E59" s="107" t="str">
        <f t="shared" si="4"/>
        <v>OINJTK</v>
      </c>
      <c r="F59" s="107" t="str">
        <f t="shared" si="5"/>
        <v>UPXREFO</v>
      </c>
      <c r="G59" s="79">
        <f ca="1">IEAData!$AF$107</f>
        <v>-3.9559817160000001</v>
      </c>
      <c r="H59" s="79">
        <f ca="1">AuxData!$AF$107</f>
        <v>-6.1489981999999994</v>
      </c>
      <c r="I59" s="79"/>
      <c r="J59" s="40">
        <f t="shared" si="6"/>
        <v>-3.9559817160000001</v>
      </c>
      <c r="K59" s="40">
        <f t="shared" si="7"/>
        <v>-6.1489981999999994</v>
      </c>
      <c r="L59" s="79"/>
      <c r="M59" s="79"/>
      <c r="N59" s="708"/>
      <c r="O59" s="708"/>
      <c r="P59" s="708"/>
      <c r="Q59" s="708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</row>
    <row r="60" spans="1:45">
      <c r="A60" s="107"/>
      <c r="B60" s="107"/>
      <c r="C60" s="107" t="str">
        <f ca="1">IF(1,AuxData!$AG$97,"")</f>
        <v>OINKER</v>
      </c>
      <c r="D60" s="30"/>
      <c r="E60" s="107" t="str">
        <f t="shared" si="4"/>
        <v>OINKER</v>
      </c>
      <c r="F60" s="107" t="str">
        <f t="shared" si="5"/>
        <v>UPXREFO</v>
      </c>
      <c r="G60" s="79">
        <f ca="1">IEAData!$AG$107</f>
        <v>-1.6769808720000001</v>
      </c>
      <c r="H60" s="79">
        <f ca="1">AuxData!$AG$107</f>
        <v>0</v>
      </c>
      <c r="I60" s="79"/>
      <c r="J60" s="40">
        <f t="shared" si="6"/>
        <v>-1.6769808720000001</v>
      </c>
      <c r="K60" s="40">
        <f t="shared" si="7"/>
        <v>0</v>
      </c>
      <c r="L60" s="79"/>
      <c r="M60" s="79"/>
      <c r="N60" s="708"/>
      <c r="O60" s="708"/>
      <c r="P60" s="708"/>
      <c r="Q60" s="708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</row>
    <row r="61" spans="1:45">
      <c r="A61" s="107"/>
      <c r="B61" s="107"/>
      <c r="C61" s="30" t="str">
        <f ca="1">IF(1,AuxData!$AH$97,"")</f>
        <v>OINDST</v>
      </c>
      <c r="D61" s="30"/>
      <c r="E61" s="107" t="str">
        <f t="shared" si="4"/>
        <v>OINDST</v>
      </c>
      <c r="F61" s="107" t="str">
        <f t="shared" si="5"/>
        <v>UPXREFO</v>
      </c>
      <c r="G61" s="79">
        <f ca="1">IEAData!$AH$107</f>
        <v>-7.6679985960000003</v>
      </c>
      <c r="H61" s="79">
        <f ca="1">AuxData!$AH$107</f>
        <v>-5.3675990000000002</v>
      </c>
      <c r="I61" s="79"/>
      <c r="J61" s="40">
        <f t="shared" si="6"/>
        <v>-7.6679985960000003</v>
      </c>
      <c r="K61" s="40">
        <f t="shared" si="7"/>
        <v>-5.3675990000000002</v>
      </c>
      <c r="L61" s="79"/>
      <c r="M61" s="79"/>
      <c r="N61" s="708"/>
      <c r="O61" s="708"/>
      <c r="P61" s="708"/>
      <c r="Q61" s="708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</row>
    <row r="62" spans="1:45">
      <c r="A62" s="107"/>
      <c r="B62" s="107"/>
      <c r="C62" s="30" t="str">
        <f ca="1">IF(1,AuxData!$AI$97,"")</f>
        <v>OINHFO</v>
      </c>
      <c r="D62" s="30"/>
      <c r="E62" s="107" t="str">
        <f t="shared" si="4"/>
        <v>OINHFO</v>
      </c>
      <c r="F62" s="107" t="str">
        <f t="shared" si="5"/>
        <v>UPXREFO</v>
      </c>
      <c r="G62" s="79">
        <f ca="1">IEAData!$AI$107</f>
        <v>16.519982364000001</v>
      </c>
      <c r="H62" s="79">
        <f ca="1">AuxData!$AI$107</f>
        <v>7.1200009</v>
      </c>
      <c r="I62" s="79"/>
      <c r="J62" s="40">
        <f t="shared" si="6"/>
        <v>16.519982364000001</v>
      </c>
      <c r="K62" s="40">
        <f t="shared" si="7"/>
        <v>7.1200009</v>
      </c>
      <c r="L62" s="79"/>
      <c r="M62" s="79"/>
      <c r="N62" s="708"/>
      <c r="O62" s="708"/>
      <c r="P62" s="708"/>
      <c r="Q62" s="708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</row>
    <row r="63" spans="1:45">
      <c r="A63" s="107"/>
      <c r="B63" s="107"/>
      <c r="C63" s="30" t="str">
        <f ca="1">IF(1,AuxData!$AJ$97,"")</f>
        <v>OINNAP</v>
      </c>
      <c r="D63" s="30"/>
      <c r="E63" s="107" t="str">
        <f t="shared" si="4"/>
        <v>OINNAP</v>
      </c>
      <c r="F63" s="107" t="str">
        <f t="shared" si="5"/>
        <v>UPXREFO</v>
      </c>
      <c r="G63" s="79">
        <f ca="1">IEAData!$AJ$107</f>
        <v>-5.9399806320000001</v>
      </c>
      <c r="H63" s="79">
        <f ca="1">AuxData!$AJ$107</f>
        <v>3.1680008000000002</v>
      </c>
      <c r="I63" s="79"/>
      <c r="J63" s="40">
        <f t="shared" si="6"/>
        <v>-5.9399806320000001</v>
      </c>
      <c r="K63" s="40">
        <f t="shared" si="7"/>
        <v>3.1680008000000002</v>
      </c>
      <c r="L63" s="79"/>
      <c r="M63" s="79"/>
      <c r="N63" s="708"/>
      <c r="O63" s="708"/>
      <c r="P63" s="708"/>
      <c r="Q63" s="708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</row>
    <row r="64" spans="1:45">
      <c r="A64" s="107"/>
      <c r="B64" s="107"/>
      <c r="C64" s="30" t="str">
        <f ca="1">IF(1,AuxData!$AK$97,"")</f>
        <v>OINWSP</v>
      </c>
      <c r="D64" s="30"/>
      <c r="E64" s="107" t="str">
        <f t="shared" si="4"/>
        <v>OINWSP</v>
      </c>
      <c r="F64" s="107" t="str">
        <f t="shared" si="5"/>
        <v>UPXREFO</v>
      </c>
      <c r="G64" s="79">
        <f ca="1">IEAData!$AK$107</f>
        <v>1.9620182160000001</v>
      </c>
      <c r="H64" s="79">
        <f ca="1">AuxData!$AK$107</f>
        <v>0</v>
      </c>
      <c r="I64" s="79"/>
      <c r="J64" s="40">
        <f t="shared" si="6"/>
        <v>1.9620182160000001</v>
      </c>
      <c r="K64" s="40">
        <f t="shared" si="7"/>
        <v>0</v>
      </c>
      <c r="L64" s="79"/>
      <c r="M64" s="79"/>
      <c r="N64" s="708"/>
      <c r="O64" s="708"/>
      <c r="P64" s="708"/>
      <c r="Q64" s="708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</row>
    <row r="65" spans="1:45">
      <c r="A65" s="107"/>
      <c r="B65" s="107"/>
      <c r="C65" s="30" t="str">
        <f ca="1">IF(1,AuxData!$AL$97,"")</f>
        <v>OINLUB</v>
      </c>
      <c r="D65" s="30"/>
      <c r="E65" s="107" t="str">
        <f t="shared" si="4"/>
        <v>OINLUB</v>
      </c>
      <c r="F65" s="107" t="str">
        <f t="shared" si="5"/>
        <v>UPXREFO</v>
      </c>
      <c r="G65" s="79">
        <f ca="1">IEAData!$AL$107</f>
        <v>2.6039802600000002</v>
      </c>
      <c r="H65" s="79">
        <f ca="1">AuxData!$AL$107</f>
        <v>2.3520019000000003</v>
      </c>
      <c r="I65" s="79"/>
      <c r="J65" s="40">
        <f t="shared" si="6"/>
        <v>2.6039802600000002</v>
      </c>
      <c r="K65" s="40">
        <f t="shared" si="7"/>
        <v>2.3520019000000003</v>
      </c>
      <c r="L65" s="79"/>
      <c r="M65" s="79"/>
      <c r="N65" s="708"/>
      <c r="O65" s="708"/>
      <c r="P65" s="708"/>
      <c r="Q65" s="708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</row>
    <row r="66" spans="1:45">
      <c r="A66" s="107"/>
      <c r="B66" s="107"/>
      <c r="C66" s="30" t="str">
        <f ca="1">IF(1,AuxData!$AM$97,"")</f>
        <v>OINASP</v>
      </c>
      <c r="D66" s="30"/>
      <c r="E66" s="107" t="str">
        <f t="shared" si="4"/>
        <v>OINASP</v>
      </c>
      <c r="F66" s="107" t="str">
        <f t="shared" si="5"/>
        <v>UPXREFO</v>
      </c>
      <c r="G66" s="79">
        <f ca="1">IEAData!$AM$107</f>
        <v>-0.50697961200000008</v>
      </c>
      <c r="H66" s="79">
        <f ca="1">AuxData!$AM$107</f>
        <v>-4.5240006999999993</v>
      </c>
      <c r="I66" s="79"/>
      <c r="J66" s="40">
        <f t="shared" si="6"/>
        <v>-0.50697961200000008</v>
      </c>
      <c r="K66" s="40">
        <f t="shared" si="7"/>
        <v>-4.5240006999999993</v>
      </c>
      <c r="L66" s="79"/>
      <c r="M66" s="79"/>
      <c r="N66" s="708"/>
      <c r="O66" s="708"/>
      <c r="P66" s="708"/>
      <c r="Q66" s="708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</row>
    <row r="67" spans="1:45">
      <c r="A67" s="107"/>
      <c r="B67" s="107"/>
      <c r="C67" s="107" t="str">
        <f ca="1">IF(1,AuxData!$AN$97,"")</f>
        <v>OINWAX</v>
      </c>
      <c r="D67" s="30"/>
      <c r="E67" s="107" t="str">
        <f t="shared" si="4"/>
        <v>OINWAX</v>
      </c>
      <c r="F67" s="107" t="str">
        <f t="shared" si="5"/>
        <v>UPXREFO</v>
      </c>
      <c r="G67" s="79">
        <f ca="1">IEAData!$AN$107</f>
        <v>3.9983940000000003E-2</v>
      </c>
      <c r="H67" s="79">
        <f ca="1">AuxData!$AN$107</f>
        <v>0</v>
      </c>
      <c r="I67" s="79"/>
      <c r="J67" s="40">
        <f t="shared" si="6"/>
        <v>3.9983940000000003E-2</v>
      </c>
      <c r="K67" s="40">
        <f t="shared" si="7"/>
        <v>0</v>
      </c>
      <c r="L67" s="79"/>
      <c r="M67" s="79"/>
      <c r="N67" s="708"/>
      <c r="O67" s="708"/>
      <c r="P67" s="708"/>
      <c r="Q67" s="708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</row>
    <row r="68" spans="1:45">
      <c r="A68" s="107"/>
      <c r="B68" s="107"/>
      <c r="C68" s="30" t="str">
        <f ca="1">IF(1,AuxData!$AO$97,"")</f>
        <v>OINPTC</v>
      </c>
      <c r="D68" s="30"/>
      <c r="E68" s="107" t="str">
        <f t="shared" si="4"/>
        <v>OINPTC</v>
      </c>
      <c r="F68" s="107" t="str">
        <f t="shared" si="5"/>
        <v>UPXREFO</v>
      </c>
      <c r="G68" s="79">
        <f ca="1">IEAData!$AO$107</f>
        <v>-2.2399798679999998</v>
      </c>
      <c r="H68" s="79">
        <f ca="1">AuxData!$AO$107</f>
        <v>0.15999860000000002</v>
      </c>
      <c r="I68" s="79"/>
      <c r="J68" s="40">
        <f t="shared" si="6"/>
        <v>-2.2399798679999998</v>
      </c>
      <c r="K68" s="40">
        <f t="shared" si="7"/>
        <v>0.15999860000000002</v>
      </c>
      <c r="L68" s="79"/>
      <c r="M68" s="79"/>
      <c r="N68" s="708"/>
      <c r="O68" s="708"/>
      <c r="P68" s="708"/>
      <c r="Q68" s="708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</row>
    <row r="69" spans="1:45">
      <c r="A69" s="106"/>
      <c r="B69" s="290"/>
      <c r="C69" s="45" t="str">
        <f ca="1">IF(1,AuxData!$AP$97,"")</f>
        <v>OINNSP</v>
      </c>
      <c r="D69" s="30"/>
      <c r="E69" s="107" t="str">
        <f t="shared" si="4"/>
        <v>OINNSP</v>
      </c>
      <c r="F69" s="107" t="str">
        <f t="shared" si="5"/>
        <v>UPXREFO</v>
      </c>
      <c r="G69" s="87">
        <f ca="1">IEAData!$AP$107</f>
        <v>-10.759992264000001</v>
      </c>
      <c r="H69" s="87">
        <f ca="1">AuxData!$AP$107</f>
        <v>7.9200020999999996</v>
      </c>
      <c r="I69" s="87"/>
      <c r="J69" s="40">
        <f t="shared" si="6"/>
        <v>-10.759992264000001</v>
      </c>
      <c r="K69" s="40">
        <f t="shared" si="7"/>
        <v>7.9200020999999996</v>
      </c>
      <c r="L69" s="87"/>
      <c r="M69" s="87"/>
      <c r="N69" s="712"/>
      <c r="O69" s="712"/>
      <c r="P69" s="712"/>
      <c r="Q69" s="712"/>
      <c r="R69" s="248"/>
      <c r="S69" s="248"/>
      <c r="T69" s="248"/>
      <c r="U69" s="248"/>
      <c r="V69" s="248"/>
      <c r="W69" s="248"/>
      <c r="X69" s="248"/>
      <c r="Y69" s="248"/>
      <c r="Z69" s="248"/>
      <c r="AA69" s="248"/>
      <c r="AB69" s="248"/>
      <c r="AC69" s="248"/>
      <c r="AD69" s="248"/>
      <c r="AE69" s="248"/>
      <c r="AF69" s="248"/>
      <c r="AG69" s="248"/>
      <c r="AH69" s="248"/>
      <c r="AI69" s="248"/>
      <c r="AJ69" s="248"/>
      <c r="AK69" s="248"/>
      <c r="AL69" s="248"/>
      <c r="AM69" s="248"/>
      <c r="AN69" s="248"/>
      <c r="AO69" s="248"/>
      <c r="AP69" s="248"/>
      <c r="AQ69" s="248"/>
      <c r="AR69" s="248"/>
      <c r="AS69" s="248"/>
    </row>
    <row r="70" spans="1:45">
      <c r="A70" s="184" t="s">
        <v>1097</v>
      </c>
      <c r="B70" s="30" t="s">
        <v>1098</v>
      </c>
      <c r="C70" s="107" t="str">
        <f ca="1">IF(1,AuxData!$P$97,"")</f>
        <v>BIOLIQ</v>
      </c>
      <c r="D70" s="30" t="s">
        <v>829</v>
      </c>
      <c r="E70" s="107" t="str">
        <f t="shared" si="4"/>
        <v/>
      </c>
      <c r="F70" s="107" t="str">
        <f t="shared" si="5"/>
        <v/>
      </c>
      <c r="G70" s="79">
        <f ca="1">IEAData!$P$106</f>
        <v>0</v>
      </c>
      <c r="H70" s="79">
        <f ca="1">AuxData!$P$106</f>
        <v>0</v>
      </c>
      <c r="I70" s="79">
        <v>1</v>
      </c>
      <c r="J70" s="40" t="str">
        <f t="shared" si="6"/>
        <v/>
      </c>
      <c r="K70" s="40" t="str">
        <f t="shared" si="7"/>
        <v/>
      </c>
      <c r="L70" s="79">
        <v>1</v>
      </c>
      <c r="M70" s="79">
        <v>50</v>
      </c>
      <c r="N70" s="707">
        <v>1</v>
      </c>
      <c r="O70" s="707">
        <v>1</v>
      </c>
      <c r="P70" s="707">
        <f>O70</f>
        <v>1</v>
      </c>
      <c r="Q70" s="707">
        <f>P70</f>
        <v>1</v>
      </c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</row>
    <row r="71" spans="1:45">
      <c r="A71" s="107"/>
      <c r="B71" s="107"/>
      <c r="C71" s="107" t="str">
        <f ca="1">IF(1,AuxData!$T$97,"")</f>
        <v>OINCRH</v>
      </c>
      <c r="D71" s="30"/>
      <c r="E71" s="107" t="str">
        <f t="shared" si="4"/>
        <v/>
      </c>
      <c r="F71" s="107" t="str">
        <f t="shared" si="5"/>
        <v/>
      </c>
      <c r="G71" s="79">
        <f ca="1">IEAData!$T$106</f>
        <v>0</v>
      </c>
      <c r="H71" s="79">
        <f ca="1">AuxData!$T$106</f>
        <v>0</v>
      </c>
      <c r="I71" s="79"/>
      <c r="J71" s="40" t="str">
        <f t="shared" si="6"/>
        <v/>
      </c>
      <c r="K71" s="40" t="str">
        <f t="shared" si="7"/>
        <v/>
      </c>
      <c r="L71" s="79"/>
      <c r="M71" s="79"/>
      <c r="N71" s="708"/>
      <c r="O71" s="708"/>
      <c r="P71" s="708"/>
      <c r="Q71" s="708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</row>
    <row r="72" spans="1:45">
      <c r="A72" s="107"/>
      <c r="B72" s="107"/>
      <c r="C72" s="107" t="str">
        <f ca="1">IF(1,AuxData!$V$97,"")</f>
        <v>OINNGL</v>
      </c>
      <c r="D72" s="30"/>
      <c r="E72" s="107" t="str">
        <f t="shared" si="4"/>
        <v/>
      </c>
      <c r="F72" s="107" t="str">
        <f t="shared" si="5"/>
        <v/>
      </c>
      <c r="G72" s="79">
        <f ca="1">IEAData!$V$106</f>
        <v>0</v>
      </c>
      <c r="H72" s="79">
        <f ca="1">AuxData!$V$106</f>
        <v>0</v>
      </c>
      <c r="I72" s="79"/>
      <c r="J72" s="40" t="str">
        <f t="shared" si="6"/>
        <v/>
      </c>
      <c r="K72" s="40" t="str">
        <f t="shared" si="7"/>
        <v/>
      </c>
      <c r="L72" s="79"/>
      <c r="M72" s="79"/>
      <c r="N72" s="708"/>
      <c r="O72" s="708"/>
      <c r="P72" s="708"/>
      <c r="Q72" s="708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</row>
    <row r="73" spans="1:45">
      <c r="A73" s="107"/>
      <c r="B73" s="107"/>
      <c r="C73" s="30" t="str">
        <f ca="1">IF(1,AuxData!$W$97,"")</f>
        <v>OINFEE</v>
      </c>
      <c r="D73" s="30"/>
      <c r="E73" s="107" t="str">
        <f t="shared" ref="E73:E92" si="8">IF(OR(G73&lt;&gt;0,H73&lt;&gt;0),C73,"")</f>
        <v>OINFEE</v>
      </c>
      <c r="F73" s="107" t="str">
        <f t="shared" ref="F73:F92" si="9">IF(LEN(E73),D$9,"")</f>
        <v>UPXREFO</v>
      </c>
      <c r="G73" s="79">
        <f ca="1">IEAData!$W$106</f>
        <v>110.02215391199999</v>
      </c>
      <c r="H73" s="79">
        <f ca="1">AuxData!$W$106</f>
        <v>75.735000100000008</v>
      </c>
      <c r="I73" s="79"/>
      <c r="J73" s="40">
        <f t="shared" ref="J73:J92" si="10">IF(LEN($E73),IF(ABS(G73)&gt;0.0005,G73,0),"")</f>
        <v>110.02215391199999</v>
      </c>
      <c r="K73" s="40">
        <f t="shared" ref="K73:K92" si="11">IF(LEN($E73),IF(ABS(H73)&gt;0.0005,H73,0),"")</f>
        <v>75.735000100000008</v>
      </c>
      <c r="L73" s="79"/>
      <c r="M73" s="79"/>
      <c r="N73" s="708"/>
      <c r="O73" s="708"/>
      <c r="P73" s="708"/>
      <c r="Q73" s="708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</row>
    <row r="74" spans="1:45">
      <c r="A74" s="107"/>
      <c r="B74" s="107"/>
      <c r="C74" s="107" t="str">
        <f ca="1">IF(1,AuxData!$X$97,"")</f>
        <v>OINADD</v>
      </c>
      <c r="D74" s="30"/>
      <c r="E74" s="107" t="str">
        <f t="shared" si="8"/>
        <v>OINADD</v>
      </c>
      <c r="F74" s="107" t="str">
        <f t="shared" si="9"/>
        <v>UPXREFO</v>
      </c>
      <c r="G74" s="79">
        <f ca="1">IEAData!$X$106</f>
        <v>-7.6367650680000008</v>
      </c>
      <c r="H74" s="79">
        <f ca="1">AuxData!$X$106</f>
        <v>0</v>
      </c>
      <c r="I74" s="79"/>
      <c r="J74" s="40">
        <f t="shared" si="10"/>
        <v>-7.6367650680000008</v>
      </c>
      <c r="K74" s="40">
        <f t="shared" si="11"/>
        <v>0</v>
      </c>
      <c r="L74" s="79"/>
      <c r="M74" s="79"/>
      <c r="N74" s="708"/>
      <c r="O74" s="708"/>
      <c r="P74" s="708"/>
      <c r="Q74" s="708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</row>
    <row r="75" spans="1:45">
      <c r="A75" s="107"/>
      <c r="B75" s="107"/>
      <c r="C75" s="107" t="str">
        <f ca="1">IF(1,AuxData!$Y$97,"")</f>
        <v>OINNCR</v>
      </c>
      <c r="D75" s="30"/>
      <c r="E75" s="107" t="str">
        <f t="shared" si="8"/>
        <v/>
      </c>
      <c r="F75" s="107" t="str">
        <f t="shared" si="9"/>
        <v/>
      </c>
      <c r="G75" s="79">
        <f ca="1">IEAData!$Y$106</f>
        <v>0</v>
      </c>
      <c r="H75" s="79">
        <f ca="1">AuxData!$Y$106</f>
        <v>0</v>
      </c>
      <c r="I75" s="79"/>
      <c r="J75" s="40" t="str">
        <f t="shared" si="10"/>
        <v/>
      </c>
      <c r="K75" s="40" t="str">
        <f t="shared" si="11"/>
        <v/>
      </c>
      <c r="L75" s="79"/>
      <c r="M75" s="79"/>
      <c r="N75" s="708"/>
      <c r="O75" s="708"/>
      <c r="P75" s="708"/>
      <c r="Q75" s="708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</row>
    <row r="76" spans="1:45">
      <c r="A76" s="107"/>
      <c r="B76" s="674"/>
      <c r="C76" s="30" t="str">
        <f ca="1">IF(1,AuxData!$Z$97,"")</f>
        <v>GANRFG</v>
      </c>
      <c r="D76" s="30"/>
      <c r="E76" s="107" t="str">
        <f t="shared" si="8"/>
        <v>GANRFG</v>
      </c>
      <c r="F76" s="107" t="str">
        <f t="shared" si="9"/>
        <v>UPXREFO</v>
      </c>
      <c r="G76" s="79">
        <f ca="1">IEAData!$Z$106</f>
        <v>14.454005904000001</v>
      </c>
      <c r="H76" s="79">
        <f ca="1">AuxData!$Z$106</f>
        <v>0</v>
      </c>
      <c r="I76" s="79"/>
      <c r="J76" s="40">
        <f t="shared" si="10"/>
        <v>14.454005904000001</v>
      </c>
      <c r="K76" s="40">
        <f t="shared" si="11"/>
        <v>0</v>
      </c>
      <c r="L76" s="79"/>
      <c r="M76" s="79"/>
      <c r="N76" s="708"/>
      <c r="O76" s="708"/>
      <c r="P76" s="708"/>
      <c r="Q76" s="708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</row>
    <row r="77" spans="1:45">
      <c r="A77" s="107"/>
      <c r="B77" s="677"/>
      <c r="C77" s="30" t="str">
        <f ca="1">IF(1,AuxData!$AA$97,"")</f>
        <v>GANETH</v>
      </c>
      <c r="D77" s="30"/>
      <c r="E77" s="107" t="str">
        <f t="shared" si="8"/>
        <v/>
      </c>
      <c r="F77" s="107" t="str">
        <f t="shared" si="9"/>
        <v/>
      </c>
      <c r="G77" s="79">
        <f ca="1">IEAData!$AA$106</f>
        <v>0</v>
      </c>
      <c r="H77" s="79">
        <f ca="1">AuxData!$AA$106</f>
        <v>0</v>
      </c>
      <c r="I77" s="79"/>
      <c r="J77" s="40" t="str">
        <f t="shared" si="10"/>
        <v/>
      </c>
      <c r="K77" s="40" t="str">
        <f t="shared" si="11"/>
        <v/>
      </c>
      <c r="L77" s="79"/>
      <c r="M77" s="79"/>
      <c r="N77" s="708"/>
      <c r="O77" s="708"/>
      <c r="P77" s="708"/>
      <c r="Q77" s="708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</row>
    <row r="78" spans="1:45">
      <c r="A78" s="107"/>
      <c r="B78" s="677"/>
      <c r="C78" s="30" t="str">
        <f ca="1">IF(1,AuxData!$AB$97,"")</f>
        <v>OINLPG</v>
      </c>
      <c r="D78" s="30"/>
      <c r="E78" s="107" t="str">
        <f t="shared" si="8"/>
        <v>OINLPG</v>
      </c>
      <c r="F78" s="107" t="str">
        <f t="shared" si="9"/>
        <v>UPXREFO</v>
      </c>
      <c r="G78" s="79">
        <f ca="1">IEAData!$AB$106</f>
        <v>-3.7260007920000002</v>
      </c>
      <c r="H78" s="79">
        <f ca="1">AuxData!$AB$106</f>
        <v>-1.3799986</v>
      </c>
      <c r="I78" s="79"/>
      <c r="J78" s="40">
        <f t="shared" si="10"/>
        <v>-3.7260007920000002</v>
      </c>
      <c r="K78" s="40">
        <f t="shared" si="11"/>
        <v>-1.3799986</v>
      </c>
      <c r="L78" s="79"/>
      <c r="M78" s="79"/>
      <c r="N78" s="708"/>
      <c r="O78" s="708"/>
      <c r="P78" s="708"/>
      <c r="Q78" s="708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</row>
    <row r="79" spans="1:45">
      <c r="A79" s="107"/>
      <c r="B79" s="674"/>
      <c r="C79" s="30" t="str">
        <f ca="1">IF(1,AuxData!$AC$97,"")</f>
        <v>OINGSL</v>
      </c>
      <c r="D79" s="30"/>
      <c r="E79" s="107" t="str">
        <f t="shared" si="8"/>
        <v>OINGSL</v>
      </c>
      <c r="F79" s="107" t="str">
        <f t="shared" si="9"/>
        <v>UPXREFO</v>
      </c>
      <c r="G79" s="79">
        <f ca="1">IEAData!$AC$106</f>
        <v>-0.17601307199999999</v>
      </c>
      <c r="H79" s="79">
        <f ca="1">AuxData!$AC$106</f>
        <v>-25.959997999999999</v>
      </c>
      <c r="I79" s="79"/>
      <c r="J79" s="40">
        <f t="shared" si="10"/>
        <v>-0.17601307199999999</v>
      </c>
      <c r="K79" s="40">
        <f t="shared" si="11"/>
        <v>-25.959997999999999</v>
      </c>
      <c r="L79" s="79"/>
      <c r="M79" s="79"/>
      <c r="N79" s="708"/>
      <c r="O79" s="708"/>
      <c r="P79" s="708"/>
      <c r="Q79" s="708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</row>
    <row r="80" spans="1:45">
      <c r="A80" s="107"/>
      <c r="B80" s="107"/>
      <c r="C80" s="30" t="str">
        <f ca="1">IF(1,AuxData!$AD$97,"")</f>
        <v>OINAVG</v>
      </c>
      <c r="D80" s="30"/>
      <c r="E80" s="107" t="str">
        <f t="shared" si="8"/>
        <v/>
      </c>
      <c r="F80" s="107" t="str">
        <f t="shared" si="9"/>
        <v/>
      </c>
      <c r="G80" s="79">
        <f ca="1">IEAData!$AD$106</f>
        <v>0</v>
      </c>
      <c r="H80" s="79">
        <f ca="1">AuxData!$AD$106</f>
        <v>0</v>
      </c>
      <c r="I80" s="79"/>
      <c r="J80" s="40" t="str">
        <f t="shared" si="10"/>
        <v/>
      </c>
      <c r="K80" s="40" t="str">
        <f t="shared" si="11"/>
        <v/>
      </c>
      <c r="L80" s="79"/>
      <c r="M80" s="79"/>
      <c r="N80" s="708"/>
      <c r="O80" s="708"/>
      <c r="P80" s="708"/>
      <c r="Q80" s="708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</row>
    <row r="81" spans="1:45">
      <c r="A81" s="107"/>
      <c r="B81" s="107"/>
      <c r="C81" s="107" t="str">
        <f ca="1">IF(1,AuxData!$AE$97,"")</f>
        <v>OINJTG</v>
      </c>
      <c r="D81" s="30"/>
      <c r="E81" s="107" t="str">
        <f t="shared" si="8"/>
        <v/>
      </c>
      <c r="F81" s="107" t="str">
        <f t="shared" si="9"/>
        <v/>
      </c>
      <c r="G81" s="79">
        <f ca="1">IEAData!$AE$106</f>
        <v>0</v>
      </c>
      <c r="H81" s="79">
        <f ca="1">AuxData!$AE$106</f>
        <v>0</v>
      </c>
      <c r="I81" s="79"/>
      <c r="J81" s="40" t="str">
        <f t="shared" si="10"/>
        <v/>
      </c>
      <c r="K81" s="40" t="str">
        <f t="shared" si="11"/>
        <v/>
      </c>
      <c r="L81" s="79"/>
      <c r="M81" s="79"/>
      <c r="N81" s="708"/>
      <c r="O81" s="708"/>
      <c r="P81" s="708"/>
      <c r="Q81" s="708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</row>
    <row r="82" spans="1:45">
      <c r="A82" s="107"/>
      <c r="B82" s="107"/>
      <c r="C82" s="107" t="str">
        <f ca="1">IF(1,AuxData!$AF$97,"")</f>
        <v>OINJTK</v>
      </c>
      <c r="D82" s="30"/>
      <c r="E82" s="107" t="str">
        <f t="shared" si="8"/>
        <v/>
      </c>
      <c r="F82" s="107" t="str">
        <f t="shared" si="9"/>
        <v/>
      </c>
      <c r="G82" s="79">
        <f ca="1">IEAData!$AF$106</f>
        <v>0</v>
      </c>
      <c r="H82" s="79">
        <f ca="1">AuxData!$AF$106</f>
        <v>0</v>
      </c>
      <c r="I82" s="79"/>
      <c r="J82" s="40" t="str">
        <f t="shared" si="10"/>
        <v/>
      </c>
      <c r="K82" s="40" t="str">
        <f t="shared" si="11"/>
        <v/>
      </c>
      <c r="L82" s="79"/>
      <c r="M82" s="79"/>
      <c r="N82" s="708"/>
      <c r="O82" s="708"/>
      <c r="P82" s="708"/>
      <c r="Q82" s="708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</row>
    <row r="83" spans="1:45">
      <c r="A83" s="107"/>
      <c r="B83" s="107"/>
      <c r="C83" s="107" t="str">
        <f ca="1">IF(1,AuxData!$AG$97,"")</f>
        <v>OINKER</v>
      </c>
      <c r="D83" s="30"/>
      <c r="E83" s="107" t="str">
        <f t="shared" si="8"/>
        <v>OINKER</v>
      </c>
      <c r="F83" s="107" t="str">
        <f t="shared" si="9"/>
        <v>UPXREFO</v>
      </c>
      <c r="G83" s="79">
        <f ca="1">IEAData!$AG$106</f>
        <v>-23.133995928000004</v>
      </c>
      <c r="H83" s="79">
        <f ca="1">AuxData!$AG$106</f>
        <v>-0.85999799999999993</v>
      </c>
      <c r="I83" s="79"/>
      <c r="J83" s="40">
        <f t="shared" si="10"/>
        <v>-23.133995928000004</v>
      </c>
      <c r="K83" s="40">
        <f t="shared" si="11"/>
        <v>-0.85999799999999993</v>
      </c>
      <c r="L83" s="79"/>
      <c r="M83" s="79"/>
      <c r="N83" s="708"/>
      <c r="O83" s="708"/>
      <c r="P83" s="708"/>
      <c r="Q83" s="708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</row>
    <row r="84" spans="1:45">
      <c r="A84" s="107"/>
      <c r="B84" s="107"/>
      <c r="C84" s="107" t="str">
        <f ca="1">IF(1,AuxData!$AH$97,"")</f>
        <v>OINDST</v>
      </c>
      <c r="D84" s="30"/>
      <c r="E84" s="107" t="str">
        <f t="shared" si="8"/>
        <v>OINDST</v>
      </c>
      <c r="F84" s="107" t="str">
        <f t="shared" si="9"/>
        <v>UPXREFO</v>
      </c>
      <c r="G84" s="79">
        <f ca="1">IEAData!$AH$106</f>
        <v>-62.494186464000002</v>
      </c>
      <c r="H84" s="79">
        <f ca="1">AuxData!$AH$106</f>
        <v>-27.178800599999999</v>
      </c>
      <c r="I84" s="79"/>
      <c r="J84" s="40">
        <f t="shared" si="10"/>
        <v>-62.494186464000002</v>
      </c>
      <c r="K84" s="40">
        <f t="shared" si="11"/>
        <v>-27.178800599999999</v>
      </c>
      <c r="L84" s="79"/>
      <c r="M84" s="79"/>
      <c r="N84" s="708"/>
      <c r="O84" s="708"/>
      <c r="P84" s="708"/>
      <c r="Q84" s="708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</row>
    <row r="85" spans="1:45">
      <c r="A85" s="107"/>
      <c r="B85" s="107"/>
      <c r="C85" s="107" t="str">
        <f ca="1">IF(1,AuxData!$AI$97,"")</f>
        <v>OINHFO</v>
      </c>
      <c r="D85" s="30"/>
      <c r="E85" s="107" t="str">
        <f t="shared" si="8"/>
        <v>OINHFO</v>
      </c>
      <c r="F85" s="107" t="str">
        <f t="shared" si="9"/>
        <v>UPXREFO</v>
      </c>
      <c r="G85" s="79">
        <f ca="1">IEAData!$AI$106</f>
        <v>-14.439980124</v>
      </c>
      <c r="H85" s="79">
        <f ca="1">AuxData!$AI$106</f>
        <v>-30.599998200000002</v>
      </c>
      <c r="I85" s="79"/>
      <c r="J85" s="40">
        <f t="shared" si="10"/>
        <v>-14.439980124</v>
      </c>
      <c r="K85" s="40">
        <f t="shared" si="11"/>
        <v>-30.599998200000002</v>
      </c>
      <c r="L85" s="79"/>
      <c r="M85" s="79"/>
      <c r="N85" s="708"/>
      <c r="O85" s="708"/>
      <c r="P85" s="708"/>
      <c r="Q85" s="708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</row>
    <row r="86" spans="1:45">
      <c r="A86" s="107"/>
      <c r="B86" s="107"/>
      <c r="C86" s="107" t="str">
        <f ca="1">IF(1,AuxData!$AJ$97,"")</f>
        <v>OINNAP</v>
      </c>
      <c r="D86" s="30"/>
      <c r="E86" s="107" t="str">
        <f t="shared" si="8"/>
        <v>OINNAP</v>
      </c>
      <c r="F86" s="107" t="str">
        <f t="shared" si="9"/>
        <v>UPXREFO</v>
      </c>
      <c r="G86" s="79">
        <f ca="1">IEAData!$AJ$106</f>
        <v>-6.0719904360000001</v>
      </c>
      <c r="H86" s="79">
        <f ca="1">AuxData!$AJ$106</f>
        <v>-0.57200059999999997</v>
      </c>
      <c r="I86" s="79"/>
      <c r="J86" s="40">
        <f t="shared" si="10"/>
        <v>-6.0719904360000001</v>
      </c>
      <c r="K86" s="40">
        <f t="shared" si="11"/>
        <v>-0.57200059999999997</v>
      </c>
      <c r="L86" s="79"/>
      <c r="M86" s="79"/>
      <c r="N86" s="708"/>
      <c r="O86" s="708"/>
      <c r="P86" s="708"/>
      <c r="Q86" s="708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</row>
    <row r="87" spans="1:45">
      <c r="A87" s="107"/>
      <c r="B87" s="107"/>
      <c r="C87" s="107" t="str">
        <f ca="1">IF(1,AuxData!$AK$97,"")</f>
        <v>OINWSP</v>
      </c>
      <c r="D87" s="30"/>
      <c r="E87" s="107" t="str">
        <f t="shared" si="8"/>
        <v>OINWSP</v>
      </c>
      <c r="F87" s="107" t="str">
        <f t="shared" si="9"/>
        <v>UPXREFO</v>
      </c>
      <c r="G87" s="79">
        <f ca="1">IEAData!$AK$106</f>
        <v>0</v>
      </c>
      <c r="H87" s="79">
        <f ca="1">AuxData!$AK$106</f>
        <v>-0.65399909999999994</v>
      </c>
      <c r="I87" s="79"/>
      <c r="J87" s="40">
        <f t="shared" si="10"/>
        <v>0</v>
      </c>
      <c r="K87" s="40">
        <f t="shared" si="11"/>
        <v>-0.65399909999999994</v>
      </c>
      <c r="L87" s="79"/>
      <c r="M87" s="79"/>
      <c r="N87" s="708"/>
      <c r="O87" s="708"/>
      <c r="P87" s="708"/>
      <c r="Q87" s="708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</row>
    <row r="88" spans="1:45">
      <c r="A88" s="107"/>
      <c r="B88" s="107"/>
      <c r="C88" s="107" t="str">
        <f ca="1">IF(1,AuxData!$AL$97,"")</f>
        <v>OINLUB</v>
      </c>
      <c r="D88" s="30"/>
      <c r="E88" s="107" t="str">
        <f t="shared" si="8"/>
        <v/>
      </c>
      <c r="F88" s="107" t="str">
        <f t="shared" si="9"/>
        <v/>
      </c>
      <c r="G88" s="79">
        <f ca="1">IEAData!$AL$106</f>
        <v>0</v>
      </c>
      <c r="H88" s="79">
        <f ca="1">AuxData!$AL$106</f>
        <v>0</v>
      </c>
      <c r="I88" s="79"/>
      <c r="J88" s="40" t="str">
        <f t="shared" si="10"/>
        <v/>
      </c>
      <c r="K88" s="40" t="str">
        <f t="shared" si="11"/>
        <v/>
      </c>
      <c r="L88" s="79"/>
      <c r="M88" s="79"/>
      <c r="N88" s="708"/>
      <c r="O88" s="708"/>
      <c r="P88" s="708"/>
      <c r="Q88" s="708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</row>
    <row r="89" spans="1:45">
      <c r="A89" s="107"/>
      <c r="B89" s="107"/>
      <c r="C89" s="107" t="str">
        <f ca="1">IF(1,AuxData!$AM$97,"")</f>
        <v>OINASP</v>
      </c>
      <c r="D89" s="30"/>
      <c r="E89" s="107" t="str">
        <f t="shared" si="8"/>
        <v/>
      </c>
      <c r="F89" s="107" t="str">
        <f t="shared" si="9"/>
        <v/>
      </c>
      <c r="G89" s="79">
        <f ca="1">IEAData!$AM$106</f>
        <v>0</v>
      </c>
      <c r="H89" s="79">
        <f ca="1">AuxData!$AM$106</f>
        <v>0</v>
      </c>
      <c r="I89" s="79"/>
      <c r="J89" s="40" t="str">
        <f t="shared" si="10"/>
        <v/>
      </c>
      <c r="K89" s="40" t="str">
        <f t="shared" si="11"/>
        <v/>
      </c>
      <c r="L89" s="79"/>
      <c r="M89" s="79"/>
      <c r="N89" s="708"/>
      <c r="O89" s="708"/>
      <c r="P89" s="708"/>
      <c r="Q89" s="708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</row>
    <row r="90" spans="1:45">
      <c r="A90" s="107"/>
      <c r="B90" s="107"/>
      <c r="C90" s="107" t="str">
        <f ca="1">IF(1,AuxData!$AN$97,"")</f>
        <v>OINWAX</v>
      </c>
      <c r="D90" s="30"/>
      <c r="E90" s="107" t="str">
        <f t="shared" si="8"/>
        <v/>
      </c>
      <c r="F90" s="107" t="str">
        <f t="shared" si="9"/>
        <v/>
      </c>
      <c r="G90" s="79">
        <f ca="1">IEAData!$AN$106</f>
        <v>0</v>
      </c>
      <c r="H90" s="79">
        <f ca="1">AuxData!$AN$106</f>
        <v>0</v>
      </c>
      <c r="I90" s="79"/>
      <c r="J90" s="40" t="str">
        <f t="shared" si="10"/>
        <v/>
      </c>
      <c r="K90" s="40" t="str">
        <f t="shared" si="11"/>
        <v/>
      </c>
      <c r="L90" s="79"/>
      <c r="M90" s="79"/>
      <c r="N90" s="708"/>
      <c r="O90" s="708"/>
      <c r="P90" s="708"/>
      <c r="Q90" s="708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</row>
    <row r="91" spans="1:45">
      <c r="A91" s="107"/>
      <c r="B91" s="107"/>
      <c r="C91" s="107" t="str">
        <f ca="1">IF(1,AuxData!$AO$97,"")</f>
        <v>OINPTC</v>
      </c>
      <c r="D91" s="30"/>
      <c r="E91" s="107" t="str">
        <f t="shared" si="8"/>
        <v/>
      </c>
      <c r="F91" s="107" t="str">
        <f t="shared" si="9"/>
        <v/>
      </c>
      <c r="G91" s="79">
        <f ca="1">IEAData!$AO$106</f>
        <v>0</v>
      </c>
      <c r="H91" s="79">
        <f ca="1">AuxData!$AO$106</f>
        <v>0</v>
      </c>
      <c r="I91" s="79"/>
      <c r="J91" s="40" t="str">
        <f t="shared" si="10"/>
        <v/>
      </c>
      <c r="K91" s="40" t="str">
        <f t="shared" si="11"/>
        <v/>
      </c>
      <c r="L91" s="79"/>
      <c r="M91" s="79"/>
      <c r="N91" s="708"/>
      <c r="O91" s="708"/>
      <c r="P91" s="708"/>
      <c r="Q91" s="708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</row>
    <row r="92" spans="1:45">
      <c r="A92" s="106"/>
      <c r="B92" s="106"/>
      <c r="C92" s="106" t="str">
        <f ca="1">IF(1,AuxData!$AP$97,"")</f>
        <v>OINNSP</v>
      </c>
      <c r="D92" s="30"/>
      <c r="E92" s="107" t="str">
        <f t="shared" si="8"/>
        <v>OINNSP</v>
      </c>
      <c r="F92" s="107" t="str">
        <f t="shared" si="9"/>
        <v>UPXREFO</v>
      </c>
      <c r="G92" s="87">
        <f ca="1">IEAData!$AP$106</f>
        <v>1.2400045560000001</v>
      </c>
      <c r="H92" s="87">
        <f ca="1">AuxData!$AP$106</f>
        <v>12.200000299999999</v>
      </c>
      <c r="I92" s="87"/>
      <c r="J92" s="40">
        <f t="shared" si="10"/>
        <v>1.2400045560000001</v>
      </c>
      <c r="K92" s="40">
        <f t="shared" si="11"/>
        <v>12.200000299999999</v>
      </c>
      <c r="L92" s="87"/>
      <c r="M92" s="87"/>
      <c r="N92" s="712"/>
      <c r="O92" s="712"/>
      <c r="P92" s="712"/>
      <c r="Q92" s="712"/>
      <c r="R92" s="248"/>
      <c r="S92" s="248"/>
      <c r="T92" s="248"/>
      <c r="U92" s="248"/>
      <c r="V92" s="248"/>
      <c r="W92" s="248"/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8"/>
      <c r="AI92" s="248"/>
      <c r="AJ92" s="248"/>
      <c r="AK92" s="248"/>
      <c r="AL92" s="248"/>
      <c r="AM92" s="248"/>
      <c r="AN92" s="248"/>
      <c r="AO92" s="248"/>
      <c r="AP92" s="248"/>
      <c r="AQ92" s="248"/>
      <c r="AR92" s="248"/>
      <c r="AS92" s="248"/>
    </row>
    <row r="93" spans="1:45">
      <c r="A93" s="11"/>
      <c r="B93" s="11"/>
      <c r="D93" s="55"/>
      <c r="F93" s="249"/>
      <c r="G93" s="55"/>
      <c r="H93" s="55"/>
      <c r="I93" s="34"/>
      <c r="J93" s="34"/>
      <c r="K93" s="34"/>
      <c r="L93" s="34"/>
      <c r="M93" s="34"/>
      <c r="N93" s="55"/>
      <c r="O93" s="55"/>
    </row>
    <row r="94" spans="1:45">
      <c r="A94" s="713" t="str">
        <f>A9</f>
        <v>USTOCKCN00</v>
      </c>
      <c r="B94" s="713"/>
      <c r="C94" s="708"/>
      <c r="D94" s="708" t="s">
        <v>829</v>
      </c>
      <c r="E94" s="708"/>
      <c r="F94" s="708"/>
      <c r="G94" s="708">
        <f>SUM(G9:G39)</f>
        <v>75.492651347999995</v>
      </c>
      <c r="H94" s="708">
        <f>SUM(H9:H39)</f>
        <v>46.928375699999997</v>
      </c>
      <c r="J94" s="714"/>
      <c r="K94" s="714"/>
    </row>
    <row r="95" spans="1:45">
      <c r="A95" s="713" t="str">
        <f>A40</f>
        <v>USTATDIN00</v>
      </c>
      <c r="B95" s="713"/>
      <c r="C95" s="708"/>
      <c r="D95" s="708" t="s">
        <v>829</v>
      </c>
      <c r="E95" s="708"/>
      <c r="F95" s="708"/>
      <c r="G95" s="708">
        <f>SUM(G40:G69)</f>
        <v>-9.0521965439999992</v>
      </c>
      <c r="H95" s="708">
        <f>SUM(H40:H69)</f>
        <v>5.5264421000000006</v>
      </c>
      <c r="J95" s="714"/>
      <c r="K95" s="714"/>
    </row>
    <row r="96" spans="1:45">
      <c r="A96" s="713" t="str">
        <f>A70</f>
        <v>UTRANSFN00</v>
      </c>
      <c r="B96" s="713"/>
      <c r="C96" s="708"/>
      <c r="D96" s="708" t="s">
        <v>829</v>
      </c>
      <c r="E96" s="708"/>
      <c r="F96" s="708"/>
      <c r="G96" s="708">
        <f>SUM(G70:G92)</f>
        <v>8.0372324879999866</v>
      </c>
      <c r="H96" s="708">
        <f>SUM(H70:H92)</f>
        <v>0.73020730000001777</v>
      </c>
      <c r="J96" s="714"/>
      <c r="K96" s="714"/>
    </row>
    <row r="102" spans="1:17" ht="18">
      <c r="A102" s="15"/>
      <c r="B102" s="318"/>
      <c r="D102" s="225"/>
      <c r="F102" s="228"/>
      <c r="G102" s="226"/>
      <c r="H102" s="226"/>
      <c r="I102" s="34"/>
      <c r="J102" s="225"/>
      <c r="K102" s="225"/>
      <c r="L102" s="11"/>
      <c r="M102" s="11"/>
      <c r="N102" s="55"/>
      <c r="O102" s="55"/>
      <c r="P102" s="55"/>
      <c r="Q102" s="55"/>
    </row>
    <row r="103" spans="1:17">
      <c r="A103" s="90"/>
      <c r="D103" s="314"/>
      <c r="F103" s="228"/>
      <c r="I103" s="57"/>
      <c r="J103" s="57"/>
      <c r="K103" s="57"/>
      <c r="N103" s="57"/>
      <c r="O103" s="57"/>
      <c r="P103" s="57"/>
      <c r="Q103" s="5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Q98"/>
  <sheetViews>
    <sheetView zoomScale="75" workbookViewId="0">
      <selection activeCell="D129" sqref="D129"/>
    </sheetView>
  </sheetViews>
  <sheetFormatPr defaultColWidth="9.140625" defaultRowHeight="12.75"/>
  <cols>
    <col min="1" max="1" width="12.140625" customWidth="1"/>
    <col min="2" max="2" width="26" customWidth="1"/>
    <col min="5" max="5" width="20.7109375" customWidth="1"/>
    <col min="6" max="6" width="5.28515625" customWidth="1"/>
    <col min="7" max="7" width="7" customWidth="1"/>
  </cols>
  <sheetData>
    <row r="1" spans="1:43" ht="18">
      <c r="A1" s="715" t="s">
        <v>1099</v>
      </c>
      <c r="B1" s="716"/>
      <c r="C1" s="716"/>
      <c r="D1" s="716"/>
      <c r="E1" s="716"/>
      <c r="F1" s="716"/>
      <c r="G1" s="717"/>
      <c r="H1" s="717"/>
      <c r="I1" s="717"/>
      <c r="J1" s="717"/>
      <c r="K1" s="717"/>
      <c r="L1" s="717"/>
      <c r="M1" s="717"/>
      <c r="N1" s="717"/>
      <c r="O1" s="717"/>
      <c r="P1" s="717"/>
      <c r="Q1" s="717"/>
      <c r="R1" s="717"/>
      <c r="S1" s="717"/>
      <c r="T1" s="717"/>
      <c r="U1" s="717"/>
    </row>
    <row r="2" spans="1:43" ht="18">
      <c r="A2" s="715"/>
      <c r="B2" s="716"/>
      <c r="C2" s="716"/>
      <c r="D2" s="716"/>
      <c r="E2" s="228"/>
      <c r="F2" s="716"/>
      <c r="G2" s="717"/>
      <c r="H2" s="717"/>
      <c r="I2" s="717"/>
      <c r="J2" s="717"/>
      <c r="K2" s="717"/>
      <c r="L2" s="717"/>
      <c r="M2" s="717"/>
      <c r="N2" s="717"/>
      <c r="O2" s="717"/>
      <c r="P2" s="717"/>
      <c r="Q2" s="717"/>
      <c r="R2" s="717"/>
      <c r="S2" s="717"/>
      <c r="T2" s="717"/>
      <c r="U2" s="717"/>
    </row>
    <row r="3" spans="1:43">
      <c r="E3" s="382"/>
    </row>
    <row r="4" spans="1:43" ht="18">
      <c r="A4" s="320" t="s">
        <v>1100</v>
      </c>
      <c r="B4" s="152"/>
      <c r="C4" s="152"/>
      <c r="D4" s="152"/>
      <c r="G4" s="718" t="str">
        <f>"~FI_T: "&amp;Region</f>
        <v>~FI_T: FIN</v>
      </c>
      <c r="K4" s="719"/>
      <c r="L4" s="719"/>
      <c r="N4" s="719"/>
      <c r="O4" s="719"/>
      <c r="P4" s="719"/>
      <c r="Q4" s="719"/>
      <c r="R4" s="719"/>
      <c r="S4" s="719"/>
    </row>
    <row r="5" spans="1:43" ht="23.25" thickBot="1">
      <c r="A5" s="406" t="s">
        <v>529</v>
      </c>
      <c r="B5" s="406" t="s">
        <v>530</v>
      </c>
      <c r="C5" s="406" t="s">
        <v>531</v>
      </c>
      <c r="D5" s="406" t="s">
        <v>532</v>
      </c>
      <c r="E5" s="406" t="s">
        <v>323</v>
      </c>
      <c r="F5" s="406" t="s">
        <v>654</v>
      </c>
      <c r="G5" s="720" t="s">
        <v>533</v>
      </c>
      <c r="H5" s="407" t="str">
        <f ca="1">"IRE_PRICE~"&amp;BaseYear</f>
        <v>IRE_PRICE~2010</v>
      </c>
      <c r="I5" s="407" t="str">
        <f ca="1">"IRE_PRICE~"&amp;2020</f>
        <v>IRE_PRICE~2020</v>
      </c>
      <c r="J5" s="407" t="str">
        <f ca="1">"IRE_PRICE~"&amp;2050</f>
        <v>IRE_PRICE~2050</v>
      </c>
      <c r="K5" s="721" t="str">
        <f ca="1">"ACT_BND~UP~"&amp;BaseYear</f>
        <v>ACT_BND~UP~2010</v>
      </c>
      <c r="L5" s="721" t="str">
        <f ca="1">"ACT_BND~UP~"&amp;Auxyear</f>
        <v>ACT_BND~UP~2017</v>
      </c>
      <c r="M5" s="721" t="str">
        <f ca="1">"ACT_BND~UP~"&amp;CEILING(Auxyear+11,5)</f>
        <v>ACT_BND~UP~2030</v>
      </c>
      <c r="N5" s="721" t="s">
        <v>948</v>
      </c>
      <c r="O5" s="719"/>
      <c r="P5" s="719"/>
      <c r="Q5" s="719"/>
      <c r="R5" s="719"/>
      <c r="S5" s="719"/>
    </row>
    <row r="6" spans="1:43">
      <c r="A6" s="408" t="str">
        <f>"IMP"&amp;D6&amp;"Y"</f>
        <v>IMPBIOCHRY</v>
      </c>
      <c r="B6" s="408" t="str">
        <f>"Import of "&amp;D6</f>
        <v>Import of BIOCHR</v>
      </c>
      <c r="C6" s="409"/>
      <c r="D6" s="409" t="s">
        <v>153</v>
      </c>
      <c r="E6" s="409" t="s">
        <v>340</v>
      </c>
      <c r="F6" s="410" t="s">
        <v>638</v>
      </c>
      <c r="G6" s="722" t="s">
        <v>585</v>
      </c>
      <c r="H6" s="411">
        <v>10</v>
      </c>
      <c r="I6" s="411"/>
      <c r="J6" s="411"/>
      <c r="K6" s="723">
        <v>10</v>
      </c>
      <c r="L6" s="723">
        <v>10</v>
      </c>
      <c r="M6" s="723">
        <v>10</v>
      </c>
      <c r="N6" s="724">
        <v>2</v>
      </c>
      <c r="O6" s="719"/>
      <c r="P6" s="719"/>
      <c r="Q6" s="719"/>
      <c r="R6" s="719"/>
      <c r="S6" s="719"/>
    </row>
    <row r="7" spans="1:43">
      <c r="A7" s="408" t="str">
        <f>"IMP"&amp;D7&amp;"Y"</f>
        <v>IMPBIOTRDY</v>
      </c>
      <c r="B7" s="408" t="str">
        <f>"IRE(U)-"&amp;D7&amp;" Import from GLB"</f>
        <v>IRE(U)-BIOTRD Import from GLB</v>
      </c>
      <c r="C7" s="409"/>
      <c r="D7" s="409" t="s">
        <v>367</v>
      </c>
      <c r="E7" s="409" t="s">
        <v>368</v>
      </c>
      <c r="F7" s="410" t="s">
        <v>638</v>
      </c>
      <c r="G7" s="722" t="s">
        <v>585</v>
      </c>
      <c r="H7" s="411">
        <v>10</v>
      </c>
      <c r="I7" s="411"/>
      <c r="J7" s="411"/>
      <c r="K7" s="723">
        <v>1</v>
      </c>
      <c r="L7" s="723">
        <v>1</v>
      </c>
      <c r="M7" s="723">
        <v>5</v>
      </c>
      <c r="N7" s="724">
        <v>5</v>
      </c>
      <c r="O7" s="719"/>
      <c r="P7" s="719"/>
      <c r="Q7" s="719"/>
      <c r="R7" s="719"/>
      <c r="S7" s="719"/>
    </row>
    <row r="8" spans="1:43">
      <c r="A8" s="408" t="str">
        <f>"IMP"&amp;D8&amp;"Y"</f>
        <v>IMPSYNMETY</v>
      </c>
      <c r="B8" s="408" t="str">
        <f>"Import of "&amp;D8</f>
        <v>Import of SYNMET</v>
      </c>
      <c r="C8" s="409"/>
      <c r="D8" s="409" t="s">
        <v>423</v>
      </c>
      <c r="E8" s="409" t="s">
        <v>1101</v>
      </c>
      <c r="F8" s="410" t="s">
        <v>638</v>
      </c>
      <c r="G8" s="722" t="s">
        <v>585</v>
      </c>
      <c r="H8" s="411">
        <v>18</v>
      </c>
      <c r="I8" s="411">
        <v>18</v>
      </c>
      <c r="J8" s="411">
        <v>18</v>
      </c>
      <c r="K8" s="723">
        <v>50</v>
      </c>
      <c r="L8" s="723">
        <v>50</v>
      </c>
      <c r="M8" s="723">
        <v>50</v>
      </c>
      <c r="N8" s="724">
        <v>5</v>
      </c>
      <c r="O8" s="719"/>
      <c r="P8" s="719"/>
      <c r="Q8" s="719"/>
      <c r="R8" s="719"/>
      <c r="S8" s="719"/>
    </row>
    <row r="9" spans="1:43">
      <c r="A9" s="408" t="str">
        <f>"IMP"&amp;D9&amp;"Y"</f>
        <v>IMPSYNETHY</v>
      </c>
      <c r="B9" s="408" t="str">
        <f>"IRE(U)-"&amp;D9&amp;" Import from GLB"</f>
        <v>IRE(U)-SYNETH Import from GLB</v>
      </c>
      <c r="C9" s="409"/>
      <c r="D9" s="409" t="s">
        <v>419</v>
      </c>
      <c r="E9" s="409" t="s">
        <v>420</v>
      </c>
      <c r="F9" s="410" t="s">
        <v>638</v>
      </c>
      <c r="G9" s="722" t="s">
        <v>585</v>
      </c>
      <c r="H9" s="411">
        <v>30</v>
      </c>
      <c r="I9" s="411"/>
      <c r="J9" s="411"/>
      <c r="K9" s="723">
        <v>50</v>
      </c>
      <c r="L9" s="723">
        <v>50</v>
      </c>
      <c r="M9" s="723">
        <v>50</v>
      </c>
      <c r="N9" s="724">
        <v>5</v>
      </c>
      <c r="O9" s="719"/>
      <c r="P9" s="719"/>
      <c r="Q9" s="719"/>
      <c r="R9" s="719"/>
      <c r="S9" s="719"/>
    </row>
    <row r="10" spans="1:43">
      <c r="A10" s="408" t="s">
        <v>1102</v>
      </c>
      <c r="B10" s="408" t="s">
        <v>1103</v>
      </c>
      <c r="C10" s="409"/>
      <c r="D10" s="409" t="s">
        <v>185</v>
      </c>
      <c r="E10" s="409" t="s">
        <v>1104</v>
      </c>
      <c r="F10" s="410" t="s">
        <v>638</v>
      </c>
      <c r="G10" s="722" t="s">
        <v>585</v>
      </c>
      <c r="H10" s="411">
        <v>30</v>
      </c>
      <c r="I10" s="411"/>
      <c r="J10" s="411"/>
      <c r="K10" s="723">
        <f ca="1">MAX(0,SUM(IEAData!AU54:AU55)*1.05)</f>
        <v>39.700924880400002</v>
      </c>
      <c r="L10" s="723">
        <f ca="1">MAX(0,SUM(AuxData!AU54:AU55)*1.05)</f>
        <v>77.206496639999997</v>
      </c>
      <c r="M10" s="723"/>
      <c r="N10" s="724">
        <v>2</v>
      </c>
    </row>
    <row r="11" spans="1:43">
      <c r="A11" s="408" t="str">
        <f>"IMP"&amp;D11&amp;"Y"</f>
        <v>IMPOILFEEY</v>
      </c>
      <c r="B11" s="408" t="str">
        <f>"Import of "&amp;D11</f>
        <v>Import of OILFEE</v>
      </c>
      <c r="C11" s="107"/>
      <c r="D11" s="107" t="s">
        <v>746</v>
      </c>
      <c r="E11" s="409" t="s">
        <v>760</v>
      </c>
      <c r="F11" s="343" t="s">
        <v>638</v>
      </c>
      <c r="G11" s="722" t="s">
        <v>585</v>
      </c>
      <c r="H11" s="411">
        <v>20</v>
      </c>
      <c r="I11" s="411"/>
      <c r="J11" s="411"/>
      <c r="K11" s="723"/>
      <c r="L11" s="723"/>
      <c r="M11" s="723"/>
      <c r="N11" s="724"/>
    </row>
    <row r="12" spans="1:43">
      <c r="A12" s="408" t="str">
        <f>"IMP"&amp;D12&amp;"Y"</f>
        <v>IMPCONOVCY</v>
      </c>
      <c r="B12" s="408" t="str">
        <f>"Import of "&amp;D12</f>
        <v>Import of CONOVC</v>
      </c>
      <c r="C12" s="409"/>
      <c r="D12" s="409" t="s">
        <v>147</v>
      </c>
      <c r="E12" s="409" t="s">
        <v>1105</v>
      </c>
      <c r="F12" s="343" t="s">
        <v>638</v>
      </c>
      <c r="G12" s="722" t="s">
        <v>585</v>
      </c>
      <c r="H12" s="411">
        <v>12</v>
      </c>
      <c r="I12" s="411"/>
      <c r="J12" s="411"/>
      <c r="K12" s="411">
        <f ca="1">SUM(IEAData!E102:E103)</f>
        <v>12.774806028000002</v>
      </c>
      <c r="L12" s="411">
        <f ca="1">SUM(AuxData!E102:E103)</f>
        <v>4.5708006999999995</v>
      </c>
      <c r="M12" s="411">
        <v>10</v>
      </c>
      <c r="N12" s="411">
        <v>5</v>
      </c>
    </row>
    <row r="13" spans="1:43">
      <c r="A13" s="408" t="s">
        <v>1106</v>
      </c>
      <c r="B13" s="408" t="s">
        <v>1107</v>
      </c>
      <c r="C13" s="409"/>
      <c r="D13" s="409" t="s">
        <v>146</v>
      </c>
      <c r="E13" s="409" t="s">
        <v>1108</v>
      </c>
      <c r="F13" s="343" t="s">
        <v>638</v>
      </c>
      <c r="G13" s="722" t="s">
        <v>585</v>
      </c>
      <c r="H13" s="411">
        <v>6</v>
      </c>
      <c r="I13" s="411">
        <f>SQRT(H13*J13)</f>
        <v>10.954451150103322</v>
      </c>
      <c r="J13" s="411">
        <v>20</v>
      </c>
      <c r="K13" s="411">
        <f ca="1">SUM(IEAData!C57,IEAData!C60)</f>
        <v>20.790811439999999</v>
      </c>
      <c r="L13" s="411">
        <f ca="1">SUM(AuxData!C57,AuxData!C60)</f>
        <v>22.879451</v>
      </c>
      <c r="M13" s="411">
        <v>10</v>
      </c>
      <c r="N13" s="411">
        <v>5</v>
      </c>
    </row>
    <row r="14" spans="1:43" s="229" customFormat="1">
      <c r="A14" s="408" t="str">
        <f>"IMP"&amp;D14&amp;"Y"</f>
        <v>IMPOINNGLY</v>
      </c>
      <c r="B14" s="408" t="str">
        <f>"Import of "&amp;D14</f>
        <v>Import of OINNGL</v>
      </c>
      <c r="C14" s="409"/>
      <c r="D14" s="409" t="s">
        <v>164</v>
      </c>
      <c r="E14" s="409" t="s">
        <v>1109</v>
      </c>
      <c r="F14" s="343" t="s">
        <v>638</v>
      </c>
      <c r="G14" s="722" t="s">
        <v>585</v>
      </c>
      <c r="H14" s="411">
        <v>8.5</v>
      </c>
      <c r="I14" s="411">
        <v>9</v>
      </c>
      <c r="J14" s="411">
        <v>10</v>
      </c>
      <c r="K14" s="411">
        <f ca="1">SUM(IEAData!$S$54:$S$55)*1.1</f>
        <v>21.392776983600005</v>
      </c>
      <c r="L14" s="411">
        <f ca="1">SUM(AuxData!$S$54:$S$55)*1.1</f>
        <v>66.162800000000004</v>
      </c>
      <c r="M14" s="411">
        <f>K14</f>
        <v>21.392776983600005</v>
      </c>
      <c r="N14" s="411">
        <v>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>
      <c r="A15" s="408" t="str">
        <f>"IMP"&amp;D15&amp;"Y"</f>
        <v>IMPBIOADDY</v>
      </c>
      <c r="B15" s="408" t="str">
        <f>"Import of "&amp;D15</f>
        <v>Import of BIOADD</v>
      </c>
      <c r="C15" s="409"/>
      <c r="D15" s="409" t="s">
        <v>330</v>
      </c>
      <c r="E15" s="409" t="s">
        <v>1110</v>
      </c>
      <c r="F15" s="410" t="s">
        <v>638</v>
      </c>
      <c r="G15" s="722" t="s">
        <v>585</v>
      </c>
      <c r="H15" s="411">
        <v>5</v>
      </c>
      <c r="I15" s="411"/>
      <c r="J15" s="411"/>
      <c r="K15" s="411">
        <f ca="1">IEAData!O54</f>
        <v>4.4511964200000005</v>
      </c>
      <c r="L15" s="411">
        <f ca="1">AuxData!$O$54</f>
        <v>3.5864672999999994</v>
      </c>
      <c r="M15" s="411">
        <v>4</v>
      </c>
      <c r="N15" s="411">
        <v>3</v>
      </c>
    </row>
    <row r="96" spans="2:2">
      <c r="B96" s="725"/>
    </row>
    <row r="97" spans="2:2">
      <c r="B97" s="725"/>
    </row>
    <row r="98" spans="2:2">
      <c r="B98" s="725"/>
    </row>
  </sheetData>
  <phoneticPr fontId="38" type="noConversion"/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54"/>
  <sheetViews>
    <sheetView zoomScale="75" workbookViewId="0">
      <selection activeCell="D129" sqref="D129"/>
    </sheetView>
  </sheetViews>
  <sheetFormatPr defaultColWidth="9.140625" defaultRowHeight="12.75"/>
  <cols>
    <col min="1" max="2" width="9.140625" customWidth="1"/>
    <col min="3" max="3" width="12.85546875" bestFit="1" customWidth="1"/>
    <col min="10" max="10" width="13" customWidth="1"/>
    <col min="11" max="11" width="9.85546875" customWidth="1"/>
    <col min="12" max="12" width="10.140625" customWidth="1"/>
    <col min="13" max="13" width="9.85546875" customWidth="1"/>
    <col min="14" max="16" width="9.7109375" customWidth="1"/>
  </cols>
  <sheetData>
    <row r="1" spans="1:16" ht="18">
      <c r="A1" s="15" t="s">
        <v>663</v>
      </c>
      <c r="N1" s="381"/>
    </row>
    <row r="2" spans="1:16" ht="18">
      <c r="C2" s="56" t="s">
        <v>1111</v>
      </c>
      <c r="D2" s="223"/>
      <c r="E2" s="223"/>
      <c r="J2" s="56" t="s">
        <v>610</v>
      </c>
      <c r="K2" s="320"/>
      <c r="L2" s="310" t="str">
        <f>"~FI_T: FLO_EMIS~"&amp;Region</f>
        <v>~FI_T: FLO_EMIS~FIN</v>
      </c>
    </row>
    <row r="3" spans="1:16" ht="13.5" thickBot="1">
      <c r="C3" s="382"/>
      <c r="J3" s="387" t="s">
        <v>529</v>
      </c>
      <c r="K3" s="387" t="s">
        <v>530</v>
      </c>
      <c r="L3" s="387" t="s">
        <v>545</v>
      </c>
      <c r="M3" s="726" t="s">
        <v>508</v>
      </c>
      <c r="N3" s="726" t="s">
        <v>506</v>
      </c>
      <c r="O3" s="726" t="s">
        <v>510</v>
      </c>
      <c r="P3" s="726" t="s">
        <v>832</v>
      </c>
    </row>
    <row r="4" spans="1:16">
      <c r="C4" s="727" t="s">
        <v>1112</v>
      </c>
      <c r="J4" s="350" t="s">
        <v>1039</v>
      </c>
      <c r="K4" s="446"/>
      <c r="L4" s="728" t="s">
        <v>301</v>
      </c>
      <c r="M4" s="729">
        <f>B13*0.98</f>
        <v>91.827274000000003</v>
      </c>
      <c r="N4" s="729">
        <f>C13</f>
        <v>1</v>
      </c>
      <c r="O4" s="729">
        <f>D13</f>
        <v>1.4</v>
      </c>
    </row>
    <row r="5" spans="1:16" ht="13.5" thickBot="1">
      <c r="C5" s="234" t="s">
        <v>322</v>
      </c>
      <c r="D5" s="235" t="str">
        <f ca="1">UPS_FUELS!D30</f>
        <v>UPNCRD</v>
      </c>
      <c r="E5" s="235" t="str">
        <f ca="1">UPS_FUELS!D55</f>
        <v>UPNREN</v>
      </c>
      <c r="J5" s="350"/>
      <c r="K5" s="446"/>
      <c r="L5" s="728" t="s">
        <v>147</v>
      </c>
      <c r="M5" s="729">
        <f>B15*0.98</f>
        <v>103.93487999999999</v>
      </c>
      <c r="N5" s="729">
        <f>C15</f>
        <v>1</v>
      </c>
      <c r="O5" s="729">
        <f>D15</f>
        <v>1.4</v>
      </c>
    </row>
    <row r="6" spans="1:16">
      <c r="C6" s="730" t="s">
        <v>508</v>
      </c>
      <c r="D6" s="731">
        <f ca="1">B21*UPS_FUELS!$I$25+B22*UPS_FUELS!$I$26+B23*UPS_FUELS!$I$27+B24*UPS_FUELS!$I$28+B25*UPS_FUELS!$I$29</f>
        <v>73.3333333333333</v>
      </c>
      <c r="E6" s="731">
        <f ca="1">B44*UPS_FUELS!$I$49+B45*UPS_FUELS!$I$50+B46*UPS_FUELS!$I$51+B47*UPS_FUELS!$I$52+B48*UPS_FUELS!$I$53+B49*UPS_FUELS!$I$54</f>
        <v>1E-4</v>
      </c>
      <c r="J6" s="350"/>
      <c r="K6" s="446"/>
      <c r="L6" s="728" t="s">
        <v>150</v>
      </c>
      <c r="M6" s="729">
        <f>B17*0.99</f>
        <v>43.955999999999996</v>
      </c>
      <c r="N6" s="729">
        <f>C17</f>
        <v>1</v>
      </c>
      <c r="O6" s="729">
        <f>D17</f>
        <v>1.4</v>
      </c>
    </row>
    <row r="7" spans="1:16">
      <c r="C7" s="730" t="s">
        <v>506</v>
      </c>
      <c r="D7" s="731">
        <f ca="1">C21*UPS_FUELS!$I$25+C22*UPS_FUELS!$I$26+C23*UPS_FUELS!$I$27+C24*UPS_FUELS!$I$28+C25*UPS_FUELS!$I$29</f>
        <v>3</v>
      </c>
      <c r="E7" s="731">
        <f ca="1">C44*UPS_FUELS!$I$49+C45*UPS_FUELS!$I$50+C46*UPS_FUELS!$I$51+C47*UPS_FUELS!$I$52+C48*UPS_FUELS!$I$53+C49*UPS_FUELS!$I$54</f>
        <v>30</v>
      </c>
      <c r="J7" s="350"/>
      <c r="K7" s="446"/>
      <c r="L7" s="728" t="s">
        <v>177</v>
      </c>
      <c r="M7" s="729">
        <f>B32*0.98</f>
        <v>75.819333333333361</v>
      </c>
      <c r="N7" s="729">
        <f>C32</f>
        <v>5</v>
      </c>
      <c r="O7" s="729">
        <f>D32</f>
        <v>0.6</v>
      </c>
    </row>
    <row r="8" spans="1:16">
      <c r="C8" s="730" t="s">
        <v>510</v>
      </c>
      <c r="D8" s="731">
        <f ca="1">D21*UPS_FUELS!$I$25+D22*UPS_FUELS!$I$26+D23*UPS_FUELS!$I$27+D24*UPS_FUELS!$I$28+D25*UPS_FUELS!$I$29</f>
        <v>0.6</v>
      </c>
      <c r="E8" s="731">
        <f ca="1">D44*UPS_FUELS!$I$49+D45*UPS_FUELS!$I$50+D46*UPS_FUELS!$I$51+D47*UPS_FUELS!$I$52+D48*UPS_FUELS!$I$53+D49*UPS_FUELS!$I$54</f>
        <v>4</v>
      </c>
      <c r="J8" s="350" t="s">
        <v>572</v>
      </c>
      <c r="K8" s="350"/>
      <c r="L8" s="350" t="s">
        <v>229</v>
      </c>
      <c r="M8" s="729">
        <f>B39</f>
        <v>56.1</v>
      </c>
      <c r="N8" s="729">
        <f>C39</f>
        <v>1</v>
      </c>
      <c r="O8" s="729">
        <f>D39</f>
        <v>0.53720118184260002</v>
      </c>
    </row>
    <row r="9" spans="1:16">
      <c r="J9" s="350"/>
      <c r="K9" s="350"/>
      <c r="L9" s="350" t="s">
        <v>274</v>
      </c>
      <c r="M9" s="729">
        <f>B31</f>
        <v>74.066666666666706</v>
      </c>
      <c r="N9" s="729">
        <f>C31</f>
        <v>5</v>
      </c>
      <c r="O9" s="729">
        <f>D31</f>
        <v>0.6</v>
      </c>
    </row>
    <row r="10" spans="1:16">
      <c r="J10" s="350" t="s">
        <v>615</v>
      </c>
      <c r="K10" s="350"/>
      <c r="L10" s="391" t="str">
        <f ca="1">UPS_FUELS!C8</f>
        <v>GASNGA</v>
      </c>
      <c r="M10" s="729">
        <f t="shared" ref="M10:O11" si="0">B39</f>
        <v>56.1</v>
      </c>
      <c r="N10" s="729">
        <f t="shared" si="0"/>
        <v>1</v>
      </c>
      <c r="O10" s="729">
        <f t="shared" si="0"/>
        <v>0.53720118184260002</v>
      </c>
    </row>
    <row r="11" spans="1:16" ht="18">
      <c r="A11" s="56" t="s">
        <v>609</v>
      </c>
      <c r="B11" s="223"/>
      <c r="C11" s="223"/>
      <c r="D11" s="223"/>
      <c r="E11" s="223"/>
      <c r="J11" s="350"/>
      <c r="K11" s="350"/>
      <c r="L11" s="391" t="s">
        <v>149</v>
      </c>
      <c r="M11" s="729">
        <f t="shared" si="0"/>
        <v>56.1</v>
      </c>
      <c r="N11" s="729">
        <f t="shared" si="0"/>
        <v>1</v>
      </c>
      <c r="O11" s="729">
        <f t="shared" si="0"/>
        <v>0.53720118184260002</v>
      </c>
    </row>
    <row r="12" spans="1:16" ht="13.5" thickBot="1">
      <c r="A12" s="234" t="s">
        <v>612</v>
      </c>
      <c r="B12" s="235" t="str">
        <f>C6</f>
        <v>UPNCO2N</v>
      </c>
      <c r="C12" s="235" t="str">
        <f>C7</f>
        <v>UPNCH4N</v>
      </c>
      <c r="D12" s="235" t="str">
        <f>C8</f>
        <v>UPNN2ON</v>
      </c>
      <c r="E12" s="22"/>
      <c r="F12" s="732" t="s">
        <v>613</v>
      </c>
      <c r="G12" s="732" t="s">
        <v>614</v>
      </c>
      <c r="H12" s="22"/>
      <c r="J12" s="350" t="s">
        <v>616</v>
      </c>
      <c r="K12" s="350"/>
      <c r="L12" s="391" t="str">
        <f ca="1">UPS_FUELS!C11</f>
        <v>GASNGA</v>
      </c>
      <c r="M12" s="729">
        <f>B39</f>
        <v>56.1</v>
      </c>
      <c r="N12" s="729">
        <f>C39</f>
        <v>1</v>
      </c>
      <c r="O12" s="729">
        <f>D39</f>
        <v>0.53720118184260002</v>
      </c>
    </row>
    <row r="13" spans="1:16">
      <c r="A13" s="107" t="s">
        <v>145</v>
      </c>
      <c r="B13" s="80">
        <f>94.6*0.9905</f>
        <v>93.701300000000003</v>
      </c>
      <c r="C13" s="53">
        <v>1</v>
      </c>
      <c r="D13" s="80">
        <v>1.4</v>
      </c>
      <c r="E13" s="22"/>
      <c r="F13" s="80">
        <v>0.54151624548736499</v>
      </c>
      <c r="G13" s="80">
        <v>1.80505415162455</v>
      </c>
      <c r="H13" s="22"/>
      <c r="J13" s="350" t="s">
        <v>929</v>
      </c>
      <c r="K13" s="350"/>
      <c r="L13" s="391" t="s">
        <v>145</v>
      </c>
      <c r="M13" s="729">
        <f t="shared" ref="M13:O19" si="1">B13</f>
        <v>93.701300000000003</v>
      </c>
      <c r="N13" s="729">
        <f t="shared" si="1"/>
        <v>1</v>
      </c>
      <c r="O13" s="729">
        <f t="shared" si="1"/>
        <v>1.4</v>
      </c>
    </row>
    <row r="14" spans="1:16">
      <c r="A14" s="107" t="s">
        <v>146</v>
      </c>
      <c r="B14" s="80">
        <v>104.2</v>
      </c>
      <c r="C14" s="390">
        <f>C13</f>
        <v>1</v>
      </c>
      <c r="D14" s="80">
        <f>D13</f>
        <v>1.4</v>
      </c>
      <c r="E14" s="22"/>
      <c r="F14" s="80">
        <v>0.54151624548736499</v>
      </c>
      <c r="G14" s="80">
        <v>1.80505415162455</v>
      </c>
      <c r="H14" s="22"/>
      <c r="I14" s="22"/>
      <c r="J14" s="350"/>
      <c r="K14" s="350"/>
      <c r="L14" s="391" t="s">
        <v>146</v>
      </c>
      <c r="M14" s="729">
        <f t="shared" si="1"/>
        <v>104.2</v>
      </c>
      <c r="N14" s="729">
        <f t="shared" si="1"/>
        <v>1</v>
      </c>
      <c r="O14" s="729">
        <f t="shared" si="1"/>
        <v>1.4</v>
      </c>
    </row>
    <row r="15" spans="1:16">
      <c r="A15" s="107" t="s">
        <v>147</v>
      </c>
      <c r="B15" s="80">
        <f>108*0.982</f>
        <v>106.056</v>
      </c>
      <c r="C15" s="390">
        <f>C13</f>
        <v>1</v>
      </c>
      <c r="D15" s="80">
        <f t="shared" ref="D15:D20" si="2">D14</f>
        <v>1.4</v>
      </c>
      <c r="E15" s="22"/>
      <c r="F15" s="80">
        <v>0.54151624548736499</v>
      </c>
      <c r="G15" s="80">
        <v>1.80505415162455</v>
      </c>
      <c r="H15" s="22"/>
      <c r="I15" s="22"/>
      <c r="J15" s="350"/>
      <c r="K15" s="350"/>
      <c r="L15" s="391" t="s">
        <v>147</v>
      </c>
      <c r="M15" s="729">
        <f t="shared" si="1"/>
        <v>106.056</v>
      </c>
      <c r="N15" s="729">
        <f t="shared" si="1"/>
        <v>1</v>
      </c>
      <c r="O15" s="729">
        <f t="shared" si="1"/>
        <v>1.4</v>
      </c>
    </row>
    <row r="16" spans="1:16">
      <c r="A16" s="107" t="s">
        <v>148</v>
      </c>
      <c r="B16" s="80">
        <f>108*0.982</f>
        <v>106.056</v>
      </c>
      <c r="C16" s="390">
        <f>C13</f>
        <v>1</v>
      </c>
      <c r="D16" s="80">
        <f t="shared" si="2"/>
        <v>1.4</v>
      </c>
      <c r="E16" s="22"/>
      <c r="F16" s="80">
        <v>0.54151624548736499</v>
      </c>
      <c r="G16" s="80">
        <v>1.80505415162455</v>
      </c>
      <c r="H16" s="22"/>
      <c r="I16" s="22"/>
      <c r="J16" s="350"/>
      <c r="K16" s="350"/>
      <c r="L16" s="391" t="s">
        <v>148</v>
      </c>
      <c r="M16" s="729">
        <f t="shared" si="1"/>
        <v>106.056</v>
      </c>
      <c r="N16" s="729">
        <f t="shared" si="1"/>
        <v>1</v>
      </c>
      <c r="O16" s="729">
        <f t="shared" si="1"/>
        <v>1.4</v>
      </c>
    </row>
    <row r="17" spans="1:16">
      <c r="A17" s="107" t="s">
        <v>150</v>
      </c>
      <c r="B17" s="80">
        <v>44.4</v>
      </c>
      <c r="C17" s="390">
        <f>C13</f>
        <v>1</v>
      </c>
      <c r="D17" s="80">
        <f t="shared" si="2"/>
        <v>1.4</v>
      </c>
      <c r="E17" s="22"/>
      <c r="F17" s="80">
        <v>0.54151624548736499</v>
      </c>
      <c r="G17" s="80">
        <v>1.80505415162455</v>
      </c>
      <c r="H17" s="22"/>
      <c r="I17" s="22"/>
      <c r="J17" s="350"/>
      <c r="K17" s="350"/>
      <c r="L17" s="391" t="s">
        <v>150</v>
      </c>
      <c r="M17" s="729">
        <f t="shared" si="1"/>
        <v>44.4</v>
      </c>
      <c r="N17" s="729">
        <f t="shared" si="1"/>
        <v>1</v>
      </c>
      <c r="O17" s="729">
        <f t="shared" si="1"/>
        <v>1.4</v>
      </c>
    </row>
    <row r="18" spans="1:16">
      <c r="A18" s="107" t="s">
        <v>151</v>
      </c>
      <c r="B18" s="80">
        <v>0</v>
      </c>
      <c r="C18" s="390">
        <f>C13</f>
        <v>1</v>
      </c>
      <c r="D18" s="80">
        <f t="shared" si="2"/>
        <v>1.4</v>
      </c>
      <c r="E18" s="22"/>
      <c r="F18" s="80">
        <v>0.54151624548736499</v>
      </c>
      <c r="G18" s="80">
        <v>1.80505415162455</v>
      </c>
      <c r="H18" s="22"/>
      <c r="I18" s="22"/>
      <c r="J18" s="350"/>
      <c r="K18" s="350"/>
      <c r="L18" s="391" t="s">
        <v>151</v>
      </c>
      <c r="M18" s="729">
        <f t="shared" si="1"/>
        <v>0</v>
      </c>
      <c r="N18" s="729">
        <f t="shared" si="1"/>
        <v>1</v>
      </c>
      <c r="O18" s="729">
        <f t="shared" si="1"/>
        <v>1.4</v>
      </c>
    </row>
    <row r="19" spans="1:16">
      <c r="A19" s="106" t="s">
        <v>152</v>
      </c>
      <c r="B19" s="392">
        <v>0</v>
      </c>
      <c r="C19" s="68">
        <f>C13</f>
        <v>1</v>
      </c>
      <c r="D19" s="392">
        <f t="shared" si="2"/>
        <v>1.4</v>
      </c>
      <c r="E19" s="22"/>
      <c r="F19" s="392">
        <v>0.54151624548736499</v>
      </c>
      <c r="G19" s="392">
        <v>1.80505415162455</v>
      </c>
      <c r="H19" s="22"/>
      <c r="I19" s="22"/>
      <c r="J19" s="350"/>
      <c r="K19" s="350"/>
      <c r="L19" s="391" t="s">
        <v>152</v>
      </c>
      <c r="M19" s="729">
        <f t="shared" si="1"/>
        <v>0</v>
      </c>
      <c r="N19" s="729">
        <f t="shared" si="1"/>
        <v>1</v>
      </c>
      <c r="O19" s="729">
        <f t="shared" si="1"/>
        <v>1.4</v>
      </c>
    </row>
    <row r="20" spans="1:16">
      <c r="A20" s="107" t="s">
        <v>183</v>
      </c>
      <c r="B20" s="80">
        <v>100.833333333333</v>
      </c>
      <c r="C20" s="53">
        <f>C13</f>
        <v>1</v>
      </c>
      <c r="D20" s="80">
        <f t="shared" si="2"/>
        <v>1.4</v>
      </c>
      <c r="E20" s="22"/>
      <c r="F20" s="80">
        <v>0.54151624548736499</v>
      </c>
      <c r="G20" s="80">
        <v>1.80505415162455</v>
      </c>
      <c r="H20" s="22"/>
      <c r="I20" s="22"/>
      <c r="J20" s="350" t="s">
        <v>617</v>
      </c>
      <c r="K20" s="350"/>
      <c r="L20" s="350" t="s">
        <v>301</v>
      </c>
      <c r="M20" s="729">
        <f t="shared" ref="M20:O21" si="3">B13</f>
        <v>93.701300000000003</v>
      </c>
      <c r="N20" s="729">
        <f t="shared" si="3"/>
        <v>1</v>
      </c>
      <c r="O20" s="729">
        <f t="shared" si="3"/>
        <v>1.4</v>
      </c>
    </row>
    <row r="21" spans="1:16">
      <c r="A21" s="107" t="s">
        <v>162</v>
      </c>
      <c r="B21" s="80">
        <v>73.3333333333333</v>
      </c>
      <c r="C21" s="53">
        <v>3</v>
      </c>
      <c r="D21" s="80">
        <v>0.6</v>
      </c>
      <c r="E21" s="22"/>
      <c r="F21" s="80">
        <v>2.9339853300733498</v>
      </c>
      <c r="G21" s="80">
        <v>0.31784841075794601</v>
      </c>
      <c r="H21" s="22"/>
      <c r="I21" s="22"/>
      <c r="J21" s="350" t="s">
        <v>618</v>
      </c>
      <c r="K21" s="350"/>
      <c r="L21" s="350" t="s">
        <v>146</v>
      </c>
      <c r="M21" s="729">
        <f t="shared" si="3"/>
        <v>104.2</v>
      </c>
      <c r="N21" s="729">
        <f t="shared" si="3"/>
        <v>1</v>
      </c>
      <c r="O21" s="729">
        <f t="shared" si="3"/>
        <v>1.4</v>
      </c>
    </row>
    <row r="22" spans="1:16">
      <c r="A22" s="107" t="s">
        <v>164</v>
      </c>
      <c r="B22" s="80">
        <v>63.066666666666698</v>
      </c>
      <c r="C22" s="53">
        <v>3</v>
      </c>
      <c r="D22" s="80">
        <v>0.6</v>
      </c>
      <c r="E22" s="22"/>
      <c r="F22" s="80">
        <v>1.34110247872734</v>
      </c>
      <c r="G22" s="80">
        <v>0</v>
      </c>
      <c r="H22" s="22"/>
      <c r="I22" s="22"/>
      <c r="J22" s="350" t="s">
        <v>619</v>
      </c>
      <c r="K22" s="350"/>
      <c r="L22" s="393" t="s">
        <v>276</v>
      </c>
      <c r="M22" s="389">
        <f>B26</f>
        <v>69.3</v>
      </c>
      <c r="N22" s="389">
        <f>C26</f>
        <v>5</v>
      </c>
      <c r="O22" s="389">
        <f>D26</f>
        <v>0.6</v>
      </c>
    </row>
    <row r="23" spans="1:16">
      <c r="A23" s="107" t="s">
        <v>165</v>
      </c>
      <c r="B23" s="80">
        <v>73.3333333333333</v>
      </c>
      <c r="C23" s="53">
        <v>3</v>
      </c>
      <c r="D23" s="80">
        <v>0.6</v>
      </c>
      <c r="E23" s="22"/>
      <c r="F23" s="80">
        <v>0.15580368735393399</v>
      </c>
      <c r="G23" s="80">
        <v>0.33757465593352398</v>
      </c>
      <c r="H23" s="22"/>
      <c r="I23" s="22"/>
      <c r="J23" s="350"/>
      <c r="K23" s="350"/>
      <c r="L23" s="350" t="s">
        <v>286</v>
      </c>
      <c r="M23" s="389">
        <f t="shared" ref="M23:O26" si="4">B30</f>
        <v>71.866666666666703</v>
      </c>
      <c r="N23" s="389">
        <f t="shared" si="4"/>
        <v>1</v>
      </c>
      <c r="O23" s="389">
        <f t="shared" si="4"/>
        <v>0.6</v>
      </c>
    </row>
    <row r="24" spans="1:16">
      <c r="A24" s="107" t="s">
        <v>166</v>
      </c>
      <c r="B24" s="80">
        <v>73.3333333333333</v>
      </c>
      <c r="C24" s="53">
        <v>3</v>
      </c>
      <c r="D24" s="80">
        <v>0.6</v>
      </c>
      <c r="E24" s="22"/>
      <c r="F24" s="80">
        <v>0.15580368735393399</v>
      </c>
      <c r="G24" s="80">
        <v>0.33757465593352398</v>
      </c>
      <c r="H24" s="22"/>
      <c r="I24" s="22"/>
      <c r="J24" s="350"/>
      <c r="K24" s="350"/>
      <c r="L24" s="350" t="s">
        <v>274</v>
      </c>
      <c r="M24" s="389">
        <f t="shared" si="4"/>
        <v>74.066666666666706</v>
      </c>
      <c r="N24" s="389">
        <f t="shared" si="4"/>
        <v>5</v>
      </c>
      <c r="O24" s="389">
        <f t="shared" si="4"/>
        <v>0.6</v>
      </c>
    </row>
    <row r="25" spans="1:16">
      <c r="A25" s="107" t="s">
        <v>167</v>
      </c>
      <c r="B25" s="80">
        <v>73.3333333333333</v>
      </c>
      <c r="C25" s="53">
        <v>3</v>
      </c>
      <c r="D25" s="80">
        <v>0.6</v>
      </c>
      <c r="E25" s="22"/>
      <c r="F25" s="80">
        <v>0.15580368735393399</v>
      </c>
      <c r="G25" s="80">
        <v>0.33757465593352398</v>
      </c>
      <c r="H25" s="22"/>
      <c r="I25" s="22"/>
      <c r="J25" s="350"/>
      <c r="K25" s="350"/>
      <c r="L25" s="350" t="s">
        <v>287</v>
      </c>
      <c r="M25" s="389">
        <f t="shared" si="4"/>
        <v>77.366666666666703</v>
      </c>
      <c r="N25" s="389">
        <f t="shared" si="4"/>
        <v>5</v>
      </c>
      <c r="O25" s="389">
        <f t="shared" si="4"/>
        <v>0.6</v>
      </c>
    </row>
    <row r="26" spans="1:16">
      <c r="A26" s="107" t="s">
        <v>171</v>
      </c>
      <c r="B26" s="80">
        <v>69.3</v>
      </c>
      <c r="C26" s="53">
        <v>5</v>
      </c>
      <c r="D26" s="80">
        <v>0.6</v>
      </c>
      <c r="E26" s="22"/>
      <c r="F26" s="80">
        <v>6.92</v>
      </c>
      <c r="G26" s="80">
        <v>6.6</v>
      </c>
      <c r="H26" s="22"/>
      <c r="I26" s="22"/>
      <c r="J26" s="350"/>
      <c r="K26" s="350"/>
      <c r="L26" s="350" t="s">
        <v>278</v>
      </c>
      <c r="M26" s="389">
        <f t="shared" si="4"/>
        <v>73.3333333333333</v>
      </c>
      <c r="N26" s="389">
        <f t="shared" si="4"/>
        <v>5</v>
      </c>
      <c r="O26" s="389">
        <f t="shared" si="4"/>
        <v>0.6</v>
      </c>
    </row>
    <row r="27" spans="1:16">
      <c r="A27" s="107" t="s">
        <v>172</v>
      </c>
      <c r="B27" s="80">
        <v>69.3</v>
      </c>
      <c r="C27" s="53">
        <v>1</v>
      </c>
      <c r="D27" s="80">
        <v>0.6</v>
      </c>
      <c r="E27" s="22"/>
      <c r="F27" s="80">
        <v>60</v>
      </c>
      <c r="G27" s="80">
        <v>6.86</v>
      </c>
      <c r="H27" s="22"/>
      <c r="I27" s="22"/>
      <c r="J27" s="350"/>
      <c r="K27" s="350"/>
      <c r="L27" s="350" t="s">
        <v>304</v>
      </c>
      <c r="M27" s="389">
        <f>B20</f>
        <v>100.833333333333</v>
      </c>
      <c r="N27" s="389">
        <f>C20</f>
        <v>1</v>
      </c>
      <c r="O27" s="389">
        <f>D20</f>
        <v>1.4</v>
      </c>
    </row>
    <row r="28" spans="1:16">
      <c r="A28" s="107" t="s">
        <v>173</v>
      </c>
      <c r="B28" s="80">
        <v>69.3</v>
      </c>
      <c r="C28" s="53">
        <v>1</v>
      </c>
      <c r="D28" s="80">
        <v>0.6</v>
      </c>
      <c r="E28" s="22"/>
      <c r="F28" s="80">
        <v>2</v>
      </c>
      <c r="G28" s="80">
        <v>6.4</v>
      </c>
      <c r="H28" s="22"/>
      <c r="I28" s="22"/>
      <c r="J28" s="350" t="s">
        <v>620</v>
      </c>
      <c r="K28" s="350"/>
      <c r="L28" s="350" t="s">
        <v>260</v>
      </c>
      <c r="M28" s="389">
        <f t="shared" ref="M28:O30" si="5">B41</f>
        <v>56.1</v>
      </c>
      <c r="N28" s="389">
        <f t="shared" si="5"/>
        <v>1</v>
      </c>
      <c r="O28" s="389">
        <f t="shared" si="5"/>
        <v>0.53720118184260002</v>
      </c>
    </row>
    <row r="29" spans="1:16">
      <c r="A29" s="107" t="s">
        <v>174</v>
      </c>
      <c r="B29" s="80">
        <v>71.5</v>
      </c>
      <c r="C29" s="53">
        <v>1</v>
      </c>
      <c r="D29" s="80">
        <v>0.6</v>
      </c>
      <c r="E29" s="22"/>
      <c r="F29" s="80">
        <v>5.53</v>
      </c>
      <c r="G29" s="80">
        <v>6.1</v>
      </c>
      <c r="H29" s="22"/>
      <c r="I29" s="22"/>
      <c r="J29" s="350"/>
      <c r="K29" s="350"/>
      <c r="L29" s="350" t="s">
        <v>265</v>
      </c>
      <c r="M29" s="389">
        <f t="shared" si="5"/>
        <v>61.6</v>
      </c>
      <c r="N29" s="389">
        <f t="shared" si="5"/>
        <v>1</v>
      </c>
      <c r="O29" s="389">
        <f t="shared" si="5"/>
        <v>0.53720118184260002</v>
      </c>
    </row>
    <row r="30" spans="1:16">
      <c r="A30" s="107" t="s">
        <v>175</v>
      </c>
      <c r="B30" s="80">
        <v>71.866666666666703</v>
      </c>
      <c r="C30" s="53">
        <v>1</v>
      </c>
      <c r="D30" s="80">
        <v>0.6</v>
      </c>
      <c r="E30" s="22"/>
      <c r="F30" s="80">
        <v>5.53</v>
      </c>
      <c r="G30" s="80">
        <v>6.1</v>
      </c>
      <c r="H30" s="22"/>
      <c r="I30" s="22"/>
      <c r="J30" s="350"/>
      <c r="K30" s="350"/>
      <c r="L30" s="350" t="s">
        <v>262</v>
      </c>
      <c r="M30" s="389">
        <f t="shared" si="5"/>
        <v>63.066666666666698</v>
      </c>
      <c r="N30" s="389">
        <f t="shared" si="5"/>
        <v>1</v>
      </c>
      <c r="O30" s="389">
        <f t="shared" si="5"/>
        <v>0.53720118184260002</v>
      </c>
    </row>
    <row r="31" spans="1:16">
      <c r="A31" s="107" t="s">
        <v>176</v>
      </c>
      <c r="B31" s="80">
        <v>74.066666666666706</v>
      </c>
      <c r="C31" s="53">
        <v>5</v>
      </c>
      <c r="D31" s="80">
        <v>0.6</v>
      </c>
      <c r="E31" s="22"/>
      <c r="F31" s="80">
        <v>1.32</v>
      </c>
      <c r="G31" s="80">
        <v>3.36</v>
      </c>
      <c r="H31" s="22"/>
      <c r="I31" s="22"/>
      <c r="J31" s="350" t="s">
        <v>1063</v>
      </c>
      <c r="K31" s="446"/>
      <c r="L31" s="393" t="s">
        <v>229</v>
      </c>
      <c r="M31" s="449"/>
      <c r="N31" s="449"/>
      <c r="O31" s="449"/>
      <c r="P31" s="284">
        <v>56.1</v>
      </c>
    </row>
    <row r="32" spans="1:16">
      <c r="A32" s="107" t="s">
        <v>177</v>
      </c>
      <c r="B32" s="80">
        <v>77.366666666666703</v>
      </c>
      <c r="C32" s="53">
        <v>5</v>
      </c>
      <c r="D32" s="80">
        <v>0.6</v>
      </c>
      <c r="E32" s="22"/>
      <c r="F32" s="80">
        <v>0.72</v>
      </c>
      <c r="G32" s="80">
        <v>3.11</v>
      </c>
      <c r="H32" s="22"/>
      <c r="I32" s="22"/>
      <c r="J32" s="350"/>
      <c r="K32" s="446"/>
      <c r="L32" s="393" t="s">
        <v>163</v>
      </c>
      <c r="M32" s="449"/>
      <c r="N32" s="449"/>
      <c r="O32" s="449"/>
      <c r="P32" s="180">
        <f>19.9365*44/12</f>
        <v>73.100499999999997</v>
      </c>
    </row>
    <row r="33" spans="1:16">
      <c r="A33" s="107" t="s">
        <v>178</v>
      </c>
      <c r="B33" s="80">
        <v>73.3333333333333</v>
      </c>
      <c r="C33" s="53">
        <f>C31</f>
        <v>5</v>
      </c>
      <c r="D33" s="80">
        <v>0.6</v>
      </c>
      <c r="E33" s="22"/>
      <c r="F33" s="80">
        <v>1.32</v>
      </c>
      <c r="G33" s="80">
        <v>3.36</v>
      </c>
      <c r="H33" s="22"/>
      <c r="I33" s="22"/>
      <c r="J33" s="350"/>
      <c r="K33" s="446"/>
      <c r="L33" s="393" t="s">
        <v>165</v>
      </c>
      <c r="M33" s="449"/>
      <c r="N33" s="449"/>
      <c r="O33" s="449"/>
      <c r="P33" s="733">
        <f>P32</f>
        <v>73.100499999999997</v>
      </c>
    </row>
    <row r="34" spans="1:16">
      <c r="A34" s="107" t="s">
        <v>179</v>
      </c>
      <c r="B34" s="80">
        <v>73.3333333333333</v>
      </c>
      <c r="C34" s="53">
        <f>C31</f>
        <v>5</v>
      </c>
      <c r="D34" s="80">
        <v>0.6</v>
      </c>
      <c r="E34" s="22"/>
      <c r="F34" s="80">
        <v>1.32</v>
      </c>
      <c r="G34" s="80">
        <v>3.36</v>
      </c>
      <c r="H34" s="22"/>
      <c r="I34" s="22"/>
      <c r="J34" s="350"/>
      <c r="K34" s="446"/>
      <c r="L34" s="393" t="s">
        <v>166</v>
      </c>
      <c r="M34" s="449"/>
      <c r="N34" s="449"/>
      <c r="O34" s="449"/>
      <c r="P34" s="733">
        <f>P33</f>
        <v>73.100499999999997</v>
      </c>
    </row>
    <row r="35" spans="1:16">
      <c r="A35" s="107" t="s">
        <v>180</v>
      </c>
      <c r="B35" s="80">
        <v>73.3333333333333</v>
      </c>
      <c r="C35" s="53">
        <f>C31</f>
        <v>5</v>
      </c>
      <c r="D35" s="80">
        <v>0.6</v>
      </c>
      <c r="E35" s="22"/>
      <c r="F35" s="80">
        <v>1.32</v>
      </c>
      <c r="G35" s="80">
        <v>3.36</v>
      </c>
      <c r="H35" s="22"/>
      <c r="I35" s="22"/>
      <c r="J35" s="350"/>
      <c r="K35" s="446"/>
      <c r="L35" s="393" t="s">
        <v>164</v>
      </c>
      <c r="M35" s="449"/>
      <c r="N35" s="449"/>
      <c r="O35" s="449"/>
      <c r="P35" s="734">
        <f>17.5*44/12</f>
        <v>64.166666666666671</v>
      </c>
    </row>
    <row r="36" spans="1:16">
      <c r="A36" s="107" t="s">
        <v>181</v>
      </c>
      <c r="B36" s="80">
        <v>80.6666666666667</v>
      </c>
      <c r="C36" s="53">
        <f>C31</f>
        <v>5</v>
      </c>
      <c r="D36" s="80">
        <v>0.6</v>
      </c>
      <c r="E36" s="22"/>
      <c r="F36" s="80">
        <v>1.32</v>
      </c>
      <c r="G36" s="80">
        <v>3.36</v>
      </c>
      <c r="H36" s="22"/>
      <c r="I36" s="22"/>
      <c r="J36" s="350"/>
      <c r="K36" s="446"/>
      <c r="L36" s="393" t="s">
        <v>168</v>
      </c>
      <c r="M36" s="449"/>
      <c r="N36" s="449"/>
      <c r="O36" s="449"/>
      <c r="P36" s="734">
        <f>-15.7*44/12</f>
        <v>-57.566666666666663</v>
      </c>
    </row>
    <row r="37" spans="1:16">
      <c r="A37" s="107" t="s">
        <v>182</v>
      </c>
      <c r="B37" s="80">
        <v>80.6666666666667</v>
      </c>
      <c r="C37" s="53">
        <f>C31</f>
        <v>5</v>
      </c>
      <c r="D37" s="80">
        <v>0.6</v>
      </c>
      <c r="E37" s="22"/>
      <c r="F37" s="80">
        <v>1.32</v>
      </c>
      <c r="G37" s="80">
        <v>3.36</v>
      </c>
      <c r="H37" s="22"/>
      <c r="I37" s="22"/>
      <c r="J37" s="350"/>
      <c r="K37" s="446"/>
      <c r="L37" s="393" t="s">
        <v>169</v>
      </c>
      <c r="M37" s="449"/>
      <c r="N37" s="449"/>
      <c r="O37" s="449"/>
      <c r="P37" s="733">
        <f>-16.8*44/12</f>
        <v>-61.6</v>
      </c>
    </row>
    <row r="38" spans="1:16">
      <c r="A38" s="106" t="s">
        <v>184</v>
      </c>
      <c r="B38" s="392">
        <v>73.3333333333333</v>
      </c>
      <c r="C38" s="68">
        <f>C31</f>
        <v>5</v>
      </c>
      <c r="D38" s="392">
        <f>D37</f>
        <v>0.6</v>
      </c>
      <c r="E38" s="22"/>
      <c r="F38" s="392">
        <v>1.32</v>
      </c>
      <c r="G38" s="392">
        <v>3.36</v>
      </c>
      <c r="H38" s="22"/>
      <c r="I38" s="22"/>
      <c r="J38" s="350"/>
      <c r="K38" s="446"/>
      <c r="L38" s="393" t="s">
        <v>170</v>
      </c>
      <c r="M38" s="449"/>
      <c r="N38" s="449"/>
      <c r="O38" s="449"/>
      <c r="P38" s="284">
        <v>-63.1</v>
      </c>
    </row>
    <row r="39" spans="1:16" ht="14.25" customHeight="1">
      <c r="A39" s="107" t="s">
        <v>160</v>
      </c>
      <c r="B39" s="80">
        <v>56.1</v>
      </c>
      <c r="C39" s="53">
        <v>1</v>
      </c>
      <c r="D39" s="80">
        <f>0.02/37.23*1000</f>
        <v>0.53720118184260002</v>
      </c>
      <c r="E39" s="22"/>
      <c r="F39" s="80">
        <v>0.13</v>
      </c>
      <c r="G39" s="80">
        <v>0.62</v>
      </c>
      <c r="H39" s="22"/>
      <c r="I39" s="22"/>
      <c r="J39" s="350"/>
      <c r="K39" s="446"/>
      <c r="L39" s="393" t="s">
        <v>171</v>
      </c>
      <c r="M39" s="449"/>
      <c r="N39" s="449"/>
      <c r="O39" s="449"/>
      <c r="P39" s="734">
        <f>-19*44/12</f>
        <v>-69.666666666666671</v>
      </c>
    </row>
    <row r="40" spans="1:16">
      <c r="A40" s="107" t="s">
        <v>149</v>
      </c>
      <c r="B40" s="80">
        <v>56.1</v>
      </c>
      <c r="C40" s="53">
        <v>1</v>
      </c>
      <c r="D40" s="80">
        <f>D39</f>
        <v>0.53720118184260002</v>
      </c>
      <c r="E40" s="22"/>
      <c r="F40" s="80">
        <v>0.13</v>
      </c>
      <c r="G40" s="80">
        <v>0.62</v>
      </c>
      <c r="H40" s="22"/>
      <c r="I40" s="22"/>
      <c r="J40" s="350"/>
      <c r="K40" s="446"/>
      <c r="L40" s="393" t="s">
        <v>172</v>
      </c>
      <c r="M40" s="449"/>
      <c r="N40" s="449"/>
      <c r="O40" s="449"/>
      <c r="P40" s="733">
        <f>P$39</f>
        <v>-69.666666666666671</v>
      </c>
    </row>
    <row r="41" spans="1:16">
      <c r="A41" s="107" t="s">
        <v>168</v>
      </c>
      <c r="B41" s="80">
        <v>56.1</v>
      </c>
      <c r="C41" s="53">
        <v>1</v>
      </c>
      <c r="D41" s="80">
        <f>D40</f>
        <v>0.53720118184260002</v>
      </c>
      <c r="E41" s="22"/>
      <c r="F41" s="80">
        <v>0</v>
      </c>
      <c r="G41" s="80">
        <v>0.62</v>
      </c>
      <c r="H41" s="22"/>
      <c r="I41" s="22"/>
      <c r="J41" s="350"/>
      <c r="K41" s="446"/>
      <c r="L41" s="393" t="s">
        <v>173</v>
      </c>
      <c r="M41" s="449"/>
      <c r="N41" s="449"/>
      <c r="O41" s="449"/>
      <c r="P41" s="733">
        <f>P$39</f>
        <v>-69.666666666666671</v>
      </c>
    </row>
    <row r="42" spans="1:16">
      <c r="A42" s="107" t="s">
        <v>169</v>
      </c>
      <c r="B42" s="239">
        <v>61.6</v>
      </c>
      <c r="C42" s="53">
        <v>1</v>
      </c>
      <c r="D42" s="80">
        <f>D41</f>
        <v>0.53720118184260002</v>
      </c>
      <c r="E42" s="22"/>
      <c r="F42" s="80">
        <v>0.13</v>
      </c>
      <c r="G42" s="239">
        <v>0.62</v>
      </c>
      <c r="H42" s="22"/>
      <c r="I42" s="22"/>
      <c r="J42" s="350"/>
      <c r="K42" s="446"/>
      <c r="L42" s="393" t="s">
        <v>174</v>
      </c>
      <c r="M42" s="449"/>
      <c r="N42" s="449"/>
      <c r="O42" s="449"/>
      <c r="P42" s="733">
        <f>-19.5*44/12</f>
        <v>-71.5</v>
      </c>
    </row>
    <row r="43" spans="1:16">
      <c r="A43" s="106" t="s">
        <v>170</v>
      </c>
      <c r="B43" s="392">
        <v>63.066666666666698</v>
      </c>
      <c r="C43" s="68">
        <v>1</v>
      </c>
      <c r="D43" s="392">
        <f>D42</f>
        <v>0.53720118184260002</v>
      </c>
      <c r="E43" s="22"/>
      <c r="F43" s="69">
        <v>1.18</v>
      </c>
      <c r="G43" s="392">
        <v>9</v>
      </c>
      <c r="H43" s="22"/>
      <c r="I43" s="22"/>
      <c r="J43" s="350"/>
      <c r="K43" s="446"/>
      <c r="L43" s="393" t="s">
        <v>175</v>
      </c>
      <c r="M43" s="449"/>
      <c r="N43" s="449"/>
      <c r="O43" s="449"/>
      <c r="P43" s="733">
        <f>-19.6*44/12</f>
        <v>-71.866666666666674</v>
      </c>
    </row>
    <row r="44" spans="1:16">
      <c r="A44" s="107" t="s">
        <v>153</v>
      </c>
      <c r="B44" s="239">
        <v>1E-4</v>
      </c>
      <c r="C44" s="390">
        <v>200</v>
      </c>
      <c r="D44" s="239">
        <v>4</v>
      </c>
      <c r="E44" s="22"/>
      <c r="F44" s="239">
        <v>0.02</v>
      </c>
      <c r="G44" s="239">
        <v>8.89</v>
      </c>
      <c r="H44" s="278"/>
      <c r="I44" s="22"/>
      <c r="J44" s="350"/>
      <c r="K44" s="446"/>
      <c r="L44" s="393" t="s">
        <v>176</v>
      </c>
      <c r="M44" s="449"/>
      <c r="N44" s="449"/>
      <c r="O44" s="449"/>
      <c r="P44" s="733">
        <f>-20.2*44/12</f>
        <v>-74.066666666666663</v>
      </c>
    </row>
    <row r="45" spans="1:16">
      <c r="A45" s="107" t="s">
        <v>361</v>
      </c>
      <c r="B45" s="239">
        <v>1E-4</v>
      </c>
      <c r="C45" s="239">
        <v>30</v>
      </c>
      <c r="D45" s="239">
        <v>4</v>
      </c>
      <c r="E45" s="22"/>
      <c r="F45" s="239">
        <v>0.02</v>
      </c>
      <c r="G45" s="239">
        <v>8.89</v>
      </c>
      <c r="H45" s="278"/>
      <c r="I45" s="278"/>
      <c r="J45" s="350"/>
      <c r="K45" s="446"/>
      <c r="L45" s="393" t="s">
        <v>177</v>
      </c>
      <c r="M45" s="449"/>
      <c r="N45" s="449"/>
      <c r="O45" s="449"/>
      <c r="P45" s="733">
        <f>-21.1*44/12</f>
        <v>-77.366666666666674</v>
      </c>
    </row>
    <row r="46" spans="1:16">
      <c r="A46" s="107" t="s">
        <v>155</v>
      </c>
      <c r="B46" s="239">
        <v>85.85</v>
      </c>
      <c r="C46" s="239">
        <v>30</v>
      </c>
      <c r="D46" s="239">
        <v>4</v>
      </c>
      <c r="E46" s="22"/>
      <c r="F46" s="239">
        <v>0.02</v>
      </c>
      <c r="G46" s="239">
        <v>0</v>
      </c>
      <c r="H46" s="278"/>
      <c r="I46" s="278"/>
      <c r="J46" s="350"/>
      <c r="K46" s="446"/>
      <c r="L46" s="393" t="s">
        <v>178</v>
      </c>
      <c r="M46" s="449"/>
      <c r="N46" s="449"/>
      <c r="O46" s="449"/>
      <c r="P46" s="733">
        <v>-72</v>
      </c>
    </row>
    <row r="47" spans="1:16">
      <c r="A47" s="107" t="s">
        <v>156</v>
      </c>
      <c r="B47" s="239">
        <f>110*0.3</f>
        <v>33</v>
      </c>
      <c r="C47" s="239">
        <v>30</v>
      </c>
      <c r="D47" s="239">
        <v>4</v>
      </c>
      <c r="E47" s="22"/>
      <c r="F47" s="239">
        <v>0.02</v>
      </c>
      <c r="G47" s="239">
        <v>0</v>
      </c>
      <c r="H47" s="278"/>
      <c r="I47" s="278"/>
      <c r="J47" s="350"/>
      <c r="K47" s="446"/>
      <c r="L47" s="393" t="s">
        <v>179</v>
      </c>
      <c r="M47" s="449"/>
      <c r="N47" s="449"/>
      <c r="O47" s="449"/>
      <c r="P47" s="733">
        <f>-20*44/12</f>
        <v>-73.333333333333329</v>
      </c>
    </row>
    <row r="48" spans="1:16">
      <c r="A48" s="107" t="s">
        <v>423</v>
      </c>
      <c r="B48" s="239">
        <v>1E-4</v>
      </c>
      <c r="C48" s="239">
        <v>30</v>
      </c>
      <c r="D48" s="239">
        <v>4</v>
      </c>
      <c r="E48" s="22"/>
      <c r="F48" s="239">
        <v>0.02</v>
      </c>
      <c r="G48" s="239">
        <v>0</v>
      </c>
      <c r="H48" s="278"/>
      <c r="I48" s="278"/>
      <c r="J48" s="350"/>
      <c r="K48" s="446"/>
      <c r="L48" s="393" t="s">
        <v>180</v>
      </c>
      <c r="M48" s="449"/>
      <c r="N48" s="449"/>
      <c r="O48" s="449"/>
      <c r="P48" s="733">
        <f>P$47</f>
        <v>-73.333333333333329</v>
      </c>
    </row>
    <row r="49" spans="1:16">
      <c r="A49" s="107" t="s">
        <v>419</v>
      </c>
      <c r="B49" s="239">
        <v>1E-4</v>
      </c>
      <c r="C49" s="239">
        <v>30</v>
      </c>
      <c r="D49" s="395">
        <v>4</v>
      </c>
      <c r="E49" s="22"/>
      <c r="F49" s="239">
        <v>0.02</v>
      </c>
      <c r="G49" s="80">
        <v>0</v>
      </c>
      <c r="H49" s="278"/>
      <c r="I49" s="278"/>
      <c r="J49" s="350"/>
      <c r="K49" s="446"/>
      <c r="L49" s="393" t="s">
        <v>181</v>
      </c>
      <c r="M49" s="449"/>
      <c r="N49" s="449"/>
      <c r="O49" s="449"/>
      <c r="P49" s="733">
        <f>P$47</f>
        <v>-73.333333333333329</v>
      </c>
    </row>
    <row r="50" spans="1:16">
      <c r="A50" s="396" t="s">
        <v>621</v>
      </c>
      <c r="B50" s="249"/>
      <c r="C50" s="249"/>
      <c r="D50" s="249"/>
      <c r="G50" s="22"/>
      <c r="H50" s="278"/>
      <c r="I50" s="278"/>
      <c r="J50" s="350"/>
      <c r="K50" s="446"/>
      <c r="L50" s="393" t="s">
        <v>182</v>
      </c>
      <c r="M50" s="449"/>
      <c r="N50" s="449"/>
      <c r="O50" s="449"/>
      <c r="P50" s="733">
        <f>P$47</f>
        <v>-73.333333333333329</v>
      </c>
    </row>
    <row r="51" spans="1:16">
      <c r="A51" s="249" t="s">
        <v>622</v>
      </c>
      <c r="B51" s="249"/>
      <c r="C51" s="249"/>
      <c r="D51" s="249"/>
      <c r="I51" s="278"/>
      <c r="J51" s="350"/>
      <c r="K51" s="446"/>
      <c r="L51" s="393" t="s">
        <v>183</v>
      </c>
      <c r="M51" s="449"/>
      <c r="N51" s="449"/>
      <c r="O51" s="449"/>
      <c r="P51" s="733">
        <f>-26.6*44/12</f>
        <v>-97.533333333333346</v>
      </c>
    </row>
    <row r="52" spans="1:16">
      <c r="A52" s="249" t="s">
        <v>623</v>
      </c>
      <c r="B52" s="249"/>
      <c r="C52" s="249"/>
      <c r="D52" s="249"/>
      <c r="J52" s="350"/>
      <c r="K52" s="446"/>
      <c r="L52" s="393" t="s">
        <v>184</v>
      </c>
      <c r="M52" s="449"/>
      <c r="N52" s="449"/>
      <c r="O52" s="449"/>
      <c r="P52" s="733">
        <f>P47</f>
        <v>-73.333333333333329</v>
      </c>
    </row>
    <row r="53" spans="1:16">
      <c r="J53" s="350"/>
      <c r="K53" s="446"/>
      <c r="L53" s="735" t="s">
        <v>832</v>
      </c>
      <c r="M53" s="555">
        <v>1</v>
      </c>
      <c r="P53" s="284"/>
    </row>
    <row r="54" spans="1:16">
      <c r="A54" s="249"/>
      <c r="B54" s="249"/>
      <c r="C54" s="249"/>
      <c r="D54" s="24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2:T21"/>
  <sheetViews>
    <sheetView zoomScale="75" workbookViewId="0">
      <selection activeCell="D129" sqref="D129"/>
    </sheetView>
  </sheetViews>
  <sheetFormatPr defaultColWidth="9.140625" defaultRowHeight="12.75"/>
  <cols>
    <col min="1" max="1" width="12" customWidth="1"/>
    <col min="2" max="2" width="13.7109375" customWidth="1"/>
    <col min="3" max="3" width="14.85546875" customWidth="1"/>
    <col min="4" max="4" width="10.140625" customWidth="1"/>
    <col min="6" max="6" width="9.42578125" customWidth="1"/>
    <col min="11" max="11" width="13.42578125" customWidth="1"/>
    <col min="12" max="12" width="13.28515625" customWidth="1"/>
    <col min="13" max="13" width="11.42578125" customWidth="1"/>
    <col min="14" max="14" width="9.28515625" customWidth="1"/>
    <col min="15" max="15" width="11.140625" customWidth="1"/>
  </cols>
  <sheetData>
    <row r="2" spans="2:20" ht="18">
      <c r="B2" s="307" t="s">
        <v>588</v>
      </c>
      <c r="C2" s="308"/>
      <c r="D2" s="308"/>
      <c r="E2" s="308"/>
    </row>
    <row r="3" spans="2:20">
      <c r="I3" s="309"/>
      <c r="J3" s="309"/>
      <c r="K3" s="309"/>
    </row>
    <row r="4" spans="2:20">
      <c r="B4" s="309"/>
      <c r="C4" s="309"/>
      <c r="D4" s="309"/>
      <c r="E4" s="309"/>
      <c r="F4" s="383"/>
    </row>
    <row r="5" spans="2:20">
      <c r="B5" s="309"/>
      <c r="C5" s="309"/>
      <c r="D5" s="309"/>
      <c r="E5" s="309"/>
      <c r="F5" s="309"/>
    </row>
    <row r="6" spans="2:20">
      <c r="B6" s="309"/>
      <c r="D6" s="309"/>
      <c r="E6" s="309"/>
    </row>
    <row r="7" spans="2:20">
      <c r="C7" s="310" t="str">
        <f>"~FI_T: COM_IE~"&amp;Region</f>
        <v>~FI_T: COM_IE~FIN</v>
      </c>
      <c r="H7" s="309"/>
      <c r="O7" s="232" t="str">
        <f>"~FI_T: "&amp;Region</f>
        <v>~FI_T: FIN</v>
      </c>
    </row>
    <row r="8" spans="2:20" ht="21" customHeight="1" thickBot="1">
      <c r="B8" s="736" t="s">
        <v>322</v>
      </c>
      <c r="C8" s="312" t="s">
        <v>323</v>
      </c>
      <c r="D8" s="312">
        <f ca="1">BaseYear</f>
        <v>2010</v>
      </c>
      <c r="E8" s="312">
        <f ca="1">Auxyear</f>
        <v>2017</v>
      </c>
      <c r="F8" s="312">
        <v>2030</v>
      </c>
      <c r="G8" s="312">
        <v>2050</v>
      </c>
      <c r="H8" s="312">
        <v>2100</v>
      </c>
      <c r="K8" s="311" t="s">
        <v>529</v>
      </c>
      <c r="L8" s="312" t="s">
        <v>322</v>
      </c>
      <c r="M8" s="312" t="s">
        <v>545</v>
      </c>
      <c r="N8" s="312" t="s">
        <v>325</v>
      </c>
      <c r="O8" s="312" t="s">
        <v>1113</v>
      </c>
      <c r="P8" s="312">
        <f ca="1">BaseYear</f>
        <v>2010</v>
      </c>
      <c r="Q8" s="312">
        <f ca="1">Auxyear</f>
        <v>2017</v>
      </c>
      <c r="R8" s="312">
        <v>2030</v>
      </c>
      <c r="S8" s="312">
        <v>2050</v>
      </c>
      <c r="T8" s="312">
        <v>2100</v>
      </c>
    </row>
    <row r="9" spans="2:20">
      <c r="B9" s="737" t="s">
        <v>150</v>
      </c>
      <c r="C9" s="350" t="s">
        <v>1114</v>
      </c>
      <c r="D9" s="379">
        <f ca="1">1+IF(IEAData!G71&gt;0,IEAData!G$92/IEAData!G71)</f>
        <v>0.9429789884760057</v>
      </c>
      <c r="E9" s="379">
        <f ca="1">MAX(D9,1+IF(AuxData!G71&gt;0,AuxData!G$92/AuxData!G71))</f>
        <v>0.9429789884760057</v>
      </c>
      <c r="F9" s="379">
        <f>E9^0.6</f>
        <v>0.9653864737338097</v>
      </c>
      <c r="G9" s="379">
        <f>F9^0.7</f>
        <v>0.97564280617805299</v>
      </c>
      <c r="H9" s="379">
        <f>G9^0.6</f>
        <v>0.98531366970828305</v>
      </c>
      <c r="K9" s="446" t="s">
        <v>572</v>
      </c>
      <c r="L9" s="446" t="s">
        <v>229</v>
      </c>
      <c r="M9" s="446"/>
      <c r="N9" s="434" t="s">
        <v>338</v>
      </c>
      <c r="O9" s="446" t="s">
        <v>1115</v>
      </c>
      <c r="P9" s="738">
        <f ca="1">-PRIM_PRD!F57/IEAData!$L$140</f>
        <v>2.381163425007389E-3</v>
      </c>
      <c r="Q9" s="738">
        <f ca="1">-PRIM_PRD!L57/AuxData!$L$140</f>
        <v>2.3E-3</v>
      </c>
      <c r="R9" s="738">
        <f>$Q9*0.7</f>
        <v>1.6099999999999999E-3</v>
      </c>
      <c r="S9" s="738">
        <f>$Q9*0.5</f>
        <v>1.15E-3</v>
      </c>
      <c r="T9" s="738">
        <f>$Q9*0.3</f>
        <v>6.8999999999999997E-4</v>
      </c>
    </row>
    <row r="10" spans="2:20">
      <c r="B10" s="737" t="s">
        <v>151</v>
      </c>
      <c r="C10" s="350" t="s">
        <v>1116</v>
      </c>
      <c r="D10" s="379">
        <f ca="1">1+IF(IEAData!H73&gt;0,IEAData!H$92/(IEAData!H73+IEAData!I78))</f>
        <v>0.90421420507307526</v>
      </c>
      <c r="E10" s="379">
        <f ca="1">1+IF(AuxData!$H73&gt;0,AuxData!$H$92/(AuxData!$H73+AuxData!$I78))</f>
        <v>0.94160512627620307</v>
      </c>
      <c r="F10" s="379">
        <f>E10^0.6</f>
        <v>0.96454232254903371</v>
      </c>
      <c r="G10" s="379">
        <f>F10^0.7</f>
        <v>0.97504554416654232</v>
      </c>
      <c r="H10" s="379">
        <f>G10^0.6</f>
        <v>0.98495171603459908</v>
      </c>
      <c r="K10" s="446" t="s">
        <v>677</v>
      </c>
      <c r="L10" s="446" t="s">
        <v>820</v>
      </c>
      <c r="M10" s="446" t="s">
        <v>507</v>
      </c>
      <c r="N10" s="446"/>
      <c r="O10" s="446" t="s">
        <v>1117</v>
      </c>
      <c r="P10" s="446">
        <v>0</v>
      </c>
      <c r="Q10" s="446">
        <v>0.2</v>
      </c>
      <c r="R10" s="446">
        <v>1</v>
      </c>
      <c r="S10" s="446"/>
      <c r="T10" s="446"/>
    </row>
    <row r="11" spans="2:20">
      <c r="B11" s="737" t="s">
        <v>152</v>
      </c>
      <c r="C11" s="350" t="s">
        <v>1118</v>
      </c>
      <c r="D11" s="379">
        <f ca="1">1+IF(IEAData!I73&gt;0,IEAData!I$92/IEAData!I73)</f>
        <v>1</v>
      </c>
      <c r="E11" s="379">
        <f ca="1">1+IF(AuxData!I73&gt;0,AuxData!I$92/AuxData!I73)</f>
        <v>1</v>
      </c>
      <c r="F11" s="379">
        <f>E11^0.6</f>
        <v>1</v>
      </c>
      <c r="G11" s="379">
        <f>F11^0.7</f>
        <v>1</v>
      </c>
      <c r="H11" s="379">
        <f>G11^0.6</f>
        <v>1</v>
      </c>
      <c r="K11" s="446" t="s">
        <v>979</v>
      </c>
      <c r="L11" s="446" t="s">
        <v>820</v>
      </c>
      <c r="M11" s="446" t="s">
        <v>507</v>
      </c>
      <c r="N11" s="446"/>
      <c r="O11" s="446" t="s">
        <v>1117</v>
      </c>
      <c r="P11" s="446">
        <v>0</v>
      </c>
      <c r="Q11" s="446">
        <v>0.2</v>
      </c>
      <c r="R11" s="446">
        <v>1</v>
      </c>
      <c r="S11" s="446"/>
      <c r="T11" s="446"/>
    </row>
    <row r="12" spans="2:20">
      <c r="B12" s="737" t="s">
        <v>270</v>
      </c>
      <c r="C12" s="350" t="s">
        <v>1119</v>
      </c>
      <c r="D12" s="379">
        <f ca="1">1+IF(IEAData!R52&gt;0,IEAData!R$92/IEAData!R52)</f>
        <v>1</v>
      </c>
      <c r="E12" s="379">
        <f ca="1">1+IF(AuxData!R52&gt;0,AuxData!R$92/AuxData!R52)</f>
        <v>1</v>
      </c>
      <c r="F12" s="379">
        <f>E12^0.6</f>
        <v>1</v>
      </c>
      <c r="G12" s="379">
        <f>F12^0.7</f>
        <v>1</v>
      </c>
      <c r="H12" s="379">
        <f>G12^0.6</f>
        <v>1</v>
      </c>
      <c r="K12" s="446" t="s">
        <v>993</v>
      </c>
      <c r="L12" s="446" t="s">
        <v>820</v>
      </c>
      <c r="M12" s="446" t="s">
        <v>507</v>
      </c>
      <c r="N12" s="446"/>
      <c r="O12" s="446" t="s">
        <v>1117</v>
      </c>
      <c r="P12" s="446">
        <v>0</v>
      </c>
      <c r="Q12" s="446">
        <v>0.2</v>
      </c>
      <c r="R12" s="446">
        <v>1</v>
      </c>
      <c r="S12" s="446"/>
      <c r="T12" s="446"/>
    </row>
    <row r="13" spans="2:20">
      <c r="I13" s="309"/>
    </row>
    <row r="14" spans="2:20">
      <c r="I14" s="309"/>
    </row>
    <row r="15" spans="2:20">
      <c r="I15" s="309"/>
    </row>
    <row r="16" spans="2:20">
      <c r="I16" s="309"/>
      <c r="K16" s="309"/>
      <c r="L16" s="309"/>
    </row>
    <row r="17" spans="2:11">
      <c r="I17" s="309"/>
      <c r="J17" s="309"/>
      <c r="K17" s="309"/>
    </row>
    <row r="18" spans="2:11">
      <c r="I18" s="309"/>
      <c r="J18" s="309"/>
      <c r="K18" s="309"/>
    </row>
    <row r="19" spans="2:11">
      <c r="B19" s="232" t="b">
        <f>IF(FALSE,"~FI_T: "&amp;Region)</f>
        <v>0</v>
      </c>
      <c r="D19" s="309"/>
    </row>
    <row r="20" spans="2:11" ht="13.5" thickBot="1">
      <c r="B20" s="401" t="s">
        <v>322</v>
      </c>
      <c r="C20" s="402" t="s">
        <v>653</v>
      </c>
      <c r="D20" s="403"/>
    </row>
    <row r="21" spans="2:11">
      <c r="B21" s="219" t="s">
        <v>514</v>
      </c>
      <c r="C21" s="739">
        <f>12/44*0.000001</f>
        <v>2.7272727272727269E-7</v>
      </c>
      <c r="D21" s="404"/>
    </row>
  </sheetData>
  <phoneticPr fontId="38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B3:J129"/>
  <sheetViews>
    <sheetView topLeftCell="A69" zoomScale="75" workbookViewId="0">
      <selection activeCell="D129" sqref="D129"/>
    </sheetView>
  </sheetViews>
  <sheetFormatPr defaultRowHeight="12.75"/>
  <cols>
    <col min="2" max="2" width="11.140625" customWidth="1"/>
    <col min="3" max="3" width="9" customWidth="1"/>
    <col min="4" max="4" width="20.7109375" customWidth="1"/>
    <col min="5" max="5" width="53.7109375" customWidth="1"/>
    <col min="14" max="14" width="16.140625" customWidth="1"/>
  </cols>
  <sheetData>
    <row r="3" spans="2:10">
      <c r="B3" s="310" t="s">
        <v>624</v>
      </c>
      <c r="C3" s="310"/>
    </row>
    <row r="4" spans="2:10">
      <c r="B4" s="397" t="s">
        <v>625</v>
      </c>
      <c r="C4" s="398" t="s">
        <v>1</v>
      </c>
      <c r="D4" s="398" t="s">
        <v>529</v>
      </c>
      <c r="E4" s="398" t="s">
        <v>530</v>
      </c>
      <c r="F4" s="398" t="s">
        <v>626</v>
      </c>
      <c r="G4" s="398" t="s">
        <v>627</v>
      </c>
      <c r="H4" s="398" t="s">
        <v>628</v>
      </c>
      <c r="I4" s="398" t="s">
        <v>629</v>
      </c>
      <c r="J4" s="399" t="s">
        <v>630</v>
      </c>
    </row>
    <row r="5" spans="2:10">
      <c r="B5" s="217" t="s">
        <v>631</v>
      </c>
      <c r="C5" s="217" t="str">
        <f t="shared" ref="C5:C36" si="0">Region</f>
        <v>FIN</v>
      </c>
      <c r="D5" s="217" t="s">
        <v>598</v>
      </c>
      <c r="E5" s="217" t="s">
        <v>939</v>
      </c>
      <c r="F5" s="217" t="s">
        <v>332</v>
      </c>
      <c r="G5" s="217" t="s">
        <v>632</v>
      </c>
      <c r="H5" s="217" t="s">
        <v>393</v>
      </c>
      <c r="I5" s="217"/>
      <c r="J5" s="217" t="s">
        <v>633</v>
      </c>
    </row>
    <row r="6" spans="2:10">
      <c r="B6" s="217" t="s">
        <v>634</v>
      </c>
      <c r="C6" s="217" t="str">
        <f t="shared" si="0"/>
        <v>FIN</v>
      </c>
      <c r="D6" s="217" t="s">
        <v>602</v>
      </c>
      <c r="E6" s="217" t="s">
        <v>940</v>
      </c>
      <c r="F6" s="217" t="s">
        <v>332</v>
      </c>
      <c r="G6" s="217" t="s">
        <v>632</v>
      </c>
      <c r="H6" s="217" t="s">
        <v>435</v>
      </c>
      <c r="I6" s="217"/>
      <c r="J6" s="217" t="s">
        <v>633</v>
      </c>
    </row>
    <row r="7" spans="2:10">
      <c r="B7" s="217" t="s">
        <v>635</v>
      </c>
      <c r="C7" s="217" t="str">
        <f t="shared" si="0"/>
        <v>FIN</v>
      </c>
      <c r="D7" s="217" t="s">
        <v>929</v>
      </c>
      <c r="E7" s="217" t="s">
        <v>930</v>
      </c>
      <c r="F7" s="217" t="s">
        <v>332</v>
      </c>
      <c r="G7" s="217" t="s">
        <v>632</v>
      </c>
      <c r="H7" s="217"/>
      <c r="I7" s="217"/>
      <c r="J7" s="217" t="s">
        <v>633</v>
      </c>
    </row>
    <row r="8" spans="2:10">
      <c r="B8" s="217" t="s">
        <v>635</v>
      </c>
      <c r="C8" s="217" t="str">
        <f t="shared" si="0"/>
        <v>FIN</v>
      </c>
      <c r="D8" s="217" t="s">
        <v>618</v>
      </c>
      <c r="E8" s="217" t="s">
        <v>932</v>
      </c>
      <c r="F8" s="217" t="s">
        <v>332</v>
      </c>
      <c r="G8" s="217" t="s">
        <v>632</v>
      </c>
      <c r="H8" s="217"/>
      <c r="I8" s="217"/>
      <c r="J8" s="217" t="s">
        <v>633</v>
      </c>
    </row>
    <row r="9" spans="2:10">
      <c r="B9" s="217" t="s">
        <v>635</v>
      </c>
      <c r="C9" s="217" t="str">
        <f t="shared" si="0"/>
        <v>FIN</v>
      </c>
      <c r="D9" s="217" t="s">
        <v>617</v>
      </c>
      <c r="E9" s="217" t="s">
        <v>931</v>
      </c>
      <c r="F9" s="217" t="s">
        <v>332</v>
      </c>
      <c r="G9" s="217" t="s">
        <v>632</v>
      </c>
      <c r="H9" s="217"/>
      <c r="I9" s="217"/>
      <c r="J9" s="217" t="s">
        <v>633</v>
      </c>
    </row>
    <row r="10" spans="2:10">
      <c r="B10" s="217" t="s">
        <v>635</v>
      </c>
      <c r="C10" s="217" t="str">
        <f t="shared" si="0"/>
        <v>FIN</v>
      </c>
      <c r="D10" s="217" t="s">
        <v>933</v>
      </c>
      <c r="E10" s="217" t="s">
        <v>934</v>
      </c>
      <c r="F10" s="217" t="s">
        <v>332</v>
      </c>
      <c r="G10" s="217" t="s">
        <v>632</v>
      </c>
      <c r="H10" s="217"/>
      <c r="I10" s="217"/>
      <c r="J10" s="217" t="s">
        <v>633</v>
      </c>
    </row>
    <row r="11" spans="2:10">
      <c r="B11" s="217" t="s">
        <v>635</v>
      </c>
      <c r="C11" s="217" t="str">
        <f t="shared" si="0"/>
        <v>FIN</v>
      </c>
      <c r="D11" s="217" t="s">
        <v>935</v>
      </c>
      <c r="E11" s="217" t="s">
        <v>934</v>
      </c>
      <c r="F11" s="217" t="s">
        <v>332</v>
      </c>
      <c r="G11" s="217" t="s">
        <v>632</v>
      </c>
      <c r="H11" s="217"/>
      <c r="I11" s="217"/>
      <c r="J11" s="217" t="s">
        <v>633</v>
      </c>
    </row>
    <row r="12" spans="2:10">
      <c r="B12" s="217" t="s">
        <v>635</v>
      </c>
      <c r="C12" s="217" t="str">
        <f t="shared" si="0"/>
        <v>FIN</v>
      </c>
      <c r="D12" s="217" t="s">
        <v>615</v>
      </c>
      <c r="E12" s="217" t="s">
        <v>927</v>
      </c>
      <c r="F12" s="217" t="s">
        <v>332</v>
      </c>
      <c r="G12" s="217" t="s">
        <v>632</v>
      </c>
      <c r="H12" s="217"/>
      <c r="I12" s="217"/>
      <c r="J12" s="217" t="s">
        <v>633</v>
      </c>
    </row>
    <row r="13" spans="2:10">
      <c r="B13" s="217" t="s">
        <v>635</v>
      </c>
      <c r="C13" s="217" t="str">
        <f t="shared" si="0"/>
        <v>FIN</v>
      </c>
      <c r="D13" s="217" t="s">
        <v>616</v>
      </c>
      <c r="E13" s="217" t="s">
        <v>928</v>
      </c>
      <c r="F13" s="217" t="s">
        <v>332</v>
      </c>
      <c r="G13" s="217" t="s">
        <v>632</v>
      </c>
      <c r="H13" s="217"/>
      <c r="I13" s="217"/>
      <c r="J13" s="217" t="s">
        <v>633</v>
      </c>
    </row>
    <row r="14" spans="2:10">
      <c r="B14" s="217" t="s">
        <v>635</v>
      </c>
      <c r="C14" s="217" t="str">
        <f t="shared" si="0"/>
        <v>FIN</v>
      </c>
      <c r="D14" s="217" t="s">
        <v>636</v>
      </c>
      <c r="E14" s="217" t="s">
        <v>938</v>
      </c>
      <c r="F14" s="217" t="s">
        <v>332</v>
      </c>
      <c r="G14" s="217" t="s">
        <v>632</v>
      </c>
      <c r="H14" s="217"/>
      <c r="I14" s="217"/>
      <c r="J14" s="217" t="s">
        <v>633</v>
      </c>
    </row>
    <row r="15" spans="2:10">
      <c r="B15" s="217" t="s">
        <v>635</v>
      </c>
      <c r="C15" s="217" t="str">
        <f t="shared" si="0"/>
        <v>FIN</v>
      </c>
      <c r="D15" s="217" t="s">
        <v>620</v>
      </c>
      <c r="E15" s="217" t="s">
        <v>937</v>
      </c>
      <c r="F15" s="217" t="s">
        <v>332</v>
      </c>
      <c r="G15" s="217" t="s">
        <v>632</v>
      </c>
      <c r="H15" s="217"/>
      <c r="I15" s="217"/>
      <c r="J15" s="217" t="s">
        <v>633</v>
      </c>
    </row>
    <row r="16" spans="2:10">
      <c r="B16" s="217" t="s">
        <v>635</v>
      </c>
      <c r="C16" s="217" t="str">
        <f t="shared" si="0"/>
        <v>FIN</v>
      </c>
      <c r="D16" s="217" t="s">
        <v>619</v>
      </c>
      <c r="E16" s="217" t="s">
        <v>936</v>
      </c>
      <c r="F16" s="217" t="s">
        <v>332</v>
      </c>
      <c r="G16" s="217" t="s">
        <v>632</v>
      </c>
      <c r="H16" s="217"/>
      <c r="I16" s="217"/>
      <c r="J16" s="217" t="s">
        <v>633</v>
      </c>
    </row>
    <row r="17" spans="2:10">
      <c r="B17" s="217" t="s">
        <v>634</v>
      </c>
      <c r="C17" s="217" t="str">
        <f t="shared" si="0"/>
        <v>FIN</v>
      </c>
      <c r="D17" s="217" t="s">
        <v>1081</v>
      </c>
      <c r="E17" s="217" t="s">
        <v>1082</v>
      </c>
      <c r="F17" s="217" t="s">
        <v>332</v>
      </c>
      <c r="G17" s="217" t="s">
        <v>632</v>
      </c>
      <c r="H17" s="217"/>
      <c r="I17" s="217"/>
      <c r="J17" s="217" t="s">
        <v>633</v>
      </c>
    </row>
    <row r="18" spans="2:10">
      <c r="B18" s="217" t="s">
        <v>634</v>
      </c>
      <c r="C18" s="217" t="str">
        <f t="shared" si="0"/>
        <v>FIN</v>
      </c>
      <c r="D18" s="217" t="s">
        <v>1083</v>
      </c>
      <c r="E18" s="217" t="s">
        <v>1084</v>
      </c>
      <c r="F18" s="217" t="s">
        <v>332</v>
      </c>
      <c r="G18" s="217" t="s">
        <v>632</v>
      </c>
      <c r="H18" s="217"/>
      <c r="I18" s="217"/>
      <c r="J18" s="217" t="s">
        <v>633</v>
      </c>
    </row>
    <row r="19" spans="2:10">
      <c r="B19" s="217" t="s">
        <v>634</v>
      </c>
      <c r="C19" s="217" t="str">
        <f t="shared" si="0"/>
        <v>FIN</v>
      </c>
      <c r="D19" s="217" t="s">
        <v>1085</v>
      </c>
      <c r="E19" s="217" t="s">
        <v>1086</v>
      </c>
      <c r="F19" s="217" t="s">
        <v>332</v>
      </c>
      <c r="G19" s="217" t="s">
        <v>632</v>
      </c>
      <c r="H19" s="217"/>
      <c r="I19" s="217"/>
      <c r="J19" s="217" t="s">
        <v>633</v>
      </c>
    </row>
    <row r="20" spans="2:10">
      <c r="B20" s="217" t="s">
        <v>634</v>
      </c>
      <c r="C20" s="217" t="str">
        <f t="shared" si="0"/>
        <v>FIN</v>
      </c>
      <c r="D20" s="217" t="s">
        <v>1087</v>
      </c>
      <c r="E20" s="217" t="s">
        <v>1088</v>
      </c>
      <c r="F20" s="217" t="s">
        <v>332</v>
      </c>
      <c r="G20" s="217" t="s">
        <v>632</v>
      </c>
      <c r="H20" s="217"/>
      <c r="I20" s="217"/>
      <c r="J20" s="217" t="s">
        <v>633</v>
      </c>
    </row>
    <row r="21" spans="2:10">
      <c r="B21" s="217" t="s">
        <v>631</v>
      </c>
      <c r="C21" s="217" t="str">
        <f t="shared" si="0"/>
        <v>FIN</v>
      </c>
      <c r="D21" s="217" t="s">
        <v>637</v>
      </c>
      <c r="E21" s="217" t="s">
        <v>941</v>
      </c>
      <c r="F21" s="217" t="s">
        <v>332</v>
      </c>
      <c r="G21" s="217" t="s">
        <v>632</v>
      </c>
      <c r="H21" s="217" t="s">
        <v>430</v>
      </c>
      <c r="I21" s="217"/>
      <c r="J21" s="217" t="s">
        <v>633</v>
      </c>
    </row>
    <row r="22" spans="2:10">
      <c r="B22" s="217" t="s">
        <v>635</v>
      </c>
      <c r="C22" s="217" t="str">
        <f t="shared" si="0"/>
        <v>FIN</v>
      </c>
      <c r="D22" s="217" t="s">
        <v>606</v>
      </c>
      <c r="E22" s="217" t="s">
        <v>607</v>
      </c>
      <c r="F22" s="217" t="s">
        <v>332</v>
      </c>
      <c r="G22" s="217" t="s">
        <v>632</v>
      </c>
      <c r="H22" s="217"/>
      <c r="I22" s="217"/>
      <c r="J22" s="217" t="s">
        <v>633</v>
      </c>
    </row>
    <row r="23" spans="2:10">
      <c r="B23" s="217" t="s">
        <v>635</v>
      </c>
      <c r="C23" s="217" t="str">
        <f t="shared" si="0"/>
        <v>FIN</v>
      </c>
      <c r="D23" s="217" t="s">
        <v>550</v>
      </c>
      <c r="E23" s="217" t="s">
        <v>551</v>
      </c>
      <c r="F23" s="217" t="s">
        <v>332</v>
      </c>
      <c r="G23" s="217" t="s">
        <v>632</v>
      </c>
      <c r="H23" s="217"/>
      <c r="I23" s="217"/>
      <c r="J23" s="217" t="s">
        <v>633</v>
      </c>
    </row>
    <row r="24" spans="2:10">
      <c r="B24" s="217" t="s">
        <v>635</v>
      </c>
      <c r="C24" s="217" t="str">
        <f t="shared" si="0"/>
        <v>FIN</v>
      </c>
      <c r="D24" s="217" t="s">
        <v>552</v>
      </c>
      <c r="E24" s="217" t="s">
        <v>553</v>
      </c>
      <c r="F24" s="217" t="s">
        <v>332</v>
      </c>
      <c r="G24" s="217" t="s">
        <v>632</v>
      </c>
      <c r="H24" s="217"/>
      <c r="I24" s="217" t="s">
        <v>154</v>
      </c>
      <c r="J24" s="217" t="s">
        <v>633</v>
      </c>
    </row>
    <row r="25" spans="2:10">
      <c r="B25" s="217" t="s">
        <v>635</v>
      </c>
      <c r="C25" s="217" t="str">
        <f t="shared" si="0"/>
        <v>FIN</v>
      </c>
      <c r="D25" s="217" t="s">
        <v>554</v>
      </c>
      <c r="E25" s="217" t="s">
        <v>555</v>
      </c>
      <c r="F25" s="217" t="s">
        <v>332</v>
      </c>
      <c r="G25" s="217" t="s">
        <v>632</v>
      </c>
      <c r="H25" s="217"/>
      <c r="I25" s="217" t="s">
        <v>154</v>
      </c>
      <c r="J25" s="217" t="s">
        <v>633</v>
      </c>
    </row>
    <row r="26" spans="2:10">
      <c r="B26" s="217" t="s">
        <v>635</v>
      </c>
      <c r="C26" s="217" t="str">
        <f t="shared" si="0"/>
        <v>FIN</v>
      </c>
      <c r="D26" s="217" t="s">
        <v>556</v>
      </c>
      <c r="E26" s="217" t="s">
        <v>557</v>
      </c>
      <c r="F26" s="217" t="s">
        <v>332</v>
      </c>
      <c r="G26" s="217" t="s">
        <v>632</v>
      </c>
      <c r="H26" s="217"/>
      <c r="I26" s="217"/>
      <c r="J26" s="217" t="s">
        <v>633</v>
      </c>
    </row>
    <row r="27" spans="2:10">
      <c r="B27" s="217" t="s">
        <v>635</v>
      </c>
      <c r="C27" s="217" t="str">
        <f t="shared" si="0"/>
        <v>FIN</v>
      </c>
      <c r="D27" s="217" t="s">
        <v>558</v>
      </c>
      <c r="E27" s="217" t="s">
        <v>559</v>
      </c>
      <c r="F27" s="217" t="s">
        <v>332</v>
      </c>
      <c r="G27" s="217" t="s">
        <v>632</v>
      </c>
      <c r="H27" s="217"/>
      <c r="I27" s="217"/>
      <c r="J27" s="217" t="s">
        <v>633</v>
      </c>
    </row>
    <row r="28" spans="2:10">
      <c r="B28" s="217" t="s">
        <v>635</v>
      </c>
      <c r="C28" s="217" t="str">
        <f t="shared" si="0"/>
        <v>FIN</v>
      </c>
      <c r="D28" s="217" t="s">
        <v>560</v>
      </c>
      <c r="E28" s="217" t="s">
        <v>561</v>
      </c>
      <c r="F28" s="217" t="s">
        <v>332</v>
      </c>
      <c r="G28" s="217" t="s">
        <v>632</v>
      </c>
      <c r="H28" s="217"/>
      <c r="I28" s="217"/>
      <c r="J28" s="217" t="s">
        <v>633</v>
      </c>
    </row>
    <row r="29" spans="2:10">
      <c r="B29" s="217" t="s">
        <v>635</v>
      </c>
      <c r="C29" s="217" t="str">
        <f t="shared" si="0"/>
        <v>FIN</v>
      </c>
      <c r="D29" s="217" t="s">
        <v>923</v>
      </c>
      <c r="E29" s="217" t="s">
        <v>924</v>
      </c>
      <c r="F29" s="217" t="s">
        <v>332</v>
      </c>
      <c r="G29" s="217" t="s">
        <v>632</v>
      </c>
      <c r="H29" s="217"/>
      <c r="I29" s="217"/>
      <c r="J29" s="217" t="s">
        <v>633</v>
      </c>
    </row>
    <row r="30" spans="2:10">
      <c r="B30" s="217" t="s">
        <v>635</v>
      </c>
      <c r="C30" s="217" t="str">
        <f t="shared" si="0"/>
        <v>FIN</v>
      </c>
      <c r="D30" s="217" t="s">
        <v>562</v>
      </c>
      <c r="E30" s="217" t="s">
        <v>563</v>
      </c>
      <c r="F30" s="217" t="s">
        <v>332</v>
      </c>
      <c r="G30" s="217" t="s">
        <v>632</v>
      </c>
      <c r="H30" s="217"/>
      <c r="I30" s="217"/>
      <c r="J30" s="217" t="s">
        <v>633</v>
      </c>
    </row>
    <row r="31" spans="2:10">
      <c r="B31" s="217" t="s">
        <v>635</v>
      </c>
      <c r="C31" s="217" t="str">
        <f t="shared" si="0"/>
        <v>FIN</v>
      </c>
      <c r="D31" s="217" t="s">
        <v>565</v>
      </c>
      <c r="E31" s="217" t="s">
        <v>566</v>
      </c>
      <c r="F31" s="217" t="s">
        <v>332</v>
      </c>
      <c r="G31" s="217" t="s">
        <v>632</v>
      </c>
      <c r="H31" s="217"/>
      <c r="I31" s="217"/>
      <c r="J31" s="217" t="s">
        <v>633</v>
      </c>
    </row>
    <row r="32" spans="2:10">
      <c r="B32" s="217" t="s">
        <v>635</v>
      </c>
      <c r="C32" s="217" t="str">
        <f t="shared" si="0"/>
        <v>FIN</v>
      </c>
      <c r="D32" s="217" t="s">
        <v>541</v>
      </c>
      <c r="E32" s="217" t="s">
        <v>542</v>
      </c>
      <c r="F32" s="217" t="s">
        <v>332</v>
      </c>
      <c r="G32" s="217" t="s">
        <v>632</v>
      </c>
      <c r="H32" s="217"/>
      <c r="I32" s="217"/>
      <c r="J32" s="217" t="s">
        <v>633</v>
      </c>
    </row>
    <row r="33" spans="2:10">
      <c r="B33" s="217" t="s">
        <v>635</v>
      </c>
      <c r="C33" s="217" t="str">
        <f t="shared" si="0"/>
        <v>FIN</v>
      </c>
      <c r="D33" s="217" t="s">
        <v>921</v>
      </c>
      <c r="E33" s="217" t="s">
        <v>922</v>
      </c>
      <c r="F33" s="217" t="s">
        <v>332</v>
      </c>
      <c r="G33" s="217" t="s">
        <v>632</v>
      </c>
      <c r="H33" s="217"/>
      <c r="I33" s="217"/>
      <c r="J33" s="217" t="s">
        <v>633</v>
      </c>
    </row>
    <row r="34" spans="2:10">
      <c r="B34" s="217" t="s">
        <v>635</v>
      </c>
      <c r="C34" s="217" t="str">
        <f t="shared" si="0"/>
        <v>FIN</v>
      </c>
      <c r="D34" s="217" t="s">
        <v>958</v>
      </c>
      <c r="E34" s="217" t="s">
        <v>959</v>
      </c>
      <c r="F34" s="217" t="s">
        <v>332</v>
      </c>
      <c r="G34" s="217" t="s">
        <v>632</v>
      </c>
      <c r="H34" s="217"/>
      <c r="I34" s="217"/>
      <c r="J34" s="217" t="s">
        <v>633</v>
      </c>
    </row>
    <row r="35" spans="2:10">
      <c r="B35" s="217" t="s">
        <v>635</v>
      </c>
      <c r="C35" s="217" t="str">
        <f t="shared" si="0"/>
        <v>FIN</v>
      </c>
      <c r="D35" s="217" t="s">
        <v>954</v>
      </c>
      <c r="E35" s="217" t="s">
        <v>955</v>
      </c>
      <c r="F35" s="217" t="s">
        <v>332</v>
      </c>
      <c r="G35" s="217" t="s">
        <v>632</v>
      </c>
      <c r="H35" s="217"/>
      <c r="I35" s="217"/>
      <c r="J35" s="217" t="s">
        <v>633</v>
      </c>
    </row>
    <row r="36" spans="2:10">
      <c r="B36" s="217" t="s">
        <v>635</v>
      </c>
      <c r="C36" s="217" t="str">
        <f t="shared" si="0"/>
        <v>FIN</v>
      </c>
      <c r="D36" s="217" t="s">
        <v>950</v>
      </c>
      <c r="E36" s="217" t="s">
        <v>951</v>
      </c>
      <c r="F36" s="217" t="s">
        <v>332</v>
      </c>
      <c r="G36" s="217" t="s">
        <v>632</v>
      </c>
      <c r="H36" s="217"/>
      <c r="I36" s="217"/>
      <c r="J36" s="217" t="s">
        <v>633</v>
      </c>
    </row>
    <row r="37" spans="2:10">
      <c r="B37" s="217" t="s">
        <v>635</v>
      </c>
      <c r="C37" s="217" t="str">
        <f t="shared" ref="C37:C68" si="1">Region</f>
        <v>FIN</v>
      </c>
      <c r="D37" s="217" t="s">
        <v>962</v>
      </c>
      <c r="E37" s="217" t="s">
        <v>963</v>
      </c>
      <c r="F37" s="217" t="s">
        <v>332</v>
      </c>
      <c r="G37" s="217" t="s">
        <v>632</v>
      </c>
      <c r="H37" s="217"/>
      <c r="I37" s="217"/>
      <c r="J37" s="217" t="s">
        <v>633</v>
      </c>
    </row>
    <row r="38" spans="2:10">
      <c r="B38" s="217" t="s">
        <v>635</v>
      </c>
      <c r="C38" s="217" t="str">
        <f t="shared" si="1"/>
        <v>FIN</v>
      </c>
      <c r="D38" s="217" t="s">
        <v>956</v>
      </c>
      <c r="E38" s="217" t="s">
        <v>957</v>
      </c>
      <c r="F38" s="217" t="s">
        <v>332</v>
      </c>
      <c r="G38" s="217" t="s">
        <v>632</v>
      </c>
      <c r="H38" s="217"/>
      <c r="I38" s="217"/>
      <c r="J38" s="217" t="s">
        <v>633</v>
      </c>
    </row>
    <row r="39" spans="2:10">
      <c r="B39" s="217" t="s">
        <v>635</v>
      </c>
      <c r="C39" s="217" t="str">
        <f t="shared" si="1"/>
        <v>FIN</v>
      </c>
      <c r="D39" s="217" t="s">
        <v>964</v>
      </c>
      <c r="E39" s="217" t="s">
        <v>965</v>
      </c>
      <c r="F39" s="217" t="s">
        <v>332</v>
      </c>
      <c r="G39" s="217" t="s">
        <v>632</v>
      </c>
      <c r="H39" s="217"/>
      <c r="I39" s="217"/>
      <c r="J39" s="217" t="s">
        <v>633</v>
      </c>
    </row>
    <row r="40" spans="2:10">
      <c r="B40" s="217" t="s">
        <v>635</v>
      </c>
      <c r="C40" s="217" t="str">
        <f t="shared" si="1"/>
        <v>FIN</v>
      </c>
      <c r="D40" s="217" t="s">
        <v>952</v>
      </c>
      <c r="E40" s="217" t="s">
        <v>953</v>
      </c>
      <c r="F40" s="217" t="s">
        <v>332</v>
      </c>
      <c r="G40" s="217" t="s">
        <v>632</v>
      </c>
      <c r="H40" s="217"/>
      <c r="I40" s="217"/>
      <c r="J40" s="217" t="s">
        <v>633</v>
      </c>
    </row>
    <row r="41" spans="2:10">
      <c r="B41" s="217" t="s">
        <v>635</v>
      </c>
      <c r="C41" s="217" t="str">
        <f t="shared" si="1"/>
        <v>FIN</v>
      </c>
      <c r="D41" s="217" t="s">
        <v>960</v>
      </c>
      <c r="E41" s="217" t="s">
        <v>961</v>
      </c>
      <c r="F41" s="217" t="s">
        <v>332</v>
      </c>
      <c r="G41" s="217" t="s">
        <v>632</v>
      </c>
      <c r="H41" s="217"/>
      <c r="I41" s="217"/>
      <c r="J41" s="217" t="s">
        <v>633</v>
      </c>
    </row>
    <row r="42" spans="2:10">
      <c r="B42" s="217" t="s">
        <v>635</v>
      </c>
      <c r="C42" s="217" t="str">
        <f t="shared" si="1"/>
        <v>FIN</v>
      </c>
      <c r="D42" s="217" t="s">
        <v>971</v>
      </c>
      <c r="E42" s="217" t="s">
        <v>972</v>
      </c>
      <c r="F42" s="217" t="s">
        <v>332</v>
      </c>
      <c r="G42" s="217" t="s">
        <v>632</v>
      </c>
      <c r="H42" s="217"/>
      <c r="I42" s="217"/>
      <c r="J42" s="217" t="s">
        <v>633</v>
      </c>
    </row>
    <row r="43" spans="2:10">
      <c r="B43" s="217" t="s">
        <v>635</v>
      </c>
      <c r="C43" s="217" t="str">
        <f t="shared" si="1"/>
        <v>FIN</v>
      </c>
      <c r="D43" s="217" t="s">
        <v>969</v>
      </c>
      <c r="E43" s="217" t="s">
        <v>970</v>
      </c>
      <c r="F43" s="217" t="s">
        <v>332</v>
      </c>
      <c r="G43" s="217" t="s">
        <v>632</v>
      </c>
      <c r="H43" s="217"/>
      <c r="I43" s="217"/>
      <c r="J43" s="217" t="s">
        <v>633</v>
      </c>
    </row>
    <row r="44" spans="2:10">
      <c r="B44" s="217" t="s">
        <v>635</v>
      </c>
      <c r="C44" s="217" t="str">
        <f t="shared" si="1"/>
        <v>FIN</v>
      </c>
      <c r="D44" s="217" t="s">
        <v>987</v>
      </c>
      <c r="E44" s="217" t="s">
        <v>988</v>
      </c>
      <c r="F44" s="217" t="s">
        <v>332</v>
      </c>
      <c r="G44" s="217" t="s">
        <v>632</v>
      </c>
      <c r="H44" s="217"/>
      <c r="I44" s="217"/>
      <c r="J44" s="217" t="s">
        <v>633</v>
      </c>
    </row>
    <row r="45" spans="2:10">
      <c r="B45" s="217" t="s">
        <v>635</v>
      </c>
      <c r="C45" s="217" t="str">
        <f t="shared" si="1"/>
        <v>FIN</v>
      </c>
      <c r="D45" s="217" t="s">
        <v>967</v>
      </c>
      <c r="E45" s="217" t="s">
        <v>968</v>
      </c>
      <c r="F45" s="217" t="s">
        <v>332</v>
      </c>
      <c r="G45" s="217" t="s">
        <v>632</v>
      </c>
      <c r="H45" s="217"/>
      <c r="I45" s="217"/>
      <c r="J45" s="217" t="s">
        <v>633</v>
      </c>
    </row>
    <row r="46" spans="2:10">
      <c r="B46" s="217" t="s">
        <v>635</v>
      </c>
      <c r="C46" s="217" t="str">
        <f t="shared" si="1"/>
        <v>FIN</v>
      </c>
      <c r="D46" s="217" t="s">
        <v>975</v>
      </c>
      <c r="E46" s="217" t="s">
        <v>976</v>
      </c>
      <c r="F46" s="217" t="s">
        <v>332</v>
      </c>
      <c r="G46" s="217" t="s">
        <v>632</v>
      </c>
      <c r="H46" s="217"/>
      <c r="I46" s="217"/>
      <c r="J46" s="217" t="s">
        <v>633</v>
      </c>
    </row>
    <row r="47" spans="2:10">
      <c r="B47" s="217" t="s">
        <v>635</v>
      </c>
      <c r="C47" s="217" t="str">
        <f t="shared" si="1"/>
        <v>FIN</v>
      </c>
      <c r="D47" s="217" t="s">
        <v>973</v>
      </c>
      <c r="E47" s="217" t="s">
        <v>974</v>
      </c>
      <c r="F47" s="217" t="s">
        <v>332</v>
      </c>
      <c r="G47" s="217" t="s">
        <v>632</v>
      </c>
      <c r="H47" s="217"/>
      <c r="I47" s="217"/>
      <c r="J47" s="217" t="s">
        <v>633</v>
      </c>
    </row>
    <row r="48" spans="2:10">
      <c r="B48" s="217" t="s">
        <v>635</v>
      </c>
      <c r="C48" s="217" t="str">
        <f t="shared" si="1"/>
        <v>FIN</v>
      </c>
      <c r="D48" s="217" t="s">
        <v>985</v>
      </c>
      <c r="E48" s="217" t="s">
        <v>986</v>
      </c>
      <c r="F48" s="217" t="s">
        <v>332</v>
      </c>
      <c r="G48" s="217" t="s">
        <v>632</v>
      </c>
      <c r="H48" s="217"/>
      <c r="I48" s="217"/>
      <c r="J48" s="217" t="s">
        <v>633</v>
      </c>
    </row>
    <row r="49" spans="2:10">
      <c r="B49" s="217" t="s">
        <v>635</v>
      </c>
      <c r="C49" s="217" t="str">
        <f t="shared" si="1"/>
        <v>FIN</v>
      </c>
      <c r="D49" s="217" t="s">
        <v>1018</v>
      </c>
      <c r="E49" s="217" t="s">
        <v>1019</v>
      </c>
      <c r="F49" s="217" t="s">
        <v>332</v>
      </c>
      <c r="G49" s="217" t="s">
        <v>632</v>
      </c>
      <c r="H49" s="217"/>
      <c r="I49" s="217"/>
      <c r="J49" s="217" t="s">
        <v>633</v>
      </c>
    </row>
    <row r="50" spans="2:10">
      <c r="B50" s="217" t="s">
        <v>635</v>
      </c>
      <c r="C50" s="217" t="str">
        <f t="shared" si="1"/>
        <v>FIN</v>
      </c>
      <c r="D50" s="217" t="s">
        <v>995</v>
      </c>
      <c r="E50" s="217" t="s">
        <v>996</v>
      </c>
      <c r="F50" s="217" t="s">
        <v>332</v>
      </c>
      <c r="G50" s="217" t="s">
        <v>632</v>
      </c>
      <c r="H50" s="217"/>
      <c r="I50" s="217"/>
      <c r="J50" s="217" t="s">
        <v>633</v>
      </c>
    </row>
    <row r="51" spans="2:10">
      <c r="B51" s="217" t="s">
        <v>635</v>
      </c>
      <c r="C51" s="217" t="str">
        <f t="shared" si="1"/>
        <v>FIN</v>
      </c>
      <c r="D51" s="217" t="s">
        <v>977</v>
      </c>
      <c r="E51" s="217" t="s">
        <v>978</v>
      </c>
      <c r="F51" s="217" t="s">
        <v>332</v>
      </c>
      <c r="G51" s="217" t="s">
        <v>632</v>
      </c>
      <c r="H51" s="217"/>
      <c r="I51" s="217"/>
      <c r="J51" s="217" t="s">
        <v>633</v>
      </c>
    </row>
    <row r="52" spans="2:10">
      <c r="B52" s="217" t="s">
        <v>635</v>
      </c>
      <c r="C52" s="217" t="str">
        <f t="shared" si="1"/>
        <v>FIN</v>
      </c>
      <c r="D52" s="217" t="s">
        <v>1003</v>
      </c>
      <c r="E52" s="217" t="s">
        <v>1004</v>
      </c>
      <c r="F52" s="217" t="s">
        <v>332</v>
      </c>
      <c r="G52" s="217" t="s">
        <v>632</v>
      </c>
      <c r="H52" s="217"/>
      <c r="I52" s="217"/>
      <c r="J52" s="217" t="s">
        <v>633</v>
      </c>
    </row>
    <row r="53" spans="2:10">
      <c r="B53" s="217" t="s">
        <v>635</v>
      </c>
      <c r="C53" s="217" t="str">
        <f t="shared" si="1"/>
        <v>FIN</v>
      </c>
      <c r="D53" s="217" t="s">
        <v>983</v>
      </c>
      <c r="E53" s="217" t="s">
        <v>984</v>
      </c>
      <c r="F53" s="217" t="s">
        <v>332</v>
      </c>
      <c r="G53" s="217" t="s">
        <v>632</v>
      </c>
      <c r="H53" s="217"/>
      <c r="I53" s="217"/>
      <c r="J53" s="217" t="s">
        <v>633</v>
      </c>
    </row>
    <row r="54" spans="2:10">
      <c r="B54" s="217" t="s">
        <v>635</v>
      </c>
      <c r="C54" s="217" t="str">
        <f t="shared" si="1"/>
        <v>FIN</v>
      </c>
      <c r="D54" s="217" t="s">
        <v>991</v>
      </c>
      <c r="E54" s="217" t="s">
        <v>992</v>
      </c>
      <c r="F54" s="217" t="s">
        <v>332</v>
      </c>
      <c r="G54" s="217" t="s">
        <v>632</v>
      </c>
      <c r="H54" s="217"/>
      <c r="I54" s="217"/>
      <c r="J54" s="217" t="s">
        <v>633</v>
      </c>
    </row>
    <row r="55" spans="2:10">
      <c r="B55" s="217" t="s">
        <v>635</v>
      </c>
      <c r="C55" s="217" t="str">
        <f t="shared" si="1"/>
        <v>FIN</v>
      </c>
      <c r="D55" s="217" t="s">
        <v>1005</v>
      </c>
      <c r="E55" s="217" t="s">
        <v>1006</v>
      </c>
      <c r="F55" s="217" t="s">
        <v>332</v>
      </c>
      <c r="G55" s="217" t="s">
        <v>632</v>
      </c>
      <c r="H55" s="217"/>
      <c r="I55" s="217"/>
      <c r="J55" s="217" t="s">
        <v>633</v>
      </c>
    </row>
    <row r="56" spans="2:10">
      <c r="B56" s="217" t="s">
        <v>635</v>
      </c>
      <c r="C56" s="217" t="str">
        <f t="shared" si="1"/>
        <v>FIN</v>
      </c>
      <c r="D56" s="217" t="s">
        <v>997</v>
      </c>
      <c r="E56" s="217" t="s">
        <v>998</v>
      </c>
      <c r="F56" s="217" t="s">
        <v>332</v>
      </c>
      <c r="G56" s="217" t="s">
        <v>632</v>
      </c>
      <c r="H56" s="217"/>
      <c r="I56" s="217"/>
      <c r="J56" s="217" t="s">
        <v>633</v>
      </c>
    </row>
    <row r="57" spans="2:10">
      <c r="B57" s="217" t="s">
        <v>635</v>
      </c>
      <c r="C57" s="217" t="str">
        <f t="shared" si="1"/>
        <v>FIN</v>
      </c>
      <c r="D57" s="217" t="s">
        <v>999</v>
      </c>
      <c r="E57" s="217" t="s">
        <v>1000</v>
      </c>
      <c r="F57" s="217" t="s">
        <v>332</v>
      </c>
      <c r="G57" s="217" t="s">
        <v>632</v>
      </c>
      <c r="H57" s="217"/>
      <c r="I57" s="217"/>
      <c r="J57" s="217" t="s">
        <v>633</v>
      </c>
    </row>
    <row r="58" spans="2:10">
      <c r="B58" s="217" t="s">
        <v>635</v>
      </c>
      <c r="C58" s="217" t="str">
        <f t="shared" si="1"/>
        <v>FIN</v>
      </c>
      <c r="D58" s="217" t="s">
        <v>1001</v>
      </c>
      <c r="E58" s="217" t="s">
        <v>1002</v>
      </c>
      <c r="F58" s="217" t="s">
        <v>332</v>
      </c>
      <c r="G58" s="217" t="s">
        <v>632</v>
      </c>
      <c r="H58" s="217"/>
      <c r="I58" s="217"/>
      <c r="J58" s="217" t="s">
        <v>633</v>
      </c>
    </row>
    <row r="59" spans="2:10">
      <c r="B59" s="217" t="s">
        <v>635</v>
      </c>
      <c r="C59" s="217" t="str">
        <f t="shared" si="1"/>
        <v>FIN</v>
      </c>
      <c r="D59" s="217" t="s">
        <v>989</v>
      </c>
      <c r="E59" s="217" t="s">
        <v>990</v>
      </c>
      <c r="F59" s="217" t="s">
        <v>332</v>
      </c>
      <c r="G59" s="217" t="s">
        <v>632</v>
      </c>
      <c r="H59" s="217"/>
      <c r="I59" s="217"/>
      <c r="J59" s="217" t="s">
        <v>633</v>
      </c>
    </row>
    <row r="60" spans="2:10">
      <c r="B60" s="217" t="s">
        <v>635</v>
      </c>
      <c r="C60" s="217" t="str">
        <f t="shared" si="1"/>
        <v>FIN</v>
      </c>
      <c r="D60" s="217" t="s">
        <v>1016</v>
      </c>
      <c r="E60" s="217" t="s">
        <v>1017</v>
      </c>
      <c r="F60" s="217" t="s">
        <v>332</v>
      </c>
      <c r="G60" s="217" t="s">
        <v>632</v>
      </c>
      <c r="H60" s="217"/>
      <c r="I60" s="217"/>
      <c r="J60" s="217" t="s">
        <v>633</v>
      </c>
    </row>
    <row r="61" spans="2:10">
      <c r="B61" s="217" t="s">
        <v>635</v>
      </c>
      <c r="C61" s="217" t="str">
        <f t="shared" si="1"/>
        <v>FIN</v>
      </c>
      <c r="D61" s="217" t="s">
        <v>1009</v>
      </c>
      <c r="E61" s="217" t="s">
        <v>1010</v>
      </c>
      <c r="F61" s="217" t="s">
        <v>332</v>
      </c>
      <c r="G61" s="217" t="s">
        <v>632</v>
      </c>
      <c r="H61" s="217"/>
      <c r="I61" s="217"/>
      <c r="J61" s="217" t="s">
        <v>633</v>
      </c>
    </row>
    <row r="62" spans="2:10">
      <c r="B62" s="217" t="s">
        <v>635</v>
      </c>
      <c r="C62" s="217" t="str">
        <f t="shared" si="1"/>
        <v>FIN</v>
      </c>
      <c r="D62" s="217" t="s">
        <v>981</v>
      </c>
      <c r="E62" s="217" t="s">
        <v>982</v>
      </c>
      <c r="F62" s="217" t="s">
        <v>332</v>
      </c>
      <c r="G62" s="217" t="s">
        <v>632</v>
      </c>
      <c r="H62" s="217"/>
      <c r="I62" s="217"/>
      <c r="J62" s="217" t="s">
        <v>633</v>
      </c>
    </row>
    <row r="63" spans="2:10">
      <c r="B63" s="217" t="s">
        <v>635</v>
      </c>
      <c r="C63" s="217" t="str">
        <f t="shared" si="1"/>
        <v>FIN</v>
      </c>
      <c r="D63" s="217" t="s">
        <v>1025</v>
      </c>
      <c r="E63" s="217" t="s">
        <v>1026</v>
      </c>
      <c r="F63" s="217" t="s">
        <v>332</v>
      </c>
      <c r="G63" s="217" t="s">
        <v>632</v>
      </c>
      <c r="H63" s="217"/>
      <c r="I63" s="217"/>
      <c r="J63" s="217" t="s">
        <v>633</v>
      </c>
    </row>
    <row r="64" spans="2:10">
      <c r="B64" s="217" t="s">
        <v>635</v>
      </c>
      <c r="C64" s="217" t="str">
        <f t="shared" si="1"/>
        <v>FIN</v>
      </c>
      <c r="D64" s="217" t="s">
        <v>1023</v>
      </c>
      <c r="E64" s="217" t="s">
        <v>1024</v>
      </c>
      <c r="F64" s="217" t="s">
        <v>332</v>
      </c>
      <c r="G64" s="217" t="s">
        <v>632</v>
      </c>
      <c r="H64" s="217"/>
      <c r="I64" s="217"/>
      <c r="J64" s="217" t="s">
        <v>633</v>
      </c>
    </row>
    <row r="65" spans="2:10">
      <c r="B65" s="217" t="s">
        <v>635</v>
      </c>
      <c r="C65" s="217" t="str">
        <f t="shared" si="1"/>
        <v>FIN</v>
      </c>
      <c r="D65" s="217" t="s">
        <v>1021</v>
      </c>
      <c r="E65" s="217" t="s">
        <v>1022</v>
      </c>
      <c r="F65" s="217" t="s">
        <v>332</v>
      </c>
      <c r="G65" s="217" t="s">
        <v>632</v>
      </c>
      <c r="H65" s="217"/>
      <c r="I65" s="217"/>
      <c r="J65" s="217" t="s">
        <v>633</v>
      </c>
    </row>
    <row r="66" spans="2:10">
      <c r="B66" s="217" t="s">
        <v>635</v>
      </c>
      <c r="C66" s="217" t="str">
        <f t="shared" si="1"/>
        <v>FIN</v>
      </c>
      <c r="D66" s="217" t="s">
        <v>1013</v>
      </c>
      <c r="E66" s="217" t="s">
        <v>1014</v>
      </c>
      <c r="F66" s="217" t="s">
        <v>332</v>
      </c>
      <c r="G66" s="217" t="s">
        <v>632</v>
      </c>
      <c r="H66" s="217"/>
      <c r="I66" s="217"/>
      <c r="J66" s="217" t="s">
        <v>633</v>
      </c>
    </row>
    <row r="67" spans="2:10">
      <c r="B67" s="217" t="s">
        <v>635</v>
      </c>
      <c r="C67" s="217" t="str">
        <f t="shared" si="1"/>
        <v>FIN</v>
      </c>
      <c r="D67" s="217" t="s">
        <v>572</v>
      </c>
      <c r="E67" s="217" t="s">
        <v>1015</v>
      </c>
      <c r="F67" s="217" t="s">
        <v>332</v>
      </c>
      <c r="G67" s="217" t="s">
        <v>632</v>
      </c>
      <c r="H67" s="217"/>
      <c r="I67" s="217" t="s">
        <v>229</v>
      </c>
      <c r="J67" s="217" t="s">
        <v>633</v>
      </c>
    </row>
    <row r="68" spans="2:10">
      <c r="B68" s="217" t="s">
        <v>635</v>
      </c>
      <c r="C68" s="217" t="str">
        <f t="shared" si="1"/>
        <v>FIN</v>
      </c>
      <c r="D68" s="217" t="s">
        <v>574</v>
      </c>
      <c r="E68" s="217" t="s">
        <v>1015</v>
      </c>
      <c r="F68" s="217" t="s">
        <v>332</v>
      </c>
      <c r="G68" s="217" t="s">
        <v>632</v>
      </c>
      <c r="H68" s="217"/>
      <c r="I68" s="217" t="s">
        <v>524</v>
      </c>
      <c r="J68" s="217" t="s">
        <v>633</v>
      </c>
    </row>
    <row r="69" spans="2:10">
      <c r="B69" s="217" t="s">
        <v>635</v>
      </c>
      <c r="C69" s="217" t="str">
        <f t="shared" ref="C69:C100" si="2">Region</f>
        <v>FIN</v>
      </c>
      <c r="D69" s="217" t="s">
        <v>583</v>
      </c>
      <c r="E69" s="217" t="s">
        <v>584</v>
      </c>
      <c r="F69" s="217" t="s">
        <v>332</v>
      </c>
      <c r="G69" s="217" t="s">
        <v>632</v>
      </c>
      <c r="H69" s="217"/>
      <c r="I69" s="217"/>
      <c r="J69" s="217" t="s">
        <v>633</v>
      </c>
    </row>
    <row r="70" spans="2:10">
      <c r="B70" s="217" t="s">
        <v>635</v>
      </c>
      <c r="C70" s="217" t="str">
        <f t="shared" si="2"/>
        <v>FIN</v>
      </c>
      <c r="D70" s="217" t="s">
        <v>586</v>
      </c>
      <c r="E70" s="217" t="s">
        <v>587</v>
      </c>
      <c r="F70" s="217" t="s">
        <v>332</v>
      </c>
      <c r="G70" s="217" t="s">
        <v>632</v>
      </c>
      <c r="H70" s="217"/>
      <c r="I70" s="217"/>
      <c r="J70" s="217" t="s">
        <v>633</v>
      </c>
    </row>
    <row r="71" spans="2:10">
      <c r="B71" s="217" t="s">
        <v>635</v>
      </c>
      <c r="C71" s="217" t="str">
        <f t="shared" si="2"/>
        <v>FIN</v>
      </c>
      <c r="D71" s="217" t="s">
        <v>1007</v>
      </c>
      <c r="E71" s="217" t="s">
        <v>1008</v>
      </c>
      <c r="F71" s="217" t="s">
        <v>332</v>
      </c>
      <c r="G71" s="217" t="s">
        <v>632</v>
      </c>
      <c r="H71" s="217"/>
      <c r="I71" s="217"/>
      <c r="J71" s="217" t="s">
        <v>633</v>
      </c>
    </row>
    <row r="72" spans="2:10">
      <c r="B72" s="217" t="s">
        <v>635</v>
      </c>
      <c r="C72" s="217" t="str">
        <f t="shared" si="2"/>
        <v>FIN</v>
      </c>
      <c r="D72" s="217" t="s">
        <v>1011</v>
      </c>
      <c r="E72" s="217" t="s">
        <v>1012</v>
      </c>
      <c r="F72" s="217" t="s">
        <v>332</v>
      </c>
      <c r="G72" s="217" t="s">
        <v>632</v>
      </c>
      <c r="H72" s="217"/>
      <c r="I72" s="217"/>
      <c r="J72" s="217" t="s">
        <v>633</v>
      </c>
    </row>
    <row r="73" spans="2:10">
      <c r="B73" s="217" t="s">
        <v>635</v>
      </c>
      <c r="C73" s="217" t="str">
        <f t="shared" si="2"/>
        <v>FIN</v>
      </c>
      <c r="D73" s="217" t="s">
        <v>993</v>
      </c>
      <c r="E73" s="217" t="s">
        <v>994</v>
      </c>
      <c r="F73" s="217" t="s">
        <v>332</v>
      </c>
      <c r="G73" s="217" t="s">
        <v>632</v>
      </c>
      <c r="H73" s="217"/>
      <c r="I73" s="217" t="s">
        <v>146</v>
      </c>
      <c r="J73" s="217" t="s">
        <v>633</v>
      </c>
    </row>
    <row r="74" spans="2:10">
      <c r="B74" s="217" t="s">
        <v>635</v>
      </c>
      <c r="C74" s="217" t="str">
        <f t="shared" si="2"/>
        <v>FIN</v>
      </c>
      <c r="D74" s="217" t="s">
        <v>677</v>
      </c>
      <c r="E74" s="217" t="s">
        <v>966</v>
      </c>
      <c r="F74" s="217" t="s">
        <v>332</v>
      </c>
      <c r="G74" s="217" t="s">
        <v>632</v>
      </c>
      <c r="H74" s="217"/>
      <c r="I74" s="217" t="s">
        <v>145</v>
      </c>
      <c r="J74" s="217" t="s">
        <v>633</v>
      </c>
    </row>
    <row r="75" spans="2:10">
      <c r="B75" s="217" t="s">
        <v>635</v>
      </c>
      <c r="C75" s="217" t="str">
        <f t="shared" si="2"/>
        <v>FIN</v>
      </c>
      <c r="D75" s="217" t="s">
        <v>979</v>
      </c>
      <c r="E75" s="217" t="s">
        <v>966</v>
      </c>
      <c r="F75" s="217" t="s">
        <v>332</v>
      </c>
      <c r="G75" s="217" t="s">
        <v>632</v>
      </c>
      <c r="H75" s="217"/>
      <c r="I75" s="217" t="s">
        <v>145</v>
      </c>
      <c r="J75" s="217" t="s">
        <v>633</v>
      </c>
    </row>
    <row r="76" spans="2:10">
      <c r="B76" s="217" t="s">
        <v>635</v>
      </c>
      <c r="C76" s="217" t="str">
        <f t="shared" si="2"/>
        <v>FIN</v>
      </c>
      <c r="D76" s="217" t="s">
        <v>1095</v>
      </c>
      <c r="E76" s="217" t="s">
        <v>1120</v>
      </c>
      <c r="F76" s="217" t="s">
        <v>332</v>
      </c>
      <c r="G76" s="217" t="s">
        <v>632</v>
      </c>
      <c r="H76" s="217"/>
      <c r="I76" s="217" t="str">
        <f ca="1">Stock_stat!$D$95</f>
        <v>UPXREFO</v>
      </c>
      <c r="J76" s="217" t="s">
        <v>633</v>
      </c>
    </row>
    <row r="77" spans="2:10">
      <c r="B77" s="217" t="s">
        <v>635</v>
      </c>
      <c r="C77" s="217" t="str">
        <f t="shared" si="2"/>
        <v>FIN</v>
      </c>
      <c r="D77" s="217" t="s">
        <v>1093</v>
      </c>
      <c r="E77" s="217" t="s">
        <v>1121</v>
      </c>
      <c r="F77" s="217" t="s">
        <v>332</v>
      </c>
      <c r="G77" s="217" t="s">
        <v>632</v>
      </c>
      <c r="H77" s="217"/>
      <c r="I77" s="217" t="str">
        <f ca="1">Stock_stat!$D$94</f>
        <v>UPXREFO</v>
      </c>
      <c r="J77" s="217" t="s">
        <v>633</v>
      </c>
    </row>
    <row r="78" spans="2:10">
      <c r="B78" s="217" t="s">
        <v>635</v>
      </c>
      <c r="C78" s="217" t="str">
        <f t="shared" si="2"/>
        <v>FIN</v>
      </c>
      <c r="D78" s="217" t="s">
        <v>1097</v>
      </c>
      <c r="E78" s="217" t="s">
        <v>1122</v>
      </c>
      <c r="F78" s="217" t="s">
        <v>332</v>
      </c>
      <c r="G78" s="217" t="s">
        <v>632</v>
      </c>
      <c r="H78" s="217"/>
      <c r="I78" s="217" t="str">
        <f ca="1">Stock_stat!$D$96</f>
        <v>UPXREFO</v>
      </c>
      <c r="J78" s="217" t="s">
        <v>633</v>
      </c>
    </row>
    <row r="79" spans="2:10">
      <c r="B79" s="217" t="s">
        <v>635</v>
      </c>
      <c r="C79" s="217" t="str">
        <f t="shared" si="2"/>
        <v>FIN</v>
      </c>
      <c r="D79" s="217" t="s">
        <v>1039</v>
      </c>
      <c r="E79" s="217" t="s">
        <v>1040</v>
      </c>
      <c r="F79" s="217" t="s">
        <v>332</v>
      </c>
      <c r="G79" s="217" t="s">
        <v>632</v>
      </c>
      <c r="H79" s="217"/>
      <c r="I79" s="217"/>
      <c r="J79" s="217" t="s">
        <v>633</v>
      </c>
    </row>
    <row r="80" spans="2:10">
      <c r="B80" s="217" t="s">
        <v>635</v>
      </c>
      <c r="C80" s="217" t="str">
        <f t="shared" si="2"/>
        <v>FIN</v>
      </c>
      <c r="D80" s="217" t="s">
        <v>1035</v>
      </c>
      <c r="E80" s="217" t="s">
        <v>1036</v>
      </c>
      <c r="F80" s="217" t="s">
        <v>332</v>
      </c>
      <c r="G80" s="217" t="s">
        <v>632</v>
      </c>
      <c r="H80" s="217"/>
      <c r="I80" s="217" t="s">
        <v>147</v>
      </c>
      <c r="J80" s="217" t="s">
        <v>633</v>
      </c>
    </row>
    <row r="81" spans="2:10">
      <c r="B81" s="217" t="s">
        <v>635</v>
      </c>
      <c r="C81" s="217" t="str">
        <f t="shared" si="2"/>
        <v>FIN</v>
      </c>
      <c r="D81" s="217" t="s">
        <v>1037</v>
      </c>
      <c r="E81" s="217" t="s">
        <v>1038</v>
      </c>
      <c r="F81" s="217" t="s">
        <v>332</v>
      </c>
      <c r="G81" s="217" t="s">
        <v>632</v>
      </c>
      <c r="H81" s="217"/>
      <c r="I81" s="217" t="s">
        <v>149</v>
      </c>
      <c r="J81" s="217" t="s">
        <v>633</v>
      </c>
    </row>
    <row r="82" spans="2:10">
      <c r="B82" s="217" t="s">
        <v>635</v>
      </c>
      <c r="C82" s="217" t="str">
        <f t="shared" si="2"/>
        <v>FIN</v>
      </c>
      <c r="D82" s="217" t="s">
        <v>1044</v>
      </c>
      <c r="E82" s="217" t="s">
        <v>1123</v>
      </c>
      <c r="F82" s="217" t="s">
        <v>332</v>
      </c>
      <c r="G82" s="217" t="s">
        <v>632</v>
      </c>
      <c r="H82" s="217"/>
      <c r="I82" s="217"/>
      <c r="J82" s="217" t="s">
        <v>633</v>
      </c>
    </row>
    <row r="83" spans="2:10">
      <c r="B83" s="217" t="s">
        <v>635</v>
      </c>
      <c r="C83" s="217" t="str">
        <f t="shared" si="2"/>
        <v>FIN</v>
      </c>
      <c r="D83" s="217" t="s">
        <v>1048</v>
      </c>
      <c r="E83" s="217" t="s">
        <v>1049</v>
      </c>
      <c r="F83" s="217" t="s">
        <v>332</v>
      </c>
      <c r="G83" s="217" t="s">
        <v>632</v>
      </c>
      <c r="H83" s="217"/>
      <c r="I83" s="217"/>
      <c r="J83" s="217" t="s">
        <v>633</v>
      </c>
    </row>
    <row r="84" spans="2:10">
      <c r="B84" s="217" t="s">
        <v>635</v>
      </c>
      <c r="C84" s="217" t="str">
        <f t="shared" si="2"/>
        <v>FIN</v>
      </c>
      <c r="D84" s="217" t="s">
        <v>1050</v>
      </c>
      <c r="E84" s="217" t="s">
        <v>1124</v>
      </c>
      <c r="F84" s="217" t="s">
        <v>332</v>
      </c>
      <c r="G84" s="217" t="s">
        <v>632</v>
      </c>
      <c r="H84" s="217"/>
      <c r="I84" s="217"/>
      <c r="J84" s="217" t="s">
        <v>633</v>
      </c>
    </row>
    <row r="85" spans="2:10">
      <c r="B85" s="217" t="s">
        <v>635</v>
      </c>
      <c r="C85" s="217" t="str">
        <f t="shared" si="2"/>
        <v>FIN</v>
      </c>
      <c r="D85" s="217" t="s">
        <v>1041</v>
      </c>
      <c r="E85" s="217" t="s">
        <v>1125</v>
      </c>
      <c r="F85" s="217" t="s">
        <v>332</v>
      </c>
      <c r="G85" s="217" t="s">
        <v>632</v>
      </c>
      <c r="H85" s="217"/>
      <c r="I85" s="217" t="s">
        <v>165</v>
      </c>
      <c r="J85" s="217" t="s">
        <v>633</v>
      </c>
    </row>
    <row r="86" spans="2:10">
      <c r="B86" s="217" t="s">
        <v>635</v>
      </c>
      <c r="C86" s="217" t="str">
        <f t="shared" si="2"/>
        <v>FIN</v>
      </c>
      <c r="D86" s="217" t="s">
        <v>1063</v>
      </c>
      <c r="E86" s="217" t="s">
        <v>1064</v>
      </c>
      <c r="F86" s="217" t="s">
        <v>332</v>
      </c>
      <c r="G86" s="217" t="s">
        <v>632</v>
      </c>
      <c r="H86" s="217"/>
      <c r="I86" s="217" t="s">
        <v>829</v>
      </c>
      <c r="J86" s="217" t="s">
        <v>633</v>
      </c>
    </row>
    <row r="87" spans="2:10">
      <c r="B87" s="205" t="s">
        <v>638</v>
      </c>
      <c r="C87" s="205" t="str">
        <f t="shared" si="2"/>
        <v>FIN</v>
      </c>
      <c r="D87" s="205" t="s">
        <v>1126</v>
      </c>
      <c r="E87" s="205" t="s">
        <v>1127</v>
      </c>
      <c r="F87" s="205" t="s">
        <v>332</v>
      </c>
      <c r="G87" s="205"/>
      <c r="H87" s="205"/>
      <c r="I87" s="205"/>
      <c r="J87" s="205" t="s">
        <v>633</v>
      </c>
    </row>
    <row r="88" spans="2:10">
      <c r="B88" s="205" t="s">
        <v>638</v>
      </c>
      <c r="C88" s="205" t="str">
        <f t="shared" si="2"/>
        <v>FIN</v>
      </c>
      <c r="D88" s="205" t="s">
        <v>1106</v>
      </c>
      <c r="E88" s="205" t="s">
        <v>1107</v>
      </c>
      <c r="F88" s="205" t="s">
        <v>332</v>
      </c>
      <c r="G88" s="205"/>
      <c r="H88" s="205"/>
      <c r="I88" s="205"/>
      <c r="J88" s="205" t="s">
        <v>633</v>
      </c>
    </row>
    <row r="89" spans="2:10">
      <c r="B89" s="205" t="s">
        <v>638</v>
      </c>
      <c r="C89" s="205" t="str">
        <f t="shared" si="2"/>
        <v>FIN</v>
      </c>
      <c r="D89" s="205" t="s">
        <v>1128</v>
      </c>
      <c r="E89" s="205" t="s">
        <v>1129</v>
      </c>
      <c r="F89" s="205" t="s">
        <v>332</v>
      </c>
      <c r="G89" s="205"/>
      <c r="H89" s="205"/>
      <c r="I89" s="205"/>
      <c r="J89" s="205" t="s">
        <v>633</v>
      </c>
    </row>
    <row r="90" spans="2:10">
      <c r="B90" s="205" t="s">
        <v>638</v>
      </c>
      <c r="C90" s="205" t="str">
        <f t="shared" si="2"/>
        <v>FIN</v>
      </c>
      <c r="D90" s="205" t="s">
        <v>1130</v>
      </c>
      <c r="E90" s="205" t="s">
        <v>1131</v>
      </c>
      <c r="F90" s="205" t="s">
        <v>332</v>
      </c>
      <c r="G90" s="205"/>
      <c r="H90" s="205"/>
      <c r="I90" s="205"/>
      <c r="J90" s="205" t="s">
        <v>633</v>
      </c>
    </row>
    <row r="91" spans="2:10">
      <c r="B91" s="205" t="s">
        <v>638</v>
      </c>
      <c r="C91" s="205" t="str">
        <f t="shared" si="2"/>
        <v>FIN</v>
      </c>
      <c r="D91" s="205" t="s">
        <v>1132</v>
      </c>
      <c r="E91" s="205" t="s">
        <v>1133</v>
      </c>
      <c r="F91" s="205" t="s">
        <v>332</v>
      </c>
      <c r="G91" s="205"/>
      <c r="H91" s="205"/>
      <c r="I91" s="205" t="s">
        <v>329</v>
      </c>
      <c r="J91" s="205" t="s">
        <v>633</v>
      </c>
    </row>
    <row r="92" spans="2:10">
      <c r="B92" s="205" t="s">
        <v>638</v>
      </c>
      <c r="C92" s="205" t="str">
        <f t="shared" si="2"/>
        <v>FIN</v>
      </c>
      <c r="D92" s="205" t="s">
        <v>1134</v>
      </c>
      <c r="E92" s="205" t="s">
        <v>1135</v>
      </c>
      <c r="F92" s="205" t="s">
        <v>332</v>
      </c>
      <c r="G92" s="205"/>
      <c r="H92" s="205"/>
      <c r="I92" s="205"/>
      <c r="J92" s="205" t="s">
        <v>633</v>
      </c>
    </row>
    <row r="93" spans="2:10">
      <c r="B93" s="205" t="s">
        <v>638</v>
      </c>
      <c r="C93" s="205" t="str">
        <f t="shared" si="2"/>
        <v>FIN</v>
      </c>
      <c r="D93" s="205" t="s">
        <v>1102</v>
      </c>
      <c r="E93" s="205" t="s">
        <v>1103</v>
      </c>
      <c r="F93" s="205" t="s">
        <v>332</v>
      </c>
      <c r="G93" s="205"/>
      <c r="H93" s="205"/>
      <c r="I93" s="205"/>
      <c r="J93" s="205" t="s">
        <v>633</v>
      </c>
    </row>
    <row r="94" spans="2:10">
      <c r="B94" s="205" t="s">
        <v>638</v>
      </c>
      <c r="C94" s="205" t="str">
        <f t="shared" si="2"/>
        <v>FIN</v>
      </c>
      <c r="D94" s="205" t="s">
        <v>1136</v>
      </c>
      <c r="E94" s="205" t="s">
        <v>1137</v>
      </c>
      <c r="F94" s="205" t="s">
        <v>332</v>
      </c>
      <c r="G94" s="205"/>
      <c r="H94" s="205"/>
      <c r="I94" s="205"/>
      <c r="J94" s="205" t="s">
        <v>633</v>
      </c>
    </row>
    <row r="95" spans="2:10">
      <c r="B95" s="205" t="s">
        <v>638</v>
      </c>
      <c r="C95" s="205" t="str">
        <f t="shared" si="2"/>
        <v>FIN</v>
      </c>
      <c r="D95" s="205" t="s">
        <v>1138</v>
      </c>
      <c r="E95" s="205" t="s">
        <v>1139</v>
      </c>
      <c r="F95" s="205" t="s">
        <v>332</v>
      </c>
      <c r="G95" s="205"/>
      <c r="H95" s="205"/>
      <c r="I95" s="205"/>
      <c r="J95" s="205" t="s">
        <v>633</v>
      </c>
    </row>
    <row r="96" spans="2:10">
      <c r="B96" s="205" t="s">
        <v>638</v>
      </c>
      <c r="C96" s="205" t="str">
        <f t="shared" si="2"/>
        <v>FIN</v>
      </c>
      <c r="D96" s="205" t="s">
        <v>1140</v>
      </c>
      <c r="E96" s="205" t="s">
        <v>1141</v>
      </c>
      <c r="F96" s="205" t="s">
        <v>332</v>
      </c>
      <c r="G96" s="205"/>
      <c r="H96" s="205"/>
      <c r="I96" s="205" t="s">
        <v>329</v>
      </c>
      <c r="J96" s="205" t="s">
        <v>633</v>
      </c>
    </row>
    <row r="97" spans="2:10">
      <c r="B97" s="217" t="s">
        <v>661</v>
      </c>
      <c r="C97" s="217" t="str">
        <f t="shared" si="2"/>
        <v>FIN</v>
      </c>
      <c r="D97" s="217" t="s">
        <v>869</v>
      </c>
      <c r="E97" s="217" t="s">
        <v>870</v>
      </c>
      <c r="F97" s="217" t="s">
        <v>332</v>
      </c>
      <c r="G97" s="217" t="s">
        <v>632</v>
      </c>
      <c r="H97" s="217"/>
      <c r="I97" s="217"/>
      <c r="J97" s="217" t="s">
        <v>633</v>
      </c>
    </row>
    <row r="98" spans="2:10">
      <c r="B98" s="217" t="s">
        <v>661</v>
      </c>
      <c r="C98" s="217" t="str">
        <f t="shared" si="2"/>
        <v>FIN</v>
      </c>
      <c r="D98" s="217" t="s">
        <v>871</v>
      </c>
      <c r="E98" s="217" t="s">
        <v>872</v>
      </c>
      <c r="F98" s="217" t="s">
        <v>332</v>
      </c>
      <c r="G98" s="217" t="s">
        <v>632</v>
      </c>
      <c r="H98" s="217"/>
      <c r="I98" s="217"/>
      <c r="J98" s="217" t="s">
        <v>633</v>
      </c>
    </row>
    <row r="99" spans="2:10">
      <c r="B99" s="217" t="s">
        <v>661</v>
      </c>
      <c r="C99" s="217" t="str">
        <f t="shared" si="2"/>
        <v>FIN</v>
      </c>
      <c r="D99" s="217" t="s">
        <v>873</v>
      </c>
      <c r="E99" s="217" t="s">
        <v>874</v>
      </c>
      <c r="F99" s="217" t="s">
        <v>332</v>
      </c>
      <c r="G99" s="217" t="s">
        <v>632</v>
      </c>
      <c r="H99" s="217"/>
      <c r="I99" s="217"/>
      <c r="J99" s="217" t="s">
        <v>633</v>
      </c>
    </row>
    <row r="100" spans="2:10">
      <c r="B100" s="217" t="s">
        <v>661</v>
      </c>
      <c r="C100" s="217" t="str">
        <f t="shared" si="2"/>
        <v>FIN</v>
      </c>
      <c r="D100" s="217" t="s">
        <v>875</v>
      </c>
      <c r="E100" s="217" t="s">
        <v>876</v>
      </c>
      <c r="F100" s="217" t="s">
        <v>332</v>
      </c>
      <c r="G100" s="217" t="s">
        <v>632</v>
      </c>
      <c r="H100" s="217"/>
      <c r="I100" s="217"/>
      <c r="J100" s="217" t="s">
        <v>633</v>
      </c>
    </row>
    <row r="101" spans="2:10">
      <c r="B101" s="217" t="s">
        <v>661</v>
      </c>
      <c r="C101" s="217" t="str">
        <f t="shared" ref="C101:C129" si="3">Region</f>
        <v>FIN</v>
      </c>
      <c r="D101" s="217" t="s">
        <v>877</v>
      </c>
      <c r="E101" s="217" t="s">
        <v>878</v>
      </c>
      <c r="F101" s="217" t="s">
        <v>332</v>
      </c>
      <c r="G101" s="217" t="s">
        <v>632</v>
      </c>
      <c r="H101" s="217"/>
      <c r="I101" s="217"/>
      <c r="J101" s="217" t="s">
        <v>633</v>
      </c>
    </row>
    <row r="102" spans="2:10">
      <c r="B102" s="217" t="s">
        <v>661</v>
      </c>
      <c r="C102" s="217" t="str">
        <f t="shared" si="3"/>
        <v>FIN</v>
      </c>
      <c r="D102" s="217" t="s">
        <v>879</v>
      </c>
      <c r="E102" s="217" t="s">
        <v>880</v>
      </c>
      <c r="F102" s="217" t="s">
        <v>332</v>
      </c>
      <c r="G102" s="217" t="s">
        <v>632</v>
      </c>
      <c r="H102" s="217"/>
      <c r="I102" s="217"/>
      <c r="J102" s="217" t="s">
        <v>633</v>
      </c>
    </row>
    <row r="103" spans="2:10">
      <c r="B103" s="217" t="s">
        <v>661</v>
      </c>
      <c r="C103" s="217" t="str">
        <f t="shared" si="3"/>
        <v>FIN</v>
      </c>
      <c r="D103" s="217" t="s">
        <v>881</v>
      </c>
      <c r="E103" s="217" t="s">
        <v>882</v>
      </c>
      <c r="F103" s="217" t="s">
        <v>332</v>
      </c>
      <c r="G103" s="217" t="s">
        <v>632</v>
      </c>
      <c r="H103" s="217"/>
      <c r="I103" s="217"/>
      <c r="J103" s="217" t="s">
        <v>633</v>
      </c>
    </row>
    <row r="104" spans="2:10">
      <c r="B104" s="217" t="s">
        <v>661</v>
      </c>
      <c r="C104" s="217" t="str">
        <f t="shared" si="3"/>
        <v>FIN</v>
      </c>
      <c r="D104" s="217" t="s">
        <v>884</v>
      </c>
      <c r="E104" s="217" t="s">
        <v>885</v>
      </c>
      <c r="F104" s="217" t="s">
        <v>332</v>
      </c>
      <c r="G104" s="217" t="s">
        <v>632</v>
      </c>
      <c r="H104" s="217"/>
      <c r="I104" s="217"/>
      <c r="J104" s="217" t="s">
        <v>633</v>
      </c>
    </row>
    <row r="105" spans="2:10">
      <c r="B105" s="217" t="s">
        <v>661</v>
      </c>
      <c r="C105" s="217" t="str">
        <f t="shared" si="3"/>
        <v>FIN</v>
      </c>
      <c r="D105" s="217" t="s">
        <v>886</v>
      </c>
      <c r="E105" s="217" t="s">
        <v>887</v>
      </c>
      <c r="F105" s="217" t="s">
        <v>332</v>
      </c>
      <c r="G105" s="217" t="s">
        <v>632</v>
      </c>
      <c r="H105" s="217"/>
      <c r="I105" s="217"/>
      <c r="J105" s="217" t="s">
        <v>633</v>
      </c>
    </row>
    <row r="106" spans="2:10">
      <c r="B106" s="217" t="s">
        <v>661</v>
      </c>
      <c r="C106" s="217" t="str">
        <f t="shared" si="3"/>
        <v>FIN</v>
      </c>
      <c r="D106" s="217" t="s">
        <v>888</v>
      </c>
      <c r="E106" s="217" t="s">
        <v>889</v>
      </c>
      <c r="F106" s="217" t="s">
        <v>332</v>
      </c>
      <c r="G106" s="217" t="s">
        <v>632</v>
      </c>
      <c r="H106" s="217"/>
      <c r="I106" s="217"/>
      <c r="J106" s="217" t="s">
        <v>633</v>
      </c>
    </row>
    <row r="107" spans="2:10">
      <c r="B107" s="217" t="s">
        <v>661</v>
      </c>
      <c r="C107" s="217" t="str">
        <f t="shared" si="3"/>
        <v>FIN</v>
      </c>
      <c r="D107" s="217" t="s">
        <v>892</v>
      </c>
      <c r="E107" s="217" t="s">
        <v>893</v>
      </c>
      <c r="F107" s="217" t="s">
        <v>332</v>
      </c>
      <c r="G107" s="217" t="s">
        <v>632</v>
      </c>
      <c r="H107" s="217"/>
      <c r="I107" s="217"/>
      <c r="J107" s="217" t="s">
        <v>633</v>
      </c>
    </row>
    <row r="108" spans="2:10">
      <c r="B108" s="217" t="s">
        <v>661</v>
      </c>
      <c r="C108" s="217" t="str">
        <f t="shared" si="3"/>
        <v>FIN</v>
      </c>
      <c r="D108" s="217" t="s">
        <v>894</v>
      </c>
      <c r="E108" s="217" t="s">
        <v>895</v>
      </c>
      <c r="F108" s="217" t="s">
        <v>332</v>
      </c>
      <c r="G108" s="217" t="s">
        <v>632</v>
      </c>
      <c r="H108" s="217"/>
      <c r="I108" s="217"/>
      <c r="J108" s="217" t="s">
        <v>633</v>
      </c>
    </row>
    <row r="109" spans="2:10">
      <c r="B109" s="217" t="s">
        <v>661</v>
      </c>
      <c r="C109" s="217" t="str">
        <f t="shared" si="3"/>
        <v>FIN</v>
      </c>
      <c r="D109" s="217" t="s">
        <v>896</v>
      </c>
      <c r="E109" s="217" t="s">
        <v>897</v>
      </c>
      <c r="F109" s="217" t="s">
        <v>332</v>
      </c>
      <c r="G109" s="217" t="s">
        <v>632</v>
      </c>
      <c r="H109" s="217"/>
      <c r="I109" s="217"/>
      <c r="J109" s="217" t="s">
        <v>633</v>
      </c>
    </row>
    <row r="110" spans="2:10">
      <c r="B110" s="217" t="s">
        <v>661</v>
      </c>
      <c r="C110" s="217" t="str">
        <f t="shared" si="3"/>
        <v>FIN</v>
      </c>
      <c r="D110" s="217" t="s">
        <v>899</v>
      </c>
      <c r="E110" s="217" t="s">
        <v>897</v>
      </c>
      <c r="F110" s="217" t="s">
        <v>332</v>
      </c>
      <c r="G110" s="217" t="s">
        <v>632</v>
      </c>
      <c r="H110" s="217"/>
      <c r="I110" s="217"/>
      <c r="J110" s="217" t="s">
        <v>633</v>
      </c>
    </row>
    <row r="111" spans="2:10">
      <c r="B111" s="217" t="s">
        <v>661</v>
      </c>
      <c r="C111" s="217" t="str">
        <f t="shared" si="3"/>
        <v>FIN</v>
      </c>
      <c r="D111" s="217" t="s">
        <v>900</v>
      </c>
      <c r="E111" s="217" t="s">
        <v>901</v>
      </c>
      <c r="F111" s="217" t="s">
        <v>332</v>
      </c>
      <c r="G111" s="217" t="s">
        <v>632</v>
      </c>
      <c r="H111" s="217"/>
      <c r="I111" s="217"/>
      <c r="J111" s="217" t="s">
        <v>633</v>
      </c>
    </row>
    <row r="112" spans="2:10">
      <c r="B112" s="217" t="s">
        <v>661</v>
      </c>
      <c r="C112" s="217" t="str">
        <f t="shared" si="3"/>
        <v>FIN</v>
      </c>
      <c r="D112" s="217" t="s">
        <v>903</v>
      </c>
      <c r="E112" s="217" t="s">
        <v>904</v>
      </c>
      <c r="F112" s="217" t="s">
        <v>332</v>
      </c>
      <c r="G112" s="217" t="s">
        <v>632</v>
      </c>
      <c r="H112" s="217"/>
      <c r="I112" s="217"/>
      <c r="J112" s="217" t="s">
        <v>633</v>
      </c>
    </row>
    <row r="113" spans="2:10">
      <c r="B113" s="217" t="s">
        <v>661</v>
      </c>
      <c r="C113" s="217" t="str">
        <f t="shared" si="3"/>
        <v>FIN</v>
      </c>
      <c r="D113" s="217" t="s">
        <v>906</v>
      </c>
      <c r="E113" s="217" t="s">
        <v>907</v>
      </c>
      <c r="F113" s="217" t="s">
        <v>332</v>
      </c>
      <c r="G113" s="217" t="s">
        <v>632</v>
      </c>
      <c r="H113" s="217"/>
      <c r="I113" s="217"/>
      <c r="J113" s="217" t="s">
        <v>633</v>
      </c>
    </row>
    <row r="114" spans="2:10">
      <c r="B114" s="217" t="s">
        <v>661</v>
      </c>
      <c r="C114" s="217" t="str">
        <f t="shared" si="3"/>
        <v>FIN</v>
      </c>
      <c r="D114" s="217" t="s">
        <v>909</v>
      </c>
      <c r="E114" s="217" t="s">
        <v>907</v>
      </c>
      <c r="F114" s="217" t="s">
        <v>332</v>
      </c>
      <c r="G114" s="217" t="s">
        <v>632</v>
      </c>
      <c r="H114" s="217"/>
      <c r="I114" s="217"/>
      <c r="J114" s="217" t="s">
        <v>633</v>
      </c>
    </row>
    <row r="115" spans="2:10">
      <c r="B115" s="217" t="s">
        <v>661</v>
      </c>
      <c r="C115" s="217" t="str">
        <f t="shared" si="3"/>
        <v>FIN</v>
      </c>
      <c r="D115" s="217" t="s">
        <v>910</v>
      </c>
      <c r="E115" s="217" t="s">
        <v>907</v>
      </c>
      <c r="F115" s="217" t="s">
        <v>332</v>
      </c>
      <c r="G115" s="217" t="s">
        <v>632</v>
      </c>
      <c r="H115" s="217"/>
      <c r="I115" s="217"/>
      <c r="J115" s="217" t="s">
        <v>633</v>
      </c>
    </row>
    <row r="116" spans="2:10">
      <c r="B116" s="217" t="s">
        <v>661</v>
      </c>
      <c r="C116" s="217" t="str">
        <f t="shared" si="3"/>
        <v>FIN</v>
      </c>
      <c r="D116" s="217" t="s">
        <v>911</v>
      </c>
      <c r="E116" s="217" t="s">
        <v>907</v>
      </c>
      <c r="F116" s="217" t="s">
        <v>332</v>
      </c>
      <c r="G116" s="217" t="s">
        <v>632</v>
      </c>
      <c r="H116" s="217"/>
      <c r="I116" s="217"/>
      <c r="J116" s="217" t="s">
        <v>633</v>
      </c>
    </row>
    <row r="117" spans="2:10">
      <c r="B117" s="217" t="s">
        <v>661</v>
      </c>
      <c r="C117" s="217" t="str">
        <f t="shared" si="3"/>
        <v>FIN</v>
      </c>
      <c r="D117" s="217" t="s">
        <v>912</v>
      </c>
      <c r="E117" s="217" t="s">
        <v>913</v>
      </c>
      <c r="F117" s="217" t="s">
        <v>332</v>
      </c>
      <c r="G117" s="217" t="s">
        <v>632</v>
      </c>
      <c r="H117" s="217"/>
      <c r="I117" s="217"/>
      <c r="J117" s="217" t="s">
        <v>633</v>
      </c>
    </row>
    <row r="118" spans="2:10">
      <c r="B118" s="217" t="s">
        <v>661</v>
      </c>
      <c r="C118" s="217" t="str">
        <f t="shared" si="3"/>
        <v>FIN</v>
      </c>
      <c r="D118" s="217" t="s">
        <v>915</v>
      </c>
      <c r="E118" s="217" t="s">
        <v>337</v>
      </c>
      <c r="F118" s="217" t="s">
        <v>332</v>
      </c>
      <c r="G118" s="217" t="s">
        <v>632</v>
      </c>
      <c r="H118" s="217"/>
      <c r="I118" s="217"/>
      <c r="J118" s="217" t="s">
        <v>633</v>
      </c>
    </row>
    <row r="119" spans="2:10">
      <c r="B119" s="217" t="s">
        <v>661</v>
      </c>
      <c r="C119" s="217" t="str">
        <f t="shared" si="3"/>
        <v>FIN</v>
      </c>
      <c r="D119" s="217" t="s">
        <v>916</v>
      </c>
      <c r="E119" s="217" t="s">
        <v>336</v>
      </c>
      <c r="F119" s="217" t="s">
        <v>332</v>
      </c>
      <c r="G119" s="217" t="s">
        <v>632</v>
      </c>
      <c r="H119" s="217"/>
      <c r="I119" s="217"/>
      <c r="J119" s="217" t="s">
        <v>633</v>
      </c>
    </row>
    <row r="120" spans="2:10">
      <c r="B120" s="217" t="s">
        <v>661</v>
      </c>
      <c r="C120" s="217" t="str">
        <f t="shared" si="3"/>
        <v>FIN</v>
      </c>
      <c r="D120" s="217" t="s">
        <v>841</v>
      </c>
      <c r="E120" s="217" t="s">
        <v>842</v>
      </c>
      <c r="F120" s="217" t="s">
        <v>332</v>
      </c>
      <c r="G120" s="217" t="s">
        <v>632</v>
      </c>
      <c r="H120" s="217"/>
      <c r="I120" s="217"/>
      <c r="J120" s="217" t="s">
        <v>633</v>
      </c>
    </row>
    <row r="121" spans="2:10">
      <c r="B121" s="217" t="s">
        <v>661</v>
      </c>
      <c r="C121" s="217" t="str">
        <f t="shared" si="3"/>
        <v>FIN</v>
      </c>
      <c r="D121" s="217" t="s">
        <v>846</v>
      </c>
      <c r="E121" s="217" t="s">
        <v>847</v>
      </c>
      <c r="F121" s="217" t="s">
        <v>332</v>
      </c>
      <c r="G121" s="217" t="s">
        <v>632</v>
      </c>
      <c r="H121" s="217"/>
      <c r="I121" s="217"/>
      <c r="J121" s="217" t="s">
        <v>633</v>
      </c>
    </row>
    <row r="122" spans="2:10">
      <c r="B122" s="217" t="s">
        <v>661</v>
      </c>
      <c r="C122" s="217" t="str">
        <f t="shared" si="3"/>
        <v>FIN</v>
      </c>
      <c r="D122" s="217" t="s">
        <v>843</v>
      </c>
      <c r="E122" s="217" t="s">
        <v>844</v>
      </c>
      <c r="F122" s="217" t="s">
        <v>332</v>
      </c>
      <c r="G122" s="217" t="s">
        <v>632</v>
      </c>
      <c r="H122" s="217"/>
      <c r="I122" s="217"/>
      <c r="J122" s="217" t="s">
        <v>633</v>
      </c>
    </row>
    <row r="123" spans="2:10">
      <c r="B123" s="217" t="s">
        <v>661</v>
      </c>
      <c r="C123" s="217" t="str">
        <f t="shared" si="3"/>
        <v>FIN</v>
      </c>
      <c r="D123" s="217" t="s">
        <v>848</v>
      </c>
      <c r="E123" s="217" t="s">
        <v>849</v>
      </c>
      <c r="F123" s="217" t="s">
        <v>332</v>
      </c>
      <c r="G123" s="217" t="s">
        <v>632</v>
      </c>
      <c r="H123" s="217"/>
      <c r="I123" s="217"/>
      <c r="J123" s="217" t="s">
        <v>633</v>
      </c>
    </row>
    <row r="124" spans="2:10">
      <c r="B124" s="217" t="s">
        <v>661</v>
      </c>
      <c r="C124" s="217" t="str">
        <f t="shared" si="3"/>
        <v>FIN</v>
      </c>
      <c r="D124" s="217" t="s">
        <v>851</v>
      </c>
      <c r="E124" s="217" t="s">
        <v>852</v>
      </c>
      <c r="F124" s="217" t="s">
        <v>332</v>
      </c>
      <c r="G124" s="217" t="s">
        <v>632</v>
      </c>
      <c r="H124" s="217"/>
      <c r="I124" s="217"/>
      <c r="J124" s="217" t="s">
        <v>633</v>
      </c>
    </row>
    <row r="125" spans="2:10">
      <c r="B125" s="217" t="s">
        <v>661</v>
      </c>
      <c r="C125" s="217" t="str">
        <f t="shared" si="3"/>
        <v>FIN</v>
      </c>
      <c r="D125" s="217" t="s">
        <v>855</v>
      </c>
      <c r="E125" s="217" t="s">
        <v>856</v>
      </c>
      <c r="F125" s="217" t="s">
        <v>332</v>
      </c>
      <c r="G125" s="217" t="s">
        <v>632</v>
      </c>
      <c r="H125" s="217"/>
      <c r="I125" s="217"/>
      <c r="J125" s="217" t="s">
        <v>633</v>
      </c>
    </row>
    <row r="126" spans="2:10">
      <c r="B126" s="217" t="s">
        <v>661</v>
      </c>
      <c r="C126" s="217" t="str">
        <f t="shared" si="3"/>
        <v>FIN</v>
      </c>
      <c r="D126" s="217" t="s">
        <v>857</v>
      </c>
      <c r="E126" s="217" t="s">
        <v>858</v>
      </c>
      <c r="F126" s="217" t="s">
        <v>332</v>
      </c>
      <c r="G126" s="217" t="s">
        <v>632</v>
      </c>
      <c r="H126" s="217"/>
      <c r="I126" s="217"/>
      <c r="J126" s="217" t="s">
        <v>633</v>
      </c>
    </row>
    <row r="127" spans="2:10">
      <c r="B127" s="217" t="s">
        <v>661</v>
      </c>
      <c r="C127" s="217" t="str">
        <f t="shared" si="3"/>
        <v>FIN</v>
      </c>
      <c r="D127" s="217" t="s">
        <v>859</v>
      </c>
      <c r="E127" s="217" t="s">
        <v>860</v>
      </c>
      <c r="F127" s="217" t="s">
        <v>332</v>
      </c>
      <c r="G127" s="217" t="s">
        <v>632</v>
      </c>
      <c r="H127" s="217"/>
      <c r="I127" s="217"/>
      <c r="J127" s="217" t="s">
        <v>633</v>
      </c>
    </row>
    <row r="128" spans="2:10">
      <c r="B128" s="217" t="s">
        <v>1142</v>
      </c>
      <c r="C128" s="217" t="str">
        <f t="shared" si="3"/>
        <v>FIN</v>
      </c>
      <c r="D128" s="217" t="s">
        <v>1143</v>
      </c>
      <c r="E128" s="217" t="s">
        <v>1144</v>
      </c>
      <c r="F128" s="217" t="s">
        <v>332</v>
      </c>
      <c r="G128" s="217" t="s">
        <v>632</v>
      </c>
      <c r="H128" s="217" t="s">
        <v>393</v>
      </c>
      <c r="I128" s="217" t="s">
        <v>329</v>
      </c>
      <c r="J128" s="217"/>
    </row>
    <row r="129" spans="2:10">
      <c r="B129" s="217" t="s">
        <v>661</v>
      </c>
      <c r="C129" s="217" t="str">
        <f t="shared" si="3"/>
        <v>FIN</v>
      </c>
      <c r="D129" s="217" t="s">
        <v>659</v>
      </c>
      <c r="E129" s="217" t="s">
        <v>660</v>
      </c>
      <c r="F129" s="217" t="s">
        <v>332</v>
      </c>
      <c r="G129" s="217" t="s">
        <v>632</v>
      </c>
      <c r="H129" s="217"/>
      <c r="I129" s="217" t="s">
        <v>444</v>
      </c>
      <c r="J129" s="217"/>
    </row>
  </sheetData>
  <phoneticPr fontId="38" type="noConversion"/>
  <pageMargins left="0.75" right="0.75" top="1" bottom="1" header="0.5" footer="0.5"/>
  <pageSetup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208"/>
  <sheetViews>
    <sheetView zoomScale="75" workbookViewId="0">
      <selection activeCell="G1" sqref="G1"/>
    </sheetView>
  </sheetViews>
  <sheetFormatPr defaultColWidth="9.140625" defaultRowHeight="12.75"/>
  <cols>
    <col min="1" max="1" width="15.85546875" customWidth="1"/>
    <col min="2" max="2" width="17.42578125" customWidth="1"/>
  </cols>
  <sheetData>
    <row r="1" spans="1:52">
      <c r="A1" s="1" t="s">
        <v>0</v>
      </c>
      <c r="B1" s="2">
        <v>2010</v>
      </c>
      <c r="C1" s="3"/>
      <c r="F1" s="4" t="s">
        <v>1</v>
      </c>
      <c r="G1" s="4" t="str">
        <f ca="1">MID(CELL("filename",F1),FIND("VT_",CELL("filename",F1))+3,3)</f>
        <v>FI_</v>
      </c>
      <c r="H1" s="4" t="s">
        <v>2</v>
      </c>
      <c r="I1" s="5">
        <v>1.0000000000000001E-9</v>
      </c>
      <c r="J1" s="6"/>
      <c r="M1" s="7"/>
      <c r="N1" s="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8"/>
      <c r="AY1" s="8"/>
    </row>
    <row r="2" spans="1:52" ht="23.25" thickBot="1">
      <c r="A2" s="9" t="s">
        <v>3</v>
      </c>
      <c r="B2" s="10" t="str">
        <f>IF(OPEC,"Yes","No")</f>
        <v>No</v>
      </c>
      <c r="C2" s="3"/>
      <c r="D2" s="11"/>
      <c r="E2" s="11"/>
      <c r="F2" s="4" t="s">
        <v>4</v>
      </c>
      <c r="G2" s="4">
        <f>MATCH(Region,$N$39:$N$42,0)</f>
        <v>3</v>
      </c>
      <c r="H2" s="12"/>
      <c r="I2" s="6"/>
      <c r="J2" s="6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8"/>
      <c r="AY2" s="8"/>
    </row>
    <row r="3" spans="1:52">
      <c r="A3" s="11"/>
      <c r="B3" s="11"/>
      <c r="C3" s="3"/>
      <c r="D3" s="11"/>
      <c r="E3" s="11"/>
      <c r="F3" s="13"/>
      <c r="G3" s="14"/>
      <c r="H3" s="12"/>
      <c r="I3" s="6"/>
      <c r="J3" s="6"/>
      <c r="L3" s="7"/>
      <c r="M3" s="7"/>
      <c r="N3" s="7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8"/>
      <c r="AY3" s="8"/>
    </row>
    <row r="4" spans="1:52" ht="18">
      <c r="A4" s="15" t="s">
        <v>5</v>
      </c>
      <c r="B4" s="11"/>
      <c r="C4" s="3"/>
      <c r="D4" s="11"/>
      <c r="E4" s="11"/>
      <c r="F4" s="13"/>
      <c r="G4" s="14"/>
      <c r="H4" s="12"/>
      <c r="I4" s="6"/>
      <c r="J4" s="6"/>
      <c r="L4" s="7"/>
      <c r="M4" s="7"/>
      <c r="N4" s="16" t="s">
        <v>6</v>
      </c>
      <c r="O4" s="16">
        <v>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8"/>
      <c r="AY4" s="8"/>
    </row>
    <row r="5" spans="1:52" ht="18">
      <c r="A5" s="15"/>
      <c r="B5" s="11"/>
      <c r="C5" s="3"/>
      <c r="D5" s="11"/>
      <c r="E5" s="11"/>
      <c r="F5" s="13"/>
      <c r="G5" s="14"/>
      <c r="H5" s="12"/>
      <c r="I5" s="6"/>
      <c r="J5" s="6"/>
      <c r="L5" s="7"/>
      <c r="M5" s="7"/>
      <c r="N5" s="7"/>
      <c r="O5" s="7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8"/>
      <c r="AY5" s="8"/>
    </row>
    <row r="6" spans="1:52" ht="18">
      <c r="A6" s="6"/>
      <c r="B6" s="17" t="s">
        <v>7</v>
      </c>
      <c r="C6" s="18"/>
      <c r="D6" s="19"/>
      <c r="E6" s="19"/>
      <c r="F6" s="20"/>
      <c r="G6" s="20"/>
      <c r="H6" s="20"/>
      <c r="I6" s="20"/>
      <c r="J6" s="21"/>
      <c r="K6" s="22"/>
      <c r="L6" s="7"/>
      <c r="M6" s="7"/>
      <c r="N6" s="7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8"/>
      <c r="AY6" s="8"/>
    </row>
    <row r="7" spans="1:52" ht="13.5" thickBot="1">
      <c r="A7" s="6"/>
      <c r="B7" s="23"/>
      <c r="C7" s="24" t="s">
        <v>8</v>
      </c>
      <c r="D7" s="25"/>
      <c r="E7" s="14"/>
      <c r="F7" s="26"/>
      <c r="G7" s="26"/>
      <c r="H7" s="26"/>
      <c r="I7" s="26"/>
      <c r="J7" s="26"/>
      <c r="K7" s="22"/>
      <c r="L7" s="7"/>
      <c r="M7" s="7"/>
      <c r="N7" s="27" t="s">
        <v>9</v>
      </c>
      <c r="O7" s="28">
        <v>0.22</v>
      </c>
      <c r="P7" s="29">
        <f>IF($O$4,O7)</f>
        <v>0.22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8"/>
      <c r="AY7" s="8"/>
    </row>
    <row r="8" spans="1:52">
      <c r="A8" s="6"/>
      <c r="B8" s="30" t="s">
        <v>10</v>
      </c>
      <c r="C8" s="31">
        <v>0</v>
      </c>
      <c r="D8" s="22" t="s">
        <v>11</v>
      </c>
      <c r="E8" s="26"/>
      <c r="F8" s="26"/>
      <c r="G8" s="26"/>
      <c r="H8" s="26"/>
      <c r="I8" s="26"/>
      <c r="J8" s="26"/>
      <c r="K8" s="22"/>
      <c r="L8" s="7"/>
      <c r="M8" s="7"/>
      <c r="N8" s="27" t="s">
        <v>12</v>
      </c>
      <c r="O8" s="28">
        <v>0</v>
      </c>
      <c r="P8" s="29">
        <v>0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8"/>
      <c r="AY8" s="8"/>
    </row>
    <row r="9" spans="1:52">
      <c r="A9" s="6"/>
      <c r="B9" s="30" t="s">
        <v>13</v>
      </c>
      <c r="C9" s="31">
        <v>1</v>
      </c>
      <c r="D9" s="25"/>
      <c r="E9" s="26"/>
      <c r="F9" s="26"/>
      <c r="G9" s="26"/>
      <c r="H9" s="26"/>
      <c r="I9" s="22"/>
      <c r="J9" s="26"/>
      <c r="K9" s="22"/>
      <c r="L9" s="7"/>
      <c r="M9" s="7"/>
      <c r="N9" s="27"/>
      <c r="O9" s="28"/>
      <c r="P9" s="3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8"/>
      <c r="AY9" s="8"/>
    </row>
    <row r="10" spans="1:52">
      <c r="A10" s="6"/>
      <c r="B10" s="6"/>
      <c r="C10" s="6"/>
      <c r="D10" s="33"/>
      <c r="E10" s="6"/>
      <c r="F10" s="6"/>
      <c r="G10" s="12"/>
      <c r="H10" s="12"/>
      <c r="I10" s="6"/>
      <c r="J10" s="6"/>
      <c r="L10" s="7"/>
      <c r="M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8"/>
      <c r="AY10" s="8"/>
    </row>
    <row r="11" spans="1:52">
      <c r="A11" s="6"/>
      <c r="B11" s="6"/>
      <c r="C11" s="6"/>
      <c r="D11" s="6"/>
      <c r="E11" s="6"/>
      <c r="F11" s="6"/>
      <c r="G11" s="12"/>
      <c r="H11" s="12"/>
      <c r="I11" s="6"/>
      <c r="J11" s="6"/>
      <c r="L11" s="7"/>
      <c r="M11" s="7"/>
      <c r="Q11" s="6"/>
      <c r="R11" s="6"/>
      <c r="S11" s="6"/>
      <c r="T11" s="6"/>
      <c r="U11" s="6"/>
      <c r="V11" s="6"/>
      <c r="W11" s="6"/>
      <c r="X11" s="6"/>
      <c r="Y11" s="6"/>
      <c r="Z11" s="34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8"/>
      <c r="AY11" s="8"/>
    </row>
    <row r="12" spans="1:52" ht="18">
      <c r="A12" s="6"/>
      <c r="B12" s="17" t="s">
        <v>14</v>
      </c>
      <c r="C12" s="18"/>
      <c r="D12" s="19"/>
      <c r="E12" s="19"/>
      <c r="F12" s="20"/>
      <c r="G12" s="20"/>
      <c r="H12" s="20"/>
      <c r="I12" s="20"/>
      <c r="J12" s="35"/>
      <c r="K12" s="36"/>
      <c r="L12" s="37"/>
      <c r="M12" s="3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2" ht="13.5" thickBot="1">
      <c r="A13" s="38"/>
      <c r="B13" s="23"/>
      <c r="C13" s="24" t="s">
        <v>8</v>
      </c>
      <c r="D13" s="25"/>
      <c r="E13" s="22"/>
      <c r="F13" s="26"/>
      <c r="G13" s="26"/>
      <c r="H13" s="26"/>
      <c r="I13" s="26"/>
      <c r="J13" s="26"/>
      <c r="K13" s="22"/>
      <c r="L13" s="37"/>
      <c r="M13" s="37"/>
      <c r="N13" s="37"/>
      <c r="O13" s="3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2">
      <c r="A14" s="39"/>
      <c r="B14" s="30" t="s">
        <v>15</v>
      </c>
      <c r="C14" s="31">
        <f>IF(V52+S52+R52=0,0,R52/(R52+S52+V52))</f>
        <v>0</v>
      </c>
      <c r="D14" s="25"/>
      <c r="E14" s="26"/>
      <c r="F14" s="40">
        <v>1</v>
      </c>
      <c r="G14" s="41" t="s">
        <v>16</v>
      </c>
      <c r="H14" s="42"/>
      <c r="I14" s="26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2"/>
    </row>
    <row r="15" spans="1:52">
      <c r="A15" s="39"/>
      <c r="B15" s="30" t="s">
        <v>17</v>
      </c>
      <c r="C15" s="31">
        <f>IF(V52+S52+R52=0,0,S52/(R52+S52+V52))</f>
        <v>0</v>
      </c>
      <c r="D15" s="25"/>
      <c r="E15" s="26"/>
      <c r="F15" s="40" t="s">
        <v>18</v>
      </c>
      <c r="G15" s="41" t="s">
        <v>18</v>
      </c>
      <c r="H15" s="42"/>
      <c r="I15" s="26"/>
      <c r="J15" s="26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2"/>
    </row>
    <row r="16" spans="1:52">
      <c r="A16" s="39"/>
      <c r="B16" s="30" t="s">
        <v>19</v>
      </c>
      <c r="C16" s="31">
        <f>IF(V52+S52+R52=0,0,V52*F16/(V52+S52+R52))</f>
        <v>0</v>
      </c>
      <c r="D16" s="25"/>
      <c r="E16" s="26"/>
      <c r="F16" s="44">
        <v>0</v>
      </c>
      <c r="G16" s="41" t="s">
        <v>20</v>
      </c>
      <c r="H16" s="42"/>
      <c r="I16" s="14"/>
      <c r="J16" s="2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2"/>
    </row>
    <row r="17" spans="1:52">
      <c r="A17" s="39"/>
      <c r="B17" s="30" t="s">
        <v>21</v>
      </c>
      <c r="C17" s="31">
        <f>IF(V52+S52+R52=0,0,V52*F17/(V52+S52+R52))</f>
        <v>0</v>
      </c>
      <c r="D17" s="25"/>
      <c r="E17" s="26"/>
      <c r="F17" s="44">
        <v>1</v>
      </c>
      <c r="G17" s="41" t="s">
        <v>22</v>
      </c>
      <c r="H17" s="42"/>
      <c r="I17" s="14"/>
      <c r="J17" s="26"/>
      <c r="K17" s="22"/>
      <c r="M17" s="22"/>
      <c r="N17" s="22"/>
      <c r="O17" s="22"/>
      <c r="P17" s="22"/>
      <c r="Q17" s="22"/>
      <c r="R17" s="22"/>
      <c r="S17" s="22"/>
      <c r="T17" s="22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2"/>
    </row>
    <row r="18" spans="1:52">
      <c r="A18" s="39"/>
      <c r="B18" s="45" t="s">
        <v>23</v>
      </c>
      <c r="C18" s="46">
        <f>IF(V52+S52+R52=0,0,V52*F18/(V52+S52+R52))</f>
        <v>0</v>
      </c>
      <c r="D18" s="25"/>
      <c r="E18" s="26"/>
      <c r="F18" s="44">
        <v>0</v>
      </c>
      <c r="G18" s="41" t="s">
        <v>24</v>
      </c>
      <c r="H18" s="42"/>
      <c r="I18" s="14"/>
      <c r="J18" s="26"/>
      <c r="K18" s="22"/>
      <c r="L18" s="22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2"/>
    </row>
    <row r="19" spans="1:52">
      <c r="A19" s="39"/>
      <c r="B19" s="30" t="s">
        <v>25</v>
      </c>
      <c r="C19" s="31">
        <f>SUM(C14:C18)</f>
        <v>0</v>
      </c>
      <c r="D19" s="25"/>
      <c r="E19" s="26"/>
      <c r="F19" s="26"/>
      <c r="G19" s="26"/>
      <c r="H19" s="26"/>
      <c r="I19" s="14"/>
      <c r="J19" s="26"/>
      <c r="K19" s="22"/>
      <c r="L19" s="22"/>
      <c r="M19" s="2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2"/>
    </row>
    <row r="20" spans="1:52">
      <c r="A20" s="39"/>
      <c r="L20" s="22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2"/>
    </row>
    <row r="21" spans="1:52" ht="18">
      <c r="A21" s="39"/>
      <c r="B21" s="47" t="s">
        <v>26</v>
      </c>
      <c r="C21" s="18"/>
      <c r="D21" s="18"/>
      <c r="E21" s="18"/>
      <c r="F21" s="19"/>
      <c r="G21" s="19"/>
      <c r="H21" s="20"/>
      <c r="I21" s="48"/>
      <c r="J21" s="48"/>
      <c r="K21" s="49"/>
      <c r="L21" s="22"/>
      <c r="M21" s="25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2"/>
    </row>
    <row r="22" spans="1:52" ht="34.5" thickBot="1">
      <c r="A22" s="39"/>
      <c r="B22" s="23"/>
      <c r="C22" s="50" t="str">
        <f>C129</f>
        <v>GAS</v>
      </c>
      <c r="D22" s="50" t="str">
        <f>D129</f>
        <v>COAL</v>
      </c>
      <c r="E22" s="50" t="str">
        <f>E129</f>
        <v>CRUDE OIL</v>
      </c>
      <c r="F22" s="50" t="str">
        <f>F129</f>
        <v>OIL PRODUCTS</v>
      </c>
      <c r="G22" s="50" t="s">
        <v>27</v>
      </c>
      <c r="H22" s="50" t="str">
        <f>H129</f>
        <v>RENEWABLES</v>
      </c>
      <c r="I22" s="50" t="str">
        <f>I129</f>
        <v>ELECTRICITY</v>
      </c>
      <c r="J22" s="50" t="str">
        <f>J129</f>
        <v>HEAT</v>
      </c>
      <c r="K22" s="51"/>
      <c r="M22" s="2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2"/>
    </row>
    <row r="23" spans="1:52">
      <c r="A23" s="39"/>
      <c r="B23" s="45" t="s">
        <v>28</v>
      </c>
      <c r="C23" s="52">
        <f>C24+C25+C26</f>
        <v>1</v>
      </c>
      <c r="D23" s="52" t="s">
        <v>29</v>
      </c>
      <c r="E23" s="52">
        <f>E24+E25+E26</f>
        <v>1</v>
      </c>
      <c r="F23" s="52">
        <f>E23</f>
        <v>1</v>
      </c>
      <c r="G23" s="52" t="s">
        <v>29</v>
      </c>
      <c r="H23" s="52" t="s">
        <v>29</v>
      </c>
      <c r="I23" s="52">
        <f>I24+I25+I26</f>
        <v>1</v>
      </c>
      <c r="J23" s="52">
        <f>J24+J25+J26</f>
        <v>1</v>
      </c>
      <c r="K23" s="49"/>
      <c r="L23" s="14"/>
      <c r="M23" s="2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2"/>
    </row>
    <row r="24" spans="1:52">
      <c r="A24" s="39"/>
      <c r="B24" s="30" t="s">
        <v>30</v>
      </c>
      <c r="C24" s="53">
        <v>0.3</v>
      </c>
      <c r="D24" s="42">
        <v>0</v>
      </c>
      <c r="E24" s="53">
        <v>0.2</v>
      </c>
      <c r="F24" s="42">
        <f>E24</f>
        <v>0.2</v>
      </c>
      <c r="G24" s="42">
        <v>0</v>
      </c>
      <c r="H24" s="42">
        <v>0</v>
      </c>
      <c r="I24" s="53">
        <v>0.3</v>
      </c>
      <c r="J24" s="53">
        <v>0.3</v>
      </c>
      <c r="K24" s="49"/>
      <c r="L24" s="22"/>
      <c r="M24" s="2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2"/>
    </row>
    <row r="25" spans="1:52">
      <c r="A25" s="39"/>
      <c r="B25" s="30" t="s">
        <v>31</v>
      </c>
      <c r="C25" s="53">
        <v>0.4</v>
      </c>
      <c r="D25" s="42">
        <v>0</v>
      </c>
      <c r="E25" s="53">
        <v>0.5</v>
      </c>
      <c r="F25" s="42">
        <f>E25</f>
        <v>0.5</v>
      </c>
      <c r="G25" s="42">
        <v>0</v>
      </c>
      <c r="H25" s="42">
        <v>0</v>
      </c>
      <c r="I25" s="53">
        <v>0.4</v>
      </c>
      <c r="J25" s="53">
        <v>0.4</v>
      </c>
      <c r="K25" s="49"/>
      <c r="L25" s="22"/>
      <c r="M25" s="2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2"/>
    </row>
    <row r="26" spans="1:52">
      <c r="A26" s="22"/>
      <c r="B26" s="30" t="s">
        <v>32</v>
      </c>
      <c r="C26" s="53">
        <v>0.3</v>
      </c>
      <c r="D26" s="42">
        <v>0</v>
      </c>
      <c r="E26" s="53">
        <v>0.3</v>
      </c>
      <c r="F26" s="42">
        <f>E26</f>
        <v>0.3</v>
      </c>
      <c r="G26" s="42">
        <v>0</v>
      </c>
      <c r="H26" s="42">
        <v>0</v>
      </c>
      <c r="I26" s="53">
        <v>0.3</v>
      </c>
      <c r="J26" s="53">
        <v>0.3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54"/>
      <c r="AY26" s="54"/>
      <c r="AZ26" s="22"/>
    </row>
    <row r="27" spans="1:52">
      <c r="A27" s="14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5"/>
      <c r="AY27" s="55"/>
      <c r="AZ27" s="22"/>
    </row>
    <row r="28" spans="1:52" ht="18">
      <c r="A28" s="22"/>
      <c r="B28" s="56" t="s">
        <v>33</v>
      </c>
      <c r="C28" s="18"/>
      <c r="D28" s="18"/>
      <c r="E28" s="18"/>
      <c r="F28" s="18"/>
      <c r="G28" s="19"/>
      <c r="H28" s="19"/>
      <c r="I28" s="19"/>
      <c r="J28" s="48"/>
      <c r="K28" s="49"/>
      <c r="L28" s="49"/>
      <c r="M28" s="49"/>
      <c r="N28" s="49"/>
      <c r="O28" s="49"/>
      <c r="P28" s="49"/>
      <c r="Q28" s="49"/>
      <c r="R28" s="49"/>
      <c r="S28" s="57"/>
      <c r="T28" s="49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48"/>
      <c r="AY28" s="48"/>
      <c r="AZ28" s="22"/>
    </row>
    <row r="29" spans="1:52" ht="13.5" thickBot="1">
      <c r="A29" s="22"/>
      <c r="B29" s="58"/>
      <c r="C29" s="59" t="s">
        <v>34</v>
      </c>
      <c r="D29" s="22"/>
      <c r="E29" s="14" t="s">
        <v>35</v>
      </c>
      <c r="F29" s="22"/>
      <c r="G29" s="22"/>
      <c r="H29" s="22"/>
      <c r="I29" s="22"/>
      <c r="J29" s="22"/>
      <c r="K29" s="60"/>
      <c r="L29" s="49"/>
      <c r="M29" s="49"/>
      <c r="N29" s="49"/>
      <c r="O29" s="49"/>
      <c r="P29" s="49"/>
      <c r="Q29" s="49"/>
      <c r="R29" s="49"/>
      <c r="S29" s="57"/>
      <c r="T29" s="49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48"/>
      <c r="AY29" s="48"/>
      <c r="AZ29" s="22"/>
    </row>
    <row r="30" spans="1:52">
      <c r="A30" s="22"/>
      <c r="B30" s="30" t="s">
        <v>36</v>
      </c>
      <c r="C30" s="42">
        <f>B52/MAX(0.001,(B52+C52))</f>
        <v>0</v>
      </c>
      <c r="D30" s="22"/>
      <c r="E30" s="22"/>
      <c r="F30" s="22"/>
      <c r="G30" s="22"/>
      <c r="H30" s="22"/>
      <c r="I30" s="22"/>
      <c r="J30" s="22"/>
      <c r="K30" s="49"/>
      <c r="L30" s="49"/>
      <c r="M30" s="49"/>
      <c r="N30" s="49"/>
      <c r="O30" s="49"/>
      <c r="P30" s="49"/>
      <c r="Q30" s="49"/>
      <c r="R30" s="49"/>
      <c r="S30" s="57"/>
      <c r="T30" s="49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48"/>
      <c r="AY30" s="48"/>
      <c r="AZ30" s="22"/>
    </row>
    <row r="31" spans="1:52">
      <c r="A31" s="22"/>
      <c r="B31" s="30" t="s">
        <v>37</v>
      </c>
      <c r="C31" s="42">
        <f>1-C30</f>
        <v>1</v>
      </c>
      <c r="D31" s="22"/>
      <c r="E31" s="22"/>
      <c r="F31" s="22"/>
      <c r="G31" s="22"/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49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48"/>
      <c r="AY31" s="48"/>
      <c r="AZ31" s="22"/>
    </row>
    <row r="32" spans="1:52">
      <c r="A32" s="22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54"/>
      <c r="AY32" s="54"/>
      <c r="AZ32" s="22"/>
    </row>
    <row r="33" spans="1:52">
      <c r="A33" s="61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2"/>
      <c r="AW33" s="62"/>
      <c r="AX33" s="63"/>
      <c r="AY33" s="63"/>
      <c r="AZ33" s="22"/>
    </row>
    <row r="34" spans="1:52" ht="18">
      <c r="A34" s="64"/>
      <c r="B34" s="56" t="s">
        <v>38</v>
      </c>
      <c r="C34" s="18"/>
      <c r="D34" s="18"/>
      <c r="E34" s="18"/>
      <c r="F34" s="18"/>
      <c r="G34" s="18"/>
      <c r="H34" s="65"/>
      <c r="I34" s="18"/>
      <c r="J34" s="66"/>
      <c r="K34" s="66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54"/>
      <c r="AY34" s="54"/>
      <c r="AZ34" s="22"/>
    </row>
    <row r="35" spans="1:52" ht="34.5" thickBot="1">
      <c r="A35" s="22"/>
      <c r="B35" s="58"/>
      <c r="C35" s="50" t="str">
        <f>C129</f>
        <v>GAS</v>
      </c>
      <c r="D35" s="50" t="str">
        <f>D129</f>
        <v>COAL</v>
      </c>
      <c r="E35" s="50" t="str">
        <f>E129</f>
        <v>CRUDE OIL</v>
      </c>
      <c r="F35" s="50" t="str">
        <f>F129</f>
        <v>OIL PRODUCTS</v>
      </c>
      <c r="G35" s="50" t="s">
        <v>27</v>
      </c>
      <c r="H35" s="50" t="str">
        <f>H129</f>
        <v>RENEWABLES</v>
      </c>
      <c r="I35" s="50" t="str">
        <f>I129</f>
        <v>ELECTRICITY</v>
      </c>
      <c r="J35" s="50" t="str">
        <f>J129</f>
        <v>HEAT</v>
      </c>
      <c r="K35" s="62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54"/>
      <c r="AY35" s="54"/>
      <c r="AZ35" s="22"/>
    </row>
    <row r="36" spans="1:52">
      <c r="A36" s="22"/>
      <c r="B36" s="45" t="s">
        <v>39</v>
      </c>
      <c r="C36" s="52">
        <f>C37+C38</f>
        <v>1</v>
      </c>
      <c r="D36" s="52">
        <f>D37+D38</f>
        <v>1</v>
      </c>
      <c r="E36" s="52">
        <f>E37+E38</f>
        <v>1</v>
      </c>
      <c r="F36" s="52">
        <f t="shared" ref="F36:G38" si="0">E36</f>
        <v>1</v>
      </c>
      <c r="G36" s="52">
        <f t="shared" si="0"/>
        <v>1</v>
      </c>
      <c r="H36" s="52" t="s">
        <v>29</v>
      </c>
      <c r="I36" s="52">
        <f>I37+I38</f>
        <v>1</v>
      </c>
      <c r="J36" s="52">
        <f>J37+J38</f>
        <v>1</v>
      </c>
      <c r="K36" s="57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54"/>
      <c r="AY36" s="54"/>
      <c r="AZ36" s="22"/>
    </row>
    <row r="37" spans="1:52">
      <c r="A37" s="67"/>
      <c r="B37" s="45" t="s">
        <v>40</v>
      </c>
      <c r="C37" s="68">
        <v>0.5</v>
      </c>
      <c r="D37" s="68">
        <v>0.5</v>
      </c>
      <c r="E37" s="68">
        <v>0.5</v>
      </c>
      <c r="F37" s="52">
        <f>E37</f>
        <v>0.5</v>
      </c>
      <c r="G37" s="52">
        <f>F37</f>
        <v>0.5</v>
      </c>
      <c r="H37" s="52">
        <v>0</v>
      </c>
      <c r="I37" s="69">
        <v>0.5</v>
      </c>
      <c r="J37" s="69">
        <v>0.5</v>
      </c>
      <c r="K37" s="57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13"/>
      <c r="AY37" s="13"/>
      <c r="AZ37" s="22"/>
    </row>
    <row r="38" spans="1:52">
      <c r="A38" s="22"/>
      <c r="B38" s="71" t="s">
        <v>41</v>
      </c>
      <c r="C38" s="72">
        <v>0.5</v>
      </c>
      <c r="D38" s="72">
        <v>0.5</v>
      </c>
      <c r="E38" s="72">
        <v>0.5</v>
      </c>
      <c r="F38" s="73">
        <f t="shared" si="0"/>
        <v>0.5</v>
      </c>
      <c r="G38" s="73">
        <f t="shared" si="0"/>
        <v>0.5</v>
      </c>
      <c r="H38" s="73">
        <v>0</v>
      </c>
      <c r="I38" s="74">
        <v>0.5</v>
      </c>
      <c r="J38" s="74">
        <v>0.5</v>
      </c>
      <c r="K38" s="57"/>
      <c r="L38" s="57"/>
      <c r="M38" s="62"/>
      <c r="N38" s="75"/>
      <c r="O38" s="76" t="s">
        <v>42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48"/>
      <c r="AY38" s="48"/>
      <c r="AZ38" s="22"/>
    </row>
    <row r="39" spans="1:52">
      <c r="A39" s="22"/>
      <c r="B39" s="30" t="s">
        <v>43</v>
      </c>
      <c r="C39" s="42">
        <f t="shared" ref="C39:J39" si="1">SUM(C40:C45)</f>
        <v>0.83333333333333337</v>
      </c>
      <c r="D39" s="42">
        <f t="shared" si="1"/>
        <v>0.83333333333333337</v>
      </c>
      <c r="E39" s="42">
        <f t="shared" si="1"/>
        <v>0.83333333333333337</v>
      </c>
      <c r="F39" s="42">
        <f t="shared" si="1"/>
        <v>0.83333333333333337</v>
      </c>
      <c r="G39" s="42">
        <f t="shared" si="1"/>
        <v>0.83333333333333337</v>
      </c>
      <c r="H39" s="42">
        <f t="shared" si="1"/>
        <v>0.83333333333333337</v>
      </c>
      <c r="I39" s="42">
        <f t="shared" si="1"/>
        <v>0.83333333333333337</v>
      </c>
      <c r="J39" s="42">
        <f t="shared" si="1"/>
        <v>0.83333333333333337</v>
      </c>
      <c r="K39" s="57"/>
      <c r="L39" s="57"/>
      <c r="M39" s="57"/>
      <c r="N39" s="77" t="s">
        <v>44</v>
      </c>
      <c r="O39" s="78">
        <v>2.7967999999999997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54"/>
      <c r="AY39" s="54"/>
      <c r="AZ39" s="22"/>
    </row>
    <row r="40" spans="1:52">
      <c r="A40" s="14"/>
      <c r="B40" s="79" t="s">
        <v>45</v>
      </c>
      <c r="C40" s="80">
        <f t="shared" ref="C40:J40" si="2">$C$8*$F$14/1.2</f>
        <v>0</v>
      </c>
      <c r="D40" s="80">
        <f t="shared" si="2"/>
        <v>0</v>
      </c>
      <c r="E40" s="80">
        <f t="shared" si="2"/>
        <v>0</v>
      </c>
      <c r="F40" s="80">
        <f t="shared" si="2"/>
        <v>0</v>
      </c>
      <c r="G40" s="80">
        <f t="shared" si="2"/>
        <v>0</v>
      </c>
      <c r="H40" s="80">
        <f t="shared" si="2"/>
        <v>0</v>
      </c>
      <c r="I40" s="80">
        <f t="shared" si="2"/>
        <v>0</v>
      </c>
      <c r="J40" s="80">
        <f t="shared" si="2"/>
        <v>0</v>
      </c>
      <c r="K40" s="57"/>
      <c r="M40" s="57"/>
      <c r="N40" s="81" t="s">
        <v>46</v>
      </c>
      <c r="O40" s="82">
        <v>10.488</v>
      </c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54"/>
      <c r="AY40" s="54"/>
      <c r="AZ40" s="22"/>
    </row>
    <row r="41" spans="1:52">
      <c r="A41" s="14"/>
      <c r="B41" s="79" t="s">
        <v>47</v>
      </c>
      <c r="C41" s="80">
        <f t="shared" ref="C41:J41" si="3">$C$9*$F$14/1.2</f>
        <v>0.83333333333333337</v>
      </c>
      <c r="D41" s="80">
        <f t="shared" si="3"/>
        <v>0.83333333333333337</v>
      </c>
      <c r="E41" s="80">
        <f t="shared" si="3"/>
        <v>0.83333333333333337</v>
      </c>
      <c r="F41" s="80">
        <f t="shared" si="3"/>
        <v>0.83333333333333337</v>
      </c>
      <c r="G41" s="80">
        <f t="shared" si="3"/>
        <v>0.83333333333333337</v>
      </c>
      <c r="H41" s="80">
        <f t="shared" si="3"/>
        <v>0.83333333333333337</v>
      </c>
      <c r="I41" s="80">
        <f t="shared" si="3"/>
        <v>0.83333333333333337</v>
      </c>
      <c r="J41" s="80">
        <f t="shared" si="3"/>
        <v>0.83333333333333337</v>
      </c>
      <c r="K41" s="57"/>
      <c r="L41" s="14"/>
      <c r="M41" s="57"/>
      <c r="N41" s="81" t="s">
        <v>48</v>
      </c>
      <c r="O41" s="82">
        <v>0</v>
      </c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54"/>
      <c r="AY41" s="54"/>
      <c r="AZ41" s="22"/>
    </row>
    <row r="42" spans="1:52">
      <c r="A42" s="22"/>
      <c r="B42" s="79" t="s">
        <v>19</v>
      </c>
      <c r="C42" s="80">
        <f t="shared" ref="C42:J42" si="4">$C$16*3</f>
        <v>0</v>
      </c>
      <c r="D42" s="80">
        <f t="shared" si="4"/>
        <v>0</v>
      </c>
      <c r="E42" s="80">
        <f t="shared" si="4"/>
        <v>0</v>
      </c>
      <c r="F42" s="80">
        <f t="shared" si="4"/>
        <v>0</v>
      </c>
      <c r="G42" s="80">
        <f t="shared" si="4"/>
        <v>0</v>
      </c>
      <c r="H42" s="80">
        <f t="shared" si="4"/>
        <v>0</v>
      </c>
      <c r="I42" s="80">
        <f t="shared" si="4"/>
        <v>0</v>
      </c>
      <c r="J42" s="80">
        <f t="shared" si="4"/>
        <v>0</v>
      </c>
      <c r="K42" s="57"/>
      <c r="L42" s="57"/>
      <c r="M42" s="57"/>
      <c r="N42" s="83" t="s">
        <v>49</v>
      </c>
      <c r="O42" s="84">
        <v>7.2863999999999995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54"/>
      <c r="AY42" s="54"/>
      <c r="AZ42" s="22"/>
    </row>
    <row r="43" spans="1:52">
      <c r="A43" s="22"/>
      <c r="B43" s="79" t="s">
        <v>21</v>
      </c>
      <c r="C43" s="80">
        <f t="shared" ref="C43:J43" si="5">$C$17*2</f>
        <v>0</v>
      </c>
      <c r="D43" s="80">
        <f t="shared" si="5"/>
        <v>0</v>
      </c>
      <c r="E43" s="80">
        <f t="shared" si="5"/>
        <v>0</v>
      </c>
      <c r="F43" s="80">
        <f t="shared" si="5"/>
        <v>0</v>
      </c>
      <c r="G43" s="80">
        <f t="shared" si="5"/>
        <v>0</v>
      </c>
      <c r="H43" s="80">
        <f t="shared" si="5"/>
        <v>0</v>
      </c>
      <c r="I43" s="80">
        <f t="shared" si="5"/>
        <v>0</v>
      </c>
      <c r="J43" s="80">
        <f t="shared" si="5"/>
        <v>0</v>
      </c>
      <c r="K43" s="57"/>
      <c r="M43" s="57"/>
      <c r="N43" s="85" t="str">
        <f>IF(ISNA(MATCH(Region,$N$39:$N$42,0)),NA(),Region)</f>
        <v>FIM</v>
      </c>
      <c r="O43" s="86">
        <f ca="1">IF(ISNA(N43),0,OFFSET($O$38,RegIndex,0))</f>
        <v>0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54"/>
      <c r="AY43" s="54"/>
      <c r="AZ43" s="22"/>
    </row>
    <row r="44" spans="1:52">
      <c r="A44" s="22"/>
      <c r="B44" s="79" t="s">
        <v>17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57"/>
      <c r="L44" s="14"/>
      <c r="M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54"/>
      <c r="AY44" s="54"/>
      <c r="AZ44" s="22"/>
    </row>
    <row r="45" spans="1:52">
      <c r="A45" s="22"/>
      <c r="B45" s="87" t="s">
        <v>23</v>
      </c>
      <c r="C45" s="80">
        <f t="shared" ref="C45:J45" si="6">$C$18*5</f>
        <v>0</v>
      </c>
      <c r="D45" s="80">
        <f t="shared" si="6"/>
        <v>0</v>
      </c>
      <c r="E45" s="80">
        <f t="shared" si="6"/>
        <v>0</v>
      </c>
      <c r="F45" s="80">
        <f t="shared" si="6"/>
        <v>0</v>
      </c>
      <c r="G45" s="80">
        <f t="shared" si="6"/>
        <v>0</v>
      </c>
      <c r="H45" s="80">
        <f t="shared" si="6"/>
        <v>0</v>
      </c>
      <c r="I45" s="80">
        <f t="shared" si="6"/>
        <v>0</v>
      </c>
      <c r="J45" s="80">
        <f t="shared" si="6"/>
        <v>0</v>
      </c>
      <c r="K45" s="57"/>
      <c r="M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54"/>
      <c r="AY45" s="54"/>
      <c r="AZ45" s="22"/>
    </row>
    <row r="46" spans="1:52">
      <c r="A46" s="22"/>
      <c r="L46" s="14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54"/>
      <c r="AY46" s="54"/>
      <c r="AZ46" s="22"/>
    </row>
    <row r="47" spans="1:52">
      <c r="A47" s="22"/>
      <c r="L47" s="14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54"/>
      <c r="AY47" s="54"/>
      <c r="AZ47" s="22"/>
    </row>
    <row r="48" spans="1:52">
      <c r="A48" s="88"/>
      <c r="B48" s="89"/>
      <c r="C48" s="26"/>
      <c r="D48" s="26"/>
      <c r="E48" s="26"/>
      <c r="F48" s="26"/>
      <c r="G48" s="26"/>
      <c r="H48" s="26"/>
      <c r="I48" s="26"/>
      <c r="J48" s="26"/>
      <c r="K48" s="48"/>
      <c r="L48" s="90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88"/>
    </row>
    <row r="49" spans="1:52" ht="18">
      <c r="A49" s="25"/>
      <c r="B49" s="47" t="s">
        <v>50</v>
      </c>
      <c r="C49" s="91"/>
      <c r="D49" s="36"/>
      <c r="E49" s="25"/>
      <c r="F49" s="92"/>
      <c r="G49" s="92"/>
      <c r="H49" s="55"/>
      <c r="I49" s="55"/>
      <c r="J49" s="55"/>
      <c r="K49" s="55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22"/>
    </row>
    <row r="50" spans="1:52">
      <c r="A50" s="93"/>
      <c r="B50" s="94">
        <f>0.041868</f>
        <v>4.1868000000000002E-2</v>
      </c>
      <c r="C50" s="95">
        <f t="shared" ref="C50:AW50" si="7">$B$50</f>
        <v>4.1868000000000002E-2</v>
      </c>
      <c r="D50" s="95">
        <f t="shared" si="7"/>
        <v>4.1868000000000002E-2</v>
      </c>
      <c r="E50" s="95">
        <f t="shared" si="7"/>
        <v>4.1868000000000002E-2</v>
      </c>
      <c r="F50" s="95">
        <f t="shared" si="7"/>
        <v>4.1868000000000002E-2</v>
      </c>
      <c r="G50" s="95">
        <f t="shared" si="7"/>
        <v>4.1868000000000002E-2</v>
      </c>
      <c r="H50" s="95">
        <f t="shared" si="7"/>
        <v>4.1868000000000002E-2</v>
      </c>
      <c r="I50" s="95">
        <f t="shared" si="7"/>
        <v>4.1868000000000002E-2</v>
      </c>
      <c r="J50" s="95">
        <f t="shared" si="7"/>
        <v>4.1868000000000002E-2</v>
      </c>
      <c r="K50" s="95">
        <f t="shared" si="7"/>
        <v>4.1868000000000002E-2</v>
      </c>
      <c r="L50" s="95">
        <f t="shared" si="7"/>
        <v>4.1868000000000002E-2</v>
      </c>
      <c r="M50" s="95">
        <f t="shared" si="7"/>
        <v>4.1868000000000002E-2</v>
      </c>
      <c r="N50" s="95">
        <f t="shared" si="7"/>
        <v>4.1868000000000002E-2</v>
      </c>
      <c r="O50" s="95">
        <f t="shared" si="7"/>
        <v>4.1868000000000002E-2</v>
      </c>
      <c r="P50" s="95">
        <f t="shared" si="7"/>
        <v>4.1868000000000002E-2</v>
      </c>
      <c r="Q50" s="95">
        <f t="shared" si="7"/>
        <v>4.1868000000000002E-2</v>
      </c>
      <c r="R50" s="95">
        <f t="shared" si="7"/>
        <v>4.1868000000000002E-2</v>
      </c>
      <c r="S50" s="95">
        <f t="shared" si="7"/>
        <v>4.1868000000000002E-2</v>
      </c>
      <c r="T50" s="95">
        <f t="shared" si="7"/>
        <v>4.1868000000000002E-2</v>
      </c>
      <c r="U50" s="95">
        <f t="shared" si="7"/>
        <v>4.1868000000000002E-2</v>
      </c>
      <c r="V50" s="95">
        <f t="shared" si="7"/>
        <v>4.1868000000000002E-2</v>
      </c>
      <c r="W50" s="95">
        <f t="shared" si="7"/>
        <v>4.1868000000000002E-2</v>
      </c>
      <c r="X50" s="95">
        <f t="shared" si="7"/>
        <v>4.1868000000000002E-2</v>
      </c>
      <c r="Y50" s="95">
        <f t="shared" si="7"/>
        <v>4.1868000000000002E-2</v>
      </c>
      <c r="Z50" s="95">
        <f t="shared" si="7"/>
        <v>4.1868000000000002E-2</v>
      </c>
      <c r="AA50" s="95">
        <f t="shared" si="7"/>
        <v>4.1868000000000002E-2</v>
      </c>
      <c r="AB50" s="95">
        <f t="shared" si="7"/>
        <v>4.1868000000000002E-2</v>
      </c>
      <c r="AC50" s="95">
        <f t="shared" si="7"/>
        <v>4.1868000000000002E-2</v>
      </c>
      <c r="AD50" s="95">
        <f t="shared" si="7"/>
        <v>4.1868000000000002E-2</v>
      </c>
      <c r="AE50" s="95">
        <f t="shared" si="7"/>
        <v>4.1868000000000002E-2</v>
      </c>
      <c r="AF50" s="95">
        <f t="shared" si="7"/>
        <v>4.1868000000000002E-2</v>
      </c>
      <c r="AG50" s="95">
        <f t="shared" si="7"/>
        <v>4.1868000000000002E-2</v>
      </c>
      <c r="AH50" s="95">
        <f t="shared" si="7"/>
        <v>4.1868000000000002E-2</v>
      </c>
      <c r="AI50" s="95">
        <f t="shared" si="7"/>
        <v>4.1868000000000002E-2</v>
      </c>
      <c r="AJ50" s="95">
        <f t="shared" si="7"/>
        <v>4.1868000000000002E-2</v>
      </c>
      <c r="AK50" s="95">
        <f t="shared" si="7"/>
        <v>4.1868000000000002E-2</v>
      </c>
      <c r="AL50" s="95">
        <f t="shared" si="7"/>
        <v>4.1868000000000002E-2</v>
      </c>
      <c r="AM50" s="95">
        <f t="shared" si="7"/>
        <v>4.1868000000000002E-2</v>
      </c>
      <c r="AN50" s="95">
        <f t="shared" si="7"/>
        <v>4.1868000000000002E-2</v>
      </c>
      <c r="AO50" s="95">
        <f t="shared" si="7"/>
        <v>4.1868000000000002E-2</v>
      </c>
      <c r="AP50" s="95">
        <f t="shared" si="7"/>
        <v>4.1868000000000002E-2</v>
      </c>
      <c r="AQ50" s="95">
        <f t="shared" si="7"/>
        <v>4.1868000000000002E-2</v>
      </c>
      <c r="AR50" s="95">
        <f t="shared" si="7"/>
        <v>4.1868000000000002E-2</v>
      </c>
      <c r="AS50" s="95">
        <f t="shared" si="7"/>
        <v>4.1868000000000002E-2</v>
      </c>
      <c r="AT50" s="95">
        <f t="shared" si="7"/>
        <v>4.1868000000000002E-2</v>
      </c>
      <c r="AU50" s="95">
        <f t="shared" si="7"/>
        <v>4.1868000000000002E-2</v>
      </c>
      <c r="AV50" s="95">
        <f t="shared" si="7"/>
        <v>4.1868000000000002E-2</v>
      </c>
      <c r="AW50" s="95">
        <f t="shared" si="7"/>
        <v>4.1868000000000002E-2</v>
      </c>
      <c r="AX50" s="55"/>
      <c r="AY50" s="55"/>
      <c r="AZ50" s="22"/>
    </row>
    <row r="51" spans="1:52" ht="45.75" thickBot="1">
      <c r="A51" s="96" t="s">
        <v>51</v>
      </c>
      <c r="B51" s="97" t="s">
        <v>52</v>
      </c>
      <c r="C51" s="50" t="s">
        <v>53</v>
      </c>
      <c r="D51" s="98" t="s">
        <v>54</v>
      </c>
      <c r="E51" s="98" t="s">
        <v>55</v>
      </c>
      <c r="F51" s="98" t="s">
        <v>56</v>
      </c>
      <c r="G51" s="98" t="s">
        <v>57</v>
      </c>
      <c r="H51" s="98" t="s">
        <v>58</v>
      </c>
      <c r="I51" s="98" t="s">
        <v>59</v>
      </c>
      <c r="J51" s="98" t="s">
        <v>60</v>
      </c>
      <c r="K51" s="98" t="s">
        <v>61</v>
      </c>
      <c r="L51" s="98" t="s">
        <v>62</v>
      </c>
      <c r="M51" s="99" t="s">
        <v>63</v>
      </c>
      <c r="N51" s="50" t="s">
        <v>64</v>
      </c>
      <c r="O51" s="50" t="s">
        <v>65</v>
      </c>
      <c r="P51" s="98" t="s">
        <v>66</v>
      </c>
      <c r="Q51" s="98" t="s">
        <v>67</v>
      </c>
      <c r="R51" s="98" t="s">
        <v>68</v>
      </c>
      <c r="S51" s="98" t="s">
        <v>17</v>
      </c>
      <c r="T51" s="98" t="s">
        <v>69</v>
      </c>
      <c r="U51" s="98" t="s">
        <v>70</v>
      </c>
      <c r="V51" s="98" t="s">
        <v>71</v>
      </c>
      <c r="W51" s="98" t="s">
        <v>72</v>
      </c>
      <c r="X51" s="98" t="s">
        <v>73</v>
      </c>
      <c r="Y51" s="98" t="s">
        <v>74</v>
      </c>
      <c r="Z51" s="98" t="s">
        <v>75</v>
      </c>
      <c r="AA51" s="98" t="s">
        <v>76</v>
      </c>
      <c r="AB51" s="98" t="s">
        <v>77</v>
      </c>
      <c r="AC51" s="98" t="s">
        <v>78</v>
      </c>
      <c r="AD51" s="98" t="s">
        <v>79</v>
      </c>
      <c r="AE51" s="98" t="s">
        <v>80</v>
      </c>
      <c r="AF51" s="98" t="s">
        <v>81</v>
      </c>
      <c r="AG51" s="98" t="s">
        <v>82</v>
      </c>
      <c r="AH51" s="98" t="s">
        <v>83</v>
      </c>
      <c r="AI51" s="98" t="s">
        <v>84</v>
      </c>
      <c r="AJ51" s="98" t="s">
        <v>85</v>
      </c>
      <c r="AK51" s="98" t="s">
        <v>86</v>
      </c>
      <c r="AL51" s="98" t="s">
        <v>87</v>
      </c>
      <c r="AM51" s="98" t="s">
        <v>88</v>
      </c>
      <c r="AN51" s="98" t="s">
        <v>89</v>
      </c>
      <c r="AO51" s="98" t="s">
        <v>90</v>
      </c>
      <c r="AP51" s="98" t="s">
        <v>91</v>
      </c>
      <c r="AQ51" s="50" t="s">
        <v>92</v>
      </c>
      <c r="AR51" s="98" t="s">
        <v>93</v>
      </c>
      <c r="AS51" s="98" t="s">
        <v>94</v>
      </c>
      <c r="AT51" s="98" t="s">
        <v>95</v>
      </c>
      <c r="AU51" s="98" t="s">
        <v>96</v>
      </c>
      <c r="AV51" s="98" t="s">
        <v>97</v>
      </c>
      <c r="AW51" s="98" t="s">
        <v>98</v>
      </c>
      <c r="AX51" s="55"/>
      <c r="AY51" s="100" t="s">
        <v>99</v>
      </c>
      <c r="AZ51" s="100" t="s">
        <v>100</v>
      </c>
    </row>
    <row r="52" spans="1:52">
      <c r="A52" s="79" t="s">
        <v>101</v>
      </c>
      <c r="B52" s="101">
        <v>0</v>
      </c>
      <c r="C52" s="102">
        <v>75.619971936000013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322.61098510800002</v>
      </c>
      <c r="L52" s="102">
        <v>1.7376476040000002</v>
      </c>
      <c r="M52" s="102">
        <v>10.421991900000002</v>
      </c>
      <c r="N52" s="102">
        <v>1.6916765400000002</v>
      </c>
      <c r="O52" s="102">
        <v>10.488017736000002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1.6830936000000003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248.77203602400002</v>
      </c>
      <c r="AO52" s="102">
        <v>46.527573455999999</v>
      </c>
      <c r="AP52" s="102">
        <v>0</v>
      </c>
      <c r="AQ52" s="102">
        <v>5.6982348000000002E-2</v>
      </c>
      <c r="AR52" s="102">
        <v>0</v>
      </c>
      <c r="AS52" s="102">
        <v>1.0585905120000001</v>
      </c>
      <c r="AT52" s="102">
        <v>0</v>
      </c>
      <c r="AU52" s="102">
        <v>0</v>
      </c>
      <c r="AV52" s="102">
        <v>4.1262588720000002</v>
      </c>
      <c r="AW52" s="102">
        <v>724.79482563600004</v>
      </c>
      <c r="AX52" s="54"/>
      <c r="AY52" s="26"/>
      <c r="AZ52" s="14"/>
    </row>
    <row r="53" spans="1:52">
      <c r="A53" s="79" t="s">
        <v>102</v>
      </c>
      <c r="B53" s="101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54"/>
      <c r="AY53" s="22"/>
      <c r="AZ53" s="22"/>
    </row>
    <row r="54" spans="1:52">
      <c r="A54" s="103" t="s">
        <v>103</v>
      </c>
      <c r="B54" s="101">
        <v>154.15621754400001</v>
      </c>
      <c r="C54" s="102">
        <v>7.1384940000000008E-2</v>
      </c>
      <c r="D54" s="102">
        <v>12.921302160000002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2.3575452120000002</v>
      </c>
      <c r="L54" s="102">
        <v>0</v>
      </c>
      <c r="M54" s="102">
        <v>0</v>
      </c>
      <c r="N54" s="102">
        <v>0</v>
      </c>
      <c r="O54" s="102">
        <v>5.0029329240000004</v>
      </c>
      <c r="P54" s="102">
        <v>0</v>
      </c>
      <c r="Q54" s="102">
        <v>160.62218586</v>
      </c>
      <c r="R54" s="102">
        <v>456.54031130400006</v>
      </c>
      <c r="S54" s="102">
        <v>19.985899140000001</v>
      </c>
      <c r="T54" s="102">
        <v>0</v>
      </c>
      <c r="U54" s="102">
        <v>0.22608720000000002</v>
      </c>
      <c r="V54" s="102">
        <v>0</v>
      </c>
      <c r="W54" s="102">
        <v>0</v>
      </c>
      <c r="X54" s="102">
        <v>0</v>
      </c>
      <c r="Y54" s="102">
        <v>11.776003020000001</v>
      </c>
      <c r="Z54" s="102">
        <v>0.74801368800000001</v>
      </c>
      <c r="AA54" s="102">
        <v>0.39598754400000002</v>
      </c>
      <c r="AB54" s="102">
        <v>0</v>
      </c>
      <c r="AC54" s="102">
        <v>4.8159923040000008</v>
      </c>
      <c r="AD54" s="102">
        <v>28.466011332000001</v>
      </c>
      <c r="AE54" s="102">
        <v>77.915385036000004</v>
      </c>
      <c r="AF54" s="102">
        <v>28.919986055999999</v>
      </c>
      <c r="AG54" s="102">
        <v>19.272007872</v>
      </c>
      <c r="AH54" s="102">
        <v>8.7211044000000015E-2</v>
      </c>
      <c r="AI54" s="102">
        <v>6.5100134520000008</v>
      </c>
      <c r="AJ54" s="102">
        <v>4.602004956</v>
      </c>
      <c r="AK54" s="102">
        <v>0.11999368800000002</v>
      </c>
      <c r="AL54" s="102">
        <v>3.23200026</v>
      </c>
      <c r="AM54" s="102">
        <v>15.759994428000001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02">
        <v>0</v>
      </c>
      <c r="AU54" s="102">
        <v>56.598585912000004</v>
      </c>
      <c r="AV54" s="102">
        <v>0</v>
      </c>
      <c r="AW54" s="102">
        <v>1071.103056876</v>
      </c>
      <c r="AX54" s="54"/>
      <c r="AY54" s="26">
        <f>SUM(R54:AM54)</f>
        <v>679.37290232400005</v>
      </c>
      <c r="AZ54" s="14"/>
    </row>
    <row r="55" spans="1:52">
      <c r="A55" s="103" t="s">
        <v>104</v>
      </c>
      <c r="B55" s="101">
        <v>0</v>
      </c>
      <c r="C55" s="102">
        <v>-0.17324978400000002</v>
      </c>
      <c r="D55" s="102">
        <v>-0.146496132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-3.3713369640000002</v>
      </c>
      <c r="L55" s="102">
        <v>0</v>
      </c>
      <c r="M55" s="102">
        <v>0</v>
      </c>
      <c r="N55" s="102">
        <v>0</v>
      </c>
      <c r="O55" s="102">
        <v>-6.292802268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-0.22608720000000002</v>
      </c>
      <c r="V55" s="102">
        <v>0</v>
      </c>
      <c r="W55" s="102">
        <v>0</v>
      </c>
      <c r="X55" s="102">
        <v>0</v>
      </c>
      <c r="Y55" s="102">
        <v>-0.22998092400000003</v>
      </c>
      <c r="Z55" s="102">
        <v>-102.563997732</v>
      </c>
      <c r="AA55" s="102">
        <v>-0.26401960800000002</v>
      </c>
      <c r="AB55" s="102">
        <v>0</v>
      </c>
      <c r="AC55" s="102">
        <v>0</v>
      </c>
      <c r="AD55" s="102">
        <v>-3.6549926640000003</v>
      </c>
      <c r="AE55" s="102">
        <v>-124.05119961600001</v>
      </c>
      <c r="AF55" s="102">
        <v>-28.159998120000004</v>
      </c>
      <c r="AG55" s="102">
        <v>0</v>
      </c>
      <c r="AH55" s="102">
        <v>-6.9324197040000008</v>
      </c>
      <c r="AI55" s="102">
        <v>-16.674014736</v>
      </c>
      <c r="AJ55" s="102">
        <v>-3.0809823839999999</v>
      </c>
      <c r="AK55" s="102">
        <v>0</v>
      </c>
      <c r="AL55" s="102">
        <v>0</v>
      </c>
      <c r="AM55" s="102">
        <v>-1.5600016800000001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-18.788181264000002</v>
      </c>
      <c r="AV55" s="102">
        <v>0</v>
      </c>
      <c r="AW55" s="102">
        <v>-316.16976078000005</v>
      </c>
      <c r="AX55" s="54"/>
      <c r="AY55" s="14"/>
      <c r="AZ55" s="26">
        <f>SUM(R55:AM55)</f>
        <v>-287.39769436800003</v>
      </c>
    </row>
    <row r="56" spans="1:52">
      <c r="A56" s="79" t="s">
        <v>105</v>
      </c>
      <c r="B56" s="101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-2.6837806680000003</v>
      </c>
      <c r="AF56" s="102">
        <v>-6.0799872239999999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-8.7637678920000006</v>
      </c>
      <c r="AX56" s="54"/>
      <c r="AY56" s="54"/>
      <c r="AZ56" s="22"/>
    </row>
    <row r="57" spans="1:52">
      <c r="A57" s="87" t="s">
        <v>106</v>
      </c>
      <c r="B57" s="104">
        <v>26.145644904000001</v>
      </c>
      <c r="C57" s="105">
        <v>19.503663516</v>
      </c>
      <c r="D57" s="105">
        <v>0.20511133200000001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-5.0867945280000004</v>
      </c>
      <c r="S57" s="105">
        <v>0</v>
      </c>
      <c r="T57" s="105">
        <v>-0.50995224000000006</v>
      </c>
      <c r="U57" s="105">
        <v>0</v>
      </c>
      <c r="V57" s="105">
        <v>0</v>
      </c>
      <c r="W57" s="105">
        <v>0</v>
      </c>
      <c r="X57" s="105">
        <v>0</v>
      </c>
      <c r="Y57" s="105">
        <v>0.64401357599999998</v>
      </c>
      <c r="Z57" s="105">
        <v>9.1960131240000003</v>
      </c>
      <c r="AA57" s="105">
        <v>4.4003267999999998E-2</v>
      </c>
      <c r="AB57" s="105">
        <v>0</v>
      </c>
      <c r="AC57" s="105">
        <v>1.16099964</v>
      </c>
      <c r="AD57" s="105">
        <v>0</v>
      </c>
      <c r="AE57" s="105">
        <v>23.046617412</v>
      </c>
      <c r="AF57" s="105">
        <v>1.0000171800000002</v>
      </c>
      <c r="AG57" s="105">
        <v>0.22001634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75.569353524000007</v>
      </c>
      <c r="AX57" s="54"/>
      <c r="AY57" s="54"/>
      <c r="AZ57" s="22"/>
    </row>
    <row r="58" spans="1:52">
      <c r="A58" s="106" t="s">
        <v>107</v>
      </c>
      <c r="B58" s="104">
        <v>180.30186244800001</v>
      </c>
      <c r="C58" s="105">
        <v>95.021812475999994</v>
      </c>
      <c r="D58" s="105">
        <v>12.97991736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321.59719335599999</v>
      </c>
      <c r="L58" s="105">
        <v>1.7376476040000002</v>
      </c>
      <c r="M58" s="105">
        <v>10.421991900000002</v>
      </c>
      <c r="N58" s="105">
        <v>1.6916765400000002</v>
      </c>
      <c r="O58" s="105">
        <v>9.1981483920000002</v>
      </c>
      <c r="P58" s="105">
        <v>0</v>
      </c>
      <c r="Q58" s="105">
        <v>160.62218586</v>
      </c>
      <c r="R58" s="105">
        <v>451.45351677600001</v>
      </c>
      <c r="S58" s="105">
        <v>19.985899140000001</v>
      </c>
      <c r="T58" s="105">
        <v>-0.50995224000000006</v>
      </c>
      <c r="U58" s="105">
        <v>1.6830936000000003</v>
      </c>
      <c r="V58" s="105">
        <v>0</v>
      </c>
      <c r="W58" s="105">
        <v>0</v>
      </c>
      <c r="X58" s="105">
        <v>0</v>
      </c>
      <c r="Y58" s="105">
        <v>12.189993804000002</v>
      </c>
      <c r="Z58" s="105">
        <v>-92.620012787999997</v>
      </c>
      <c r="AA58" s="105">
        <v>0.17601307199999999</v>
      </c>
      <c r="AB58" s="105">
        <v>0</v>
      </c>
      <c r="AC58" s="105">
        <v>-16.468987140000003</v>
      </c>
      <c r="AD58" s="105">
        <v>24.811018668000003</v>
      </c>
      <c r="AE58" s="105">
        <v>-25.773019703999999</v>
      </c>
      <c r="AF58" s="105">
        <v>-4.3199821080000005</v>
      </c>
      <c r="AG58" s="105">
        <v>19.491982344</v>
      </c>
      <c r="AH58" s="105">
        <v>-6.8452086600000008</v>
      </c>
      <c r="AI58" s="105">
        <v>-10.164001284000001</v>
      </c>
      <c r="AJ58" s="105">
        <v>1.5209807040000003</v>
      </c>
      <c r="AK58" s="105">
        <v>0.11999368800000002</v>
      </c>
      <c r="AL58" s="105">
        <v>3.23200026</v>
      </c>
      <c r="AM58" s="105">
        <v>14.199992748000001</v>
      </c>
      <c r="AN58" s="105">
        <v>248.77203602400002</v>
      </c>
      <c r="AO58" s="105">
        <v>46.527573455999999</v>
      </c>
      <c r="AP58" s="105">
        <v>0</v>
      </c>
      <c r="AQ58" s="105">
        <v>5.6982348000000002E-2</v>
      </c>
      <c r="AR58" s="105">
        <v>0</v>
      </c>
      <c r="AS58" s="105">
        <v>1.0585905120000001</v>
      </c>
      <c r="AT58" s="105">
        <v>0</v>
      </c>
      <c r="AU58" s="105">
        <v>37.810404648000002</v>
      </c>
      <c r="AV58" s="105">
        <v>4.1262588720000002</v>
      </c>
      <c r="AW58" s="105">
        <v>1524.0876026760002</v>
      </c>
      <c r="AX58" s="54"/>
      <c r="AY58" s="54"/>
      <c r="AZ58" s="22"/>
    </row>
    <row r="59" spans="1:52">
      <c r="A59" s="106" t="s">
        <v>108</v>
      </c>
      <c r="B59" s="104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110.02215391199999</v>
      </c>
      <c r="U59" s="105">
        <v>-6.3556042679999996</v>
      </c>
      <c r="V59" s="105">
        <v>0</v>
      </c>
      <c r="W59" s="105">
        <v>11.929491108000001</v>
      </c>
      <c r="X59" s="105">
        <v>0</v>
      </c>
      <c r="Y59" s="105">
        <v>-3.7260007920000002</v>
      </c>
      <c r="Z59" s="105">
        <v>-0.17601307199999999</v>
      </c>
      <c r="AA59" s="105">
        <v>0</v>
      </c>
      <c r="AB59" s="105">
        <v>0</v>
      </c>
      <c r="AC59" s="105">
        <v>0</v>
      </c>
      <c r="AD59" s="105">
        <v>-23.133995928000004</v>
      </c>
      <c r="AE59" s="105">
        <v>-62.494186464000002</v>
      </c>
      <c r="AF59" s="105">
        <v>-14.439980124</v>
      </c>
      <c r="AG59" s="105">
        <v>-6.0719904360000001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1.200020616</v>
      </c>
      <c r="AN59" s="105">
        <v>0</v>
      </c>
      <c r="AO59" s="105">
        <v>0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6.7538945520000002</v>
      </c>
      <c r="AX59" s="54"/>
      <c r="AY59" s="54"/>
      <c r="AZ59" s="22"/>
    </row>
    <row r="60" spans="1:52">
      <c r="A60" s="106" t="s">
        <v>109</v>
      </c>
      <c r="B60" s="104">
        <v>-0.48047716800000007</v>
      </c>
      <c r="C60" s="105">
        <v>-0.68784937199999996</v>
      </c>
      <c r="D60" s="105">
        <v>5.4009720000000004E-3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-1.9503789120000004</v>
      </c>
      <c r="P60" s="105">
        <v>0</v>
      </c>
      <c r="Q60" s="105">
        <v>-0.10797757200000001</v>
      </c>
      <c r="R60" s="105">
        <v>-5.8922092440000009</v>
      </c>
      <c r="S60" s="105">
        <v>11.213799516</v>
      </c>
      <c r="T60" s="105">
        <v>0.50995224000000006</v>
      </c>
      <c r="U60" s="105">
        <v>6.3556042679999996</v>
      </c>
      <c r="V60" s="105">
        <v>0</v>
      </c>
      <c r="W60" s="105">
        <v>-0.49500536400000006</v>
      </c>
      <c r="X60" s="105">
        <v>0</v>
      </c>
      <c r="Y60" s="105">
        <v>-0.92000743200000001</v>
      </c>
      <c r="Z60" s="105">
        <v>-9.2840196600000002</v>
      </c>
      <c r="AA60" s="105">
        <v>-8.8006535999999996E-2</v>
      </c>
      <c r="AB60" s="105">
        <v>0</v>
      </c>
      <c r="AC60" s="105">
        <v>-3.9559817160000001</v>
      </c>
      <c r="AD60" s="105">
        <v>-1.6769808720000001</v>
      </c>
      <c r="AE60" s="105">
        <v>-5.3249815800000002</v>
      </c>
      <c r="AF60" s="105">
        <v>21.640020084000003</v>
      </c>
      <c r="AG60" s="105">
        <v>-5.9399806320000001</v>
      </c>
      <c r="AH60" s="105">
        <v>1.9620182160000001</v>
      </c>
      <c r="AI60" s="105">
        <v>2.6039802600000002</v>
      </c>
      <c r="AJ60" s="105">
        <v>-0.50697961200000008</v>
      </c>
      <c r="AK60" s="105">
        <v>3.9983940000000003E-2</v>
      </c>
      <c r="AL60" s="105">
        <v>-2.2399798679999998</v>
      </c>
      <c r="AM60" s="105">
        <v>-11.560006008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-6.7760427239999999</v>
      </c>
      <c r="AX60" s="54"/>
      <c r="AY60" s="54"/>
      <c r="AZ60" s="22"/>
    </row>
    <row r="61" spans="1:52">
      <c r="A61" s="30" t="s">
        <v>110</v>
      </c>
      <c r="B61" s="102">
        <v>-175.55470113600001</v>
      </c>
      <c r="C61" s="102">
        <v>-83.328791831999993</v>
      </c>
      <c r="D61" s="102">
        <v>-4.4589838680000007</v>
      </c>
      <c r="E61" s="102">
        <v>0</v>
      </c>
      <c r="F61" s="102">
        <v>0</v>
      </c>
      <c r="G61" s="102">
        <v>5.5739287080000004</v>
      </c>
      <c r="H61" s="102">
        <v>7.6545170999999996</v>
      </c>
      <c r="I61" s="102">
        <v>0</v>
      </c>
      <c r="J61" s="102">
        <v>0</v>
      </c>
      <c r="K61" s="102">
        <v>-130.45691988000002</v>
      </c>
      <c r="L61" s="102">
        <v>-1.3677438239999999</v>
      </c>
      <c r="M61" s="102">
        <v>-7.9014964320000001</v>
      </c>
      <c r="N61" s="102">
        <v>-1.027817532</v>
      </c>
      <c r="O61" s="102">
        <v>0</v>
      </c>
      <c r="P61" s="102">
        <v>0</v>
      </c>
      <c r="Q61" s="102">
        <v>-104.08862095200001</v>
      </c>
      <c r="R61" s="102">
        <v>-445.56130753200006</v>
      </c>
      <c r="S61" s="102">
        <v>-31.199740524000003</v>
      </c>
      <c r="T61" s="102">
        <v>-110.02215391199999</v>
      </c>
      <c r="U61" s="102">
        <v>-1.6830936000000003</v>
      </c>
      <c r="V61" s="102">
        <v>0</v>
      </c>
      <c r="W61" s="102">
        <v>19.602011447999999</v>
      </c>
      <c r="X61" s="102">
        <v>0</v>
      </c>
      <c r="Y61" s="102">
        <v>9.3379875119999998</v>
      </c>
      <c r="Z61" s="102">
        <v>171.20398791600002</v>
      </c>
      <c r="AA61" s="102">
        <v>0</v>
      </c>
      <c r="AB61" s="102">
        <v>0</v>
      </c>
      <c r="AC61" s="102">
        <v>26.230008924000003</v>
      </c>
      <c r="AD61" s="102">
        <v>0</v>
      </c>
      <c r="AE61" s="102">
        <v>270.68038812000003</v>
      </c>
      <c r="AF61" s="102">
        <v>23.000018328000003</v>
      </c>
      <c r="AG61" s="102">
        <v>6.5999877840000005</v>
      </c>
      <c r="AH61" s="102">
        <v>7.629982452000001</v>
      </c>
      <c r="AI61" s="102">
        <v>10.710001872000001</v>
      </c>
      <c r="AJ61" s="102">
        <v>9.9060106680000004</v>
      </c>
      <c r="AK61" s="102">
        <v>0</v>
      </c>
      <c r="AL61" s="102">
        <v>4.0320140040000005</v>
      </c>
      <c r="AM61" s="102">
        <v>4.8399826680000002</v>
      </c>
      <c r="AN61" s="102">
        <v>-248.77203602400002</v>
      </c>
      <c r="AO61" s="102">
        <v>-46.527573455999999</v>
      </c>
      <c r="AP61" s="102">
        <v>0</v>
      </c>
      <c r="AQ61" s="102">
        <v>-1.800324E-2</v>
      </c>
      <c r="AR61" s="102">
        <v>0</v>
      </c>
      <c r="AS61" s="102">
        <v>-1.0585905120000001</v>
      </c>
      <c r="AT61" s="102">
        <v>0</v>
      </c>
      <c r="AU61" s="102">
        <v>289.84856335199999</v>
      </c>
      <c r="AV61" s="102">
        <v>204.83261672400002</v>
      </c>
      <c r="AW61" s="102">
        <v>-321.27556337999999</v>
      </c>
      <c r="AX61" s="54"/>
      <c r="AY61" s="54"/>
      <c r="AZ61" s="22"/>
    </row>
    <row r="62" spans="1:52">
      <c r="A62" s="79" t="s">
        <v>111</v>
      </c>
      <c r="B62" s="101">
        <v>-85.376597580000009</v>
      </c>
      <c r="C62" s="102">
        <v>-23.449806252000005</v>
      </c>
      <c r="D62" s="102">
        <v>0</v>
      </c>
      <c r="E62" s="102">
        <v>0</v>
      </c>
      <c r="F62" s="102">
        <v>0</v>
      </c>
      <c r="G62" s="102">
        <v>0</v>
      </c>
      <c r="H62" s="102">
        <v>-1.1011284000000001E-2</v>
      </c>
      <c r="I62" s="102">
        <v>0</v>
      </c>
      <c r="J62" s="102">
        <v>0</v>
      </c>
      <c r="K62" s="102">
        <v>-12.616586856</v>
      </c>
      <c r="L62" s="102">
        <v>-2.009664E-3</v>
      </c>
      <c r="M62" s="102">
        <v>-1.397721312</v>
      </c>
      <c r="N62" s="102">
        <v>-4.019328E-3</v>
      </c>
      <c r="O62" s="102">
        <v>0</v>
      </c>
      <c r="P62" s="102">
        <v>0</v>
      </c>
      <c r="Q62" s="102">
        <v>-1.8795801240000001</v>
      </c>
      <c r="R62" s="102">
        <v>0</v>
      </c>
      <c r="S62" s="102">
        <v>0</v>
      </c>
      <c r="T62" s="102">
        <v>0</v>
      </c>
      <c r="U62" s="102">
        <v>0</v>
      </c>
      <c r="V62" s="102">
        <v>0</v>
      </c>
      <c r="W62" s="102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2">
        <v>-8.5201380000000007E-2</v>
      </c>
      <c r="AF62" s="102">
        <v>-0.48001662</v>
      </c>
      <c r="AG62" s="102">
        <v>0</v>
      </c>
      <c r="AH62" s="102">
        <v>0</v>
      </c>
      <c r="AI62" s="102">
        <v>0</v>
      </c>
      <c r="AJ62" s="102">
        <v>0</v>
      </c>
      <c r="AK62" s="102">
        <v>0</v>
      </c>
      <c r="AL62" s="102">
        <v>0</v>
      </c>
      <c r="AM62" s="102">
        <v>0</v>
      </c>
      <c r="AN62" s="102">
        <v>-248.77203602400002</v>
      </c>
      <c r="AO62" s="102">
        <v>-46.527573455999999</v>
      </c>
      <c r="AP62" s="102">
        <v>0</v>
      </c>
      <c r="AQ62" s="102">
        <v>-1.800324E-2</v>
      </c>
      <c r="AR62" s="102">
        <v>0</v>
      </c>
      <c r="AS62" s="102">
        <v>-1.0585905120000001</v>
      </c>
      <c r="AT62" s="102">
        <v>0</v>
      </c>
      <c r="AU62" s="102">
        <v>181.65989289600003</v>
      </c>
      <c r="AV62" s="102">
        <v>0</v>
      </c>
      <c r="AW62" s="102">
        <v>-240.01886073600002</v>
      </c>
      <c r="AX62" s="54"/>
      <c r="AY62" s="54"/>
      <c r="AZ62" s="22"/>
    </row>
    <row r="63" spans="1:52">
      <c r="A63" s="79" t="s">
        <v>112</v>
      </c>
      <c r="B63" s="101">
        <v>-2.6000028000000001E-2</v>
      </c>
      <c r="C63" s="102">
        <v>-7.9967880000000012E-3</v>
      </c>
      <c r="D63" s="102">
        <v>0</v>
      </c>
      <c r="E63" s="102">
        <v>0</v>
      </c>
      <c r="F63" s="102">
        <v>0</v>
      </c>
      <c r="G63" s="102">
        <v>-0.46875412799999999</v>
      </c>
      <c r="H63" s="102">
        <v>-5.5129270320000003</v>
      </c>
      <c r="I63" s="102">
        <v>0</v>
      </c>
      <c r="J63" s="102">
        <v>0</v>
      </c>
      <c r="K63" s="102">
        <v>-2.66447952</v>
      </c>
      <c r="L63" s="102">
        <v>-9.4998492000000018E-2</v>
      </c>
      <c r="M63" s="102">
        <v>-0.100985616</v>
      </c>
      <c r="N63" s="102">
        <v>-0.45590065200000002</v>
      </c>
      <c r="O63" s="102">
        <v>0</v>
      </c>
      <c r="P63" s="102">
        <v>0</v>
      </c>
      <c r="Q63" s="102">
        <v>-0.12325939200000001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-8.5201380000000007E-2</v>
      </c>
      <c r="AF63" s="102">
        <v>-0.63999424800000004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3.3305994000000001</v>
      </c>
      <c r="AV63" s="102">
        <v>0</v>
      </c>
      <c r="AW63" s="102">
        <v>-7.0018787160000002</v>
      </c>
      <c r="AX63" s="54"/>
      <c r="AY63" s="54"/>
      <c r="AZ63" s="22"/>
    </row>
    <row r="64" spans="1:52">
      <c r="A64" s="79" t="s">
        <v>113</v>
      </c>
      <c r="B64" s="101">
        <v>-51.103620251999999</v>
      </c>
      <c r="C64" s="102">
        <v>-48.893408532000002</v>
      </c>
      <c r="D64" s="102">
        <v>-6.4016171999999996E-2</v>
      </c>
      <c r="E64" s="102">
        <v>0</v>
      </c>
      <c r="F64" s="102">
        <v>0</v>
      </c>
      <c r="G64" s="102">
        <v>0</v>
      </c>
      <c r="H64" s="102">
        <v>-0.272937492</v>
      </c>
      <c r="I64" s="102">
        <v>0</v>
      </c>
      <c r="J64" s="102">
        <v>0</v>
      </c>
      <c r="K64" s="102">
        <v>-58.655728224000008</v>
      </c>
      <c r="L64" s="102">
        <v>-0.25493425200000003</v>
      </c>
      <c r="M64" s="102">
        <v>-4.3281463680000005</v>
      </c>
      <c r="N64" s="102">
        <v>-0.198956736</v>
      </c>
      <c r="O64" s="102">
        <v>0</v>
      </c>
      <c r="P64" s="102">
        <v>0</v>
      </c>
      <c r="Q64" s="102">
        <v>-72.951180012000009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0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2">
        <v>-4.2579755999999996E-2</v>
      </c>
      <c r="AF64" s="102">
        <v>-2.0800022400000002</v>
      </c>
      <c r="AG64" s="102">
        <v>0</v>
      </c>
      <c r="AH64" s="102">
        <v>0</v>
      </c>
      <c r="AI64" s="102">
        <v>0</v>
      </c>
      <c r="AJ64" s="102">
        <v>0</v>
      </c>
      <c r="AK64" s="102">
        <v>0</v>
      </c>
      <c r="AL64" s="102">
        <v>0</v>
      </c>
      <c r="AM64" s="102">
        <v>0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02">
        <v>0</v>
      </c>
      <c r="AU64" s="102">
        <v>71.861732783999997</v>
      </c>
      <c r="AV64" s="102">
        <v>135.07001985600002</v>
      </c>
      <c r="AW64" s="102">
        <v>-31.913757396000001</v>
      </c>
      <c r="AX64" s="54"/>
      <c r="AY64" s="54"/>
      <c r="AZ64" s="22"/>
    </row>
    <row r="65" spans="1:52">
      <c r="A65" s="79" t="s">
        <v>114</v>
      </c>
      <c r="B65" s="101">
        <v>-1.1880045000000001</v>
      </c>
      <c r="C65" s="102">
        <v>-3.3929408520000002</v>
      </c>
      <c r="D65" s="102">
        <v>0</v>
      </c>
      <c r="E65" s="102">
        <v>0</v>
      </c>
      <c r="F65" s="102">
        <v>0</v>
      </c>
      <c r="G65" s="102">
        <v>-3.2405832000000002E-2</v>
      </c>
      <c r="H65" s="102">
        <v>-0.30396168000000001</v>
      </c>
      <c r="I65" s="102">
        <v>0</v>
      </c>
      <c r="J65" s="102">
        <v>0</v>
      </c>
      <c r="K65" s="102">
        <v>-32.997678047999997</v>
      </c>
      <c r="L65" s="102">
        <v>-0.34495045200000007</v>
      </c>
      <c r="M65" s="102">
        <v>-0.85184632800000004</v>
      </c>
      <c r="N65" s="102">
        <v>-2.3990364E-2</v>
      </c>
      <c r="O65" s="102">
        <v>0</v>
      </c>
      <c r="P65" s="102">
        <v>0</v>
      </c>
      <c r="Q65" s="102">
        <v>-13.193820972000001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-9.901782000000002E-2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-4.2579755999999996E-2</v>
      </c>
      <c r="AF65" s="102">
        <v>-1.640011428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32.639874120000002</v>
      </c>
      <c r="AV65" s="102">
        <v>11.993674752</v>
      </c>
      <c r="AW65" s="102">
        <v>-9.47765916</v>
      </c>
      <c r="AX65" s="54"/>
      <c r="AY65" s="54"/>
      <c r="AZ65" s="22"/>
    </row>
    <row r="66" spans="1:52">
      <c r="A66" s="79" t="s">
        <v>115</v>
      </c>
      <c r="B66" s="101">
        <v>-2.7730013760000003</v>
      </c>
      <c r="C66" s="102">
        <v>-7.403644044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-22.632668496000001</v>
      </c>
      <c r="L66" s="102">
        <v>-3.3996816000000006E-2</v>
      </c>
      <c r="M66" s="102">
        <v>-0.50090875199999996</v>
      </c>
      <c r="N66" s="102">
        <v>-0.34294078800000005</v>
      </c>
      <c r="O66" s="102">
        <v>0</v>
      </c>
      <c r="P66" s="102">
        <v>0</v>
      </c>
      <c r="Q66" s="102">
        <v>-15.597965268000001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-0.68161104000000006</v>
      </c>
      <c r="AF66" s="102">
        <v>-12.200000256000001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55.322365536000007</v>
      </c>
      <c r="AW66" s="102">
        <v>-6.8443713000000006</v>
      </c>
      <c r="AX66" s="54"/>
      <c r="AY66" s="54"/>
      <c r="AZ66" s="22"/>
    </row>
    <row r="67" spans="1:52">
      <c r="A67" s="79" t="s">
        <v>116</v>
      </c>
      <c r="B67" s="101">
        <v>-7.3980755999999995E-2</v>
      </c>
      <c r="C67" s="102">
        <v>-0.18099536400000002</v>
      </c>
      <c r="D67" s="102">
        <v>0</v>
      </c>
      <c r="E67" s="102">
        <v>0</v>
      </c>
      <c r="F67" s="102">
        <v>0</v>
      </c>
      <c r="G67" s="102">
        <v>-0.21683437200000003</v>
      </c>
      <c r="H67" s="102">
        <v>-0.95479974000000001</v>
      </c>
      <c r="I67" s="102">
        <v>0</v>
      </c>
      <c r="J67" s="102">
        <v>0</v>
      </c>
      <c r="K67" s="102">
        <v>-0.88982060400000007</v>
      </c>
      <c r="L67" s="102">
        <v>-0.63689601600000001</v>
      </c>
      <c r="M67" s="102">
        <v>-0.721846188</v>
      </c>
      <c r="N67" s="102">
        <v>-2.009664E-3</v>
      </c>
      <c r="O67" s="102">
        <v>0</v>
      </c>
      <c r="P67" s="102">
        <v>0</v>
      </c>
      <c r="Q67" s="102">
        <v>-0.34281518400000005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-4.2579755999999996E-2</v>
      </c>
      <c r="AF67" s="102">
        <v>-0.16001949600000001</v>
      </c>
      <c r="AG67" s="102">
        <v>0</v>
      </c>
      <c r="AH67" s="102">
        <v>0</v>
      </c>
      <c r="AI67" s="102">
        <v>0</v>
      </c>
      <c r="AJ67" s="102">
        <v>0</v>
      </c>
      <c r="AK67" s="102">
        <v>0</v>
      </c>
      <c r="AL67" s="102">
        <v>0</v>
      </c>
      <c r="AM67" s="102">
        <v>-3.9983940000000003E-2</v>
      </c>
      <c r="AN67" s="102">
        <v>0</v>
      </c>
      <c r="AO67" s="102">
        <v>0</v>
      </c>
      <c r="AP67" s="102">
        <v>0</v>
      </c>
      <c r="AQ67" s="102">
        <v>0</v>
      </c>
      <c r="AR67" s="102">
        <v>0</v>
      </c>
      <c r="AS67" s="102">
        <v>0</v>
      </c>
      <c r="AT67" s="102">
        <v>0</v>
      </c>
      <c r="AU67" s="102">
        <v>0</v>
      </c>
      <c r="AV67" s="102">
        <v>3.6712793160000001</v>
      </c>
      <c r="AW67" s="102">
        <v>-0.59130176400000001</v>
      </c>
      <c r="AX67" s="54"/>
      <c r="AY67" s="54"/>
      <c r="AZ67" s="22"/>
    </row>
    <row r="68" spans="1:52">
      <c r="A68" s="79" t="s">
        <v>117</v>
      </c>
      <c r="B68" s="101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-0.44287970399999999</v>
      </c>
      <c r="AV68" s="102">
        <v>0.44287970399999999</v>
      </c>
      <c r="AW68" s="102">
        <v>0</v>
      </c>
      <c r="AX68" s="54"/>
      <c r="AY68" s="54"/>
      <c r="AZ68" s="22"/>
    </row>
    <row r="69" spans="1:52">
      <c r="A69" s="79" t="s">
        <v>118</v>
      </c>
      <c r="B69" s="101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-0.16562980800000002</v>
      </c>
      <c r="AV69" s="102">
        <v>0.16295025600000002</v>
      </c>
      <c r="AW69" s="102">
        <v>-2.6795520000000004E-3</v>
      </c>
      <c r="AX69" s="54"/>
      <c r="AY69" s="54"/>
      <c r="AZ69" s="22"/>
    </row>
    <row r="70" spans="1:52">
      <c r="A70" s="79" t="s">
        <v>119</v>
      </c>
      <c r="B70" s="101">
        <v>0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  <c r="AL70" s="102">
        <v>0</v>
      </c>
      <c r="AM70" s="102">
        <v>0</v>
      </c>
      <c r="AN70" s="102">
        <v>0</v>
      </c>
      <c r="AO70" s="102">
        <v>0</v>
      </c>
      <c r="AP70" s="102">
        <v>0</v>
      </c>
      <c r="AQ70" s="102">
        <v>0</v>
      </c>
      <c r="AR70" s="102">
        <v>0</v>
      </c>
      <c r="AS70" s="102">
        <v>0</v>
      </c>
      <c r="AT70" s="102">
        <v>0</v>
      </c>
      <c r="AU70" s="102">
        <v>0</v>
      </c>
      <c r="AV70" s="102">
        <v>0</v>
      </c>
      <c r="AW70" s="102">
        <v>0</v>
      </c>
      <c r="AX70" s="54"/>
      <c r="AY70" s="54"/>
      <c r="AZ70" s="22"/>
    </row>
    <row r="71" spans="1:52">
      <c r="A71" s="79" t="s">
        <v>120</v>
      </c>
      <c r="B71" s="101">
        <v>-35.013496644</v>
      </c>
      <c r="C71" s="102">
        <v>0</v>
      </c>
      <c r="D71" s="102">
        <v>24.231105000000003</v>
      </c>
      <c r="E71" s="102">
        <v>0</v>
      </c>
      <c r="F71" s="102">
        <v>0</v>
      </c>
      <c r="G71" s="102">
        <v>6.2919230400000004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02">
        <v>0</v>
      </c>
      <c r="AU71" s="102">
        <v>0</v>
      </c>
      <c r="AV71" s="102">
        <v>0</v>
      </c>
      <c r="AW71" s="102">
        <v>-4.2684844679999996</v>
      </c>
      <c r="AX71" s="54"/>
      <c r="AY71" s="54"/>
      <c r="AZ71" s="22"/>
    </row>
    <row r="72" spans="1:52">
      <c r="A72" s="79" t="s">
        <v>121</v>
      </c>
      <c r="B72" s="101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02">
        <v>0</v>
      </c>
      <c r="AU72" s="102">
        <v>0</v>
      </c>
      <c r="AV72" s="102">
        <v>0</v>
      </c>
      <c r="AW72" s="102">
        <v>0</v>
      </c>
      <c r="AX72" s="54"/>
      <c r="AY72" s="54"/>
      <c r="AZ72" s="22"/>
    </row>
    <row r="73" spans="1:52">
      <c r="A73" s="79" t="s">
        <v>122</v>
      </c>
      <c r="B73" s="101">
        <v>0</v>
      </c>
      <c r="C73" s="102">
        <v>0</v>
      </c>
      <c r="D73" s="102">
        <v>-28.626114563999998</v>
      </c>
      <c r="E73" s="102">
        <v>0</v>
      </c>
      <c r="F73" s="102">
        <v>0</v>
      </c>
      <c r="G73" s="102">
        <v>-7.2012960000000003E-3</v>
      </c>
      <c r="H73" s="102">
        <v>10.865876436000001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-8.1599894640000006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-25.927428888000001</v>
      </c>
      <c r="AX73" s="54"/>
      <c r="AY73" s="54"/>
      <c r="AZ73" s="22"/>
    </row>
    <row r="74" spans="1:52">
      <c r="A74" s="79" t="s">
        <v>123</v>
      </c>
      <c r="B74" s="101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6.1619229000000004</v>
      </c>
      <c r="U74" s="102">
        <v>0</v>
      </c>
      <c r="V74" s="102">
        <v>0</v>
      </c>
      <c r="W74" s="102">
        <v>-2.574002772</v>
      </c>
      <c r="X74" s="102">
        <v>0</v>
      </c>
      <c r="Y74" s="102">
        <v>-1.9780117920000002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-2.1999959280000003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-0.59008759200000005</v>
      </c>
      <c r="AX74" s="54"/>
      <c r="AY74" s="54"/>
      <c r="AZ74" s="22"/>
    </row>
    <row r="75" spans="1:52">
      <c r="A75" s="79" t="s">
        <v>124</v>
      </c>
      <c r="B75" s="101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  <c r="AF75" s="102">
        <v>0</v>
      </c>
      <c r="AG75" s="102">
        <v>0</v>
      </c>
      <c r="AH75" s="102">
        <v>0</v>
      </c>
      <c r="AI75" s="102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02">
        <v>0</v>
      </c>
      <c r="AU75" s="102">
        <v>0</v>
      </c>
      <c r="AV75" s="102">
        <v>0</v>
      </c>
      <c r="AW75" s="102">
        <v>0</v>
      </c>
      <c r="AX75" s="54"/>
      <c r="AY75" s="54"/>
      <c r="AZ75" s="22"/>
    </row>
    <row r="76" spans="1:52">
      <c r="A76" s="79" t="s">
        <v>125</v>
      </c>
      <c r="B76" s="101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-445.56130753200006</v>
      </c>
      <c r="S76" s="102">
        <v>-31.199740524000003</v>
      </c>
      <c r="T76" s="102">
        <v>-116.184076812</v>
      </c>
      <c r="U76" s="102">
        <v>-1.6830936000000003</v>
      </c>
      <c r="V76" s="102">
        <v>0</v>
      </c>
      <c r="W76" s="102">
        <v>22.274990172000003</v>
      </c>
      <c r="X76" s="102">
        <v>0</v>
      </c>
      <c r="Y76" s="102">
        <v>11.315999304000002</v>
      </c>
      <c r="Z76" s="102">
        <v>171.20398791600002</v>
      </c>
      <c r="AA76" s="102">
        <v>0</v>
      </c>
      <c r="AB76" s="102">
        <v>0</v>
      </c>
      <c r="AC76" s="102">
        <v>26.230008924000003</v>
      </c>
      <c r="AD76" s="102">
        <v>0</v>
      </c>
      <c r="AE76" s="102">
        <v>271.66018305600005</v>
      </c>
      <c r="AF76" s="102">
        <v>48.360010211999999</v>
      </c>
      <c r="AG76" s="102">
        <v>8.7999837120000013</v>
      </c>
      <c r="AH76" s="102">
        <v>7.629982452000001</v>
      </c>
      <c r="AI76" s="102">
        <v>10.710001872000001</v>
      </c>
      <c r="AJ76" s="102">
        <v>9.9060106680000004</v>
      </c>
      <c r="AK76" s="102">
        <v>0</v>
      </c>
      <c r="AL76" s="102">
        <v>4.0320140040000005</v>
      </c>
      <c r="AM76" s="102">
        <v>4.8800084760000004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02">
        <v>0</v>
      </c>
      <c r="AU76" s="102">
        <v>0</v>
      </c>
      <c r="AV76" s="102">
        <v>0</v>
      </c>
      <c r="AW76" s="102">
        <v>2.3749623000000004</v>
      </c>
      <c r="AX76" s="54"/>
      <c r="AY76" s="54"/>
      <c r="AZ76" s="22"/>
    </row>
    <row r="77" spans="1:52">
      <c r="A77" s="79" t="s">
        <v>126</v>
      </c>
      <c r="B77" s="101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  <c r="AX77" s="54"/>
      <c r="AY77" s="54"/>
      <c r="AZ77" s="22"/>
    </row>
    <row r="78" spans="1:52">
      <c r="A78" s="87" t="s">
        <v>127</v>
      </c>
      <c r="B78" s="104">
        <v>0</v>
      </c>
      <c r="C78" s="105">
        <v>0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  <c r="AX78" s="54"/>
      <c r="AY78" s="54"/>
      <c r="AZ78" s="22"/>
    </row>
    <row r="79" spans="1:52">
      <c r="A79" s="107" t="s">
        <v>128</v>
      </c>
      <c r="B79" s="101">
        <v>0</v>
      </c>
      <c r="C79" s="102">
        <v>0</v>
      </c>
      <c r="D79" s="102">
        <v>0</v>
      </c>
      <c r="E79" s="102">
        <v>0</v>
      </c>
      <c r="F79" s="102">
        <v>0</v>
      </c>
      <c r="G79" s="102">
        <v>-1.3604169240000001</v>
      </c>
      <c r="H79" s="102">
        <v>-4.2831801360000004</v>
      </c>
      <c r="I79" s="102">
        <v>0</v>
      </c>
      <c r="J79" s="102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-0.58878968400000009</v>
      </c>
      <c r="P79" s="102">
        <v>0</v>
      </c>
      <c r="Q79" s="102">
        <v>-12.196022796000001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-18.711018540000001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-2.0400183000000003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-4.0320140040000005</v>
      </c>
      <c r="AM79" s="102">
        <v>0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2">
        <v>-17.121081240000002</v>
      </c>
      <c r="AV79" s="102">
        <v>-1.319763096</v>
      </c>
      <c r="AW79" s="102">
        <v>-61.652304720000004</v>
      </c>
      <c r="AX79" s="54"/>
      <c r="AY79" s="54"/>
      <c r="AZ79" s="22"/>
    </row>
    <row r="80" spans="1:52">
      <c r="A80" s="108" t="s">
        <v>129</v>
      </c>
      <c r="B80" s="109">
        <v>0</v>
      </c>
      <c r="C80" s="109">
        <v>0</v>
      </c>
      <c r="D80" s="109">
        <v>0</v>
      </c>
      <c r="E80" s="109">
        <v>0</v>
      </c>
      <c r="F80" s="109">
        <v>0</v>
      </c>
      <c r="G80" s="109">
        <v>-1.3532156280000001</v>
      </c>
      <c r="H80" s="109">
        <v>-0.43890224400000005</v>
      </c>
      <c r="I80" s="109">
        <v>0</v>
      </c>
      <c r="J80" s="109">
        <v>0</v>
      </c>
      <c r="K80" s="109">
        <v>0</v>
      </c>
      <c r="L80" s="109">
        <v>0</v>
      </c>
      <c r="M80" s="109">
        <v>0</v>
      </c>
      <c r="N80" s="109">
        <v>0</v>
      </c>
      <c r="O80" s="109">
        <v>-0.58878968400000009</v>
      </c>
      <c r="P80" s="109">
        <v>0</v>
      </c>
      <c r="Q80" s="109">
        <v>-12.196022796000001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-18.711018540000001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0</v>
      </c>
      <c r="AE80" s="109">
        <v>0</v>
      </c>
      <c r="AF80" s="109">
        <v>-2.0400183000000003</v>
      </c>
      <c r="AG80" s="109">
        <v>0</v>
      </c>
      <c r="AH80" s="109">
        <v>0</v>
      </c>
      <c r="AI80" s="109">
        <v>0</v>
      </c>
      <c r="AJ80" s="109">
        <v>0</v>
      </c>
      <c r="AK80" s="109">
        <v>0</v>
      </c>
      <c r="AL80" s="109">
        <v>-4.0320140040000005</v>
      </c>
      <c r="AM80" s="109">
        <v>0</v>
      </c>
      <c r="AN80" s="109">
        <v>0</v>
      </c>
      <c r="AO80" s="109">
        <v>0</v>
      </c>
      <c r="AP80" s="109">
        <v>0</v>
      </c>
      <c r="AQ80" s="109">
        <v>0</v>
      </c>
      <c r="AR80" s="109">
        <v>0</v>
      </c>
      <c r="AS80" s="109">
        <v>0</v>
      </c>
      <c r="AT80" s="109">
        <v>0</v>
      </c>
      <c r="AU80" s="109">
        <v>-4.6484365680000002</v>
      </c>
      <c r="AV80" s="109">
        <v>-1.319763096</v>
      </c>
      <c r="AW80" s="110">
        <v>-45.328180859999996</v>
      </c>
      <c r="AX80" s="111"/>
      <c r="AY80" s="111"/>
      <c r="AZ80" s="22"/>
    </row>
    <row r="81" spans="1:52">
      <c r="A81" s="79" t="s">
        <v>130</v>
      </c>
      <c r="B81" s="101">
        <v>0</v>
      </c>
      <c r="C81" s="102">
        <v>0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>
        <v>0</v>
      </c>
      <c r="R81" s="102">
        <v>0</v>
      </c>
      <c r="S81" s="102">
        <v>0</v>
      </c>
      <c r="T81" s="102">
        <v>0</v>
      </c>
      <c r="U81" s="102">
        <v>0</v>
      </c>
      <c r="V81" s="102">
        <v>0</v>
      </c>
      <c r="W81" s="102">
        <v>0</v>
      </c>
      <c r="X81" s="102">
        <v>0</v>
      </c>
      <c r="Y81" s="102">
        <v>0</v>
      </c>
      <c r="Z81" s="102">
        <v>0</v>
      </c>
      <c r="AA81" s="102">
        <v>0</v>
      </c>
      <c r="AB81" s="102">
        <v>0</v>
      </c>
      <c r="AC81" s="102">
        <v>0</v>
      </c>
      <c r="AD81" s="102">
        <v>0</v>
      </c>
      <c r="AE81" s="102">
        <v>0</v>
      </c>
      <c r="AF81" s="102">
        <v>0</v>
      </c>
      <c r="AG81" s="102">
        <v>0</v>
      </c>
      <c r="AH81" s="102">
        <v>0</v>
      </c>
      <c r="AI81" s="102">
        <v>0</v>
      </c>
      <c r="AJ81" s="102">
        <v>0</v>
      </c>
      <c r="AK81" s="102">
        <v>0</v>
      </c>
      <c r="AL81" s="102">
        <v>0</v>
      </c>
      <c r="AM81" s="102">
        <v>0</v>
      </c>
      <c r="AN81" s="102">
        <v>0</v>
      </c>
      <c r="AO81" s="102">
        <v>0</v>
      </c>
      <c r="AP81" s="102">
        <v>0</v>
      </c>
      <c r="AQ81" s="102">
        <v>0</v>
      </c>
      <c r="AR81" s="102">
        <v>0</v>
      </c>
      <c r="AS81" s="102">
        <v>0</v>
      </c>
      <c r="AT81" s="102">
        <v>0</v>
      </c>
      <c r="AU81" s="102">
        <v>0</v>
      </c>
      <c r="AV81" s="102">
        <v>0</v>
      </c>
      <c r="AW81" s="102">
        <v>0</v>
      </c>
      <c r="AX81" s="54"/>
      <c r="AY81" s="54"/>
      <c r="AZ81" s="22"/>
    </row>
    <row r="82" spans="1:52">
      <c r="A82" s="79" t="s">
        <v>131</v>
      </c>
      <c r="B82" s="101">
        <v>0</v>
      </c>
      <c r="C82" s="102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>
        <v>0</v>
      </c>
      <c r="R82" s="102">
        <v>0</v>
      </c>
      <c r="S82" s="102">
        <v>0</v>
      </c>
      <c r="T82" s="102">
        <v>0</v>
      </c>
      <c r="U82" s="102">
        <v>0</v>
      </c>
      <c r="V82" s="102">
        <v>0</v>
      </c>
      <c r="W82" s="102">
        <v>0</v>
      </c>
      <c r="X82" s="102">
        <v>0</v>
      </c>
      <c r="Y82" s="102">
        <v>0</v>
      </c>
      <c r="Z82" s="102">
        <v>0</v>
      </c>
      <c r="AA82" s="102">
        <v>0</v>
      </c>
      <c r="AB82" s="102">
        <v>0</v>
      </c>
      <c r="AC82" s="102">
        <v>0</v>
      </c>
      <c r="AD82" s="102">
        <v>0</v>
      </c>
      <c r="AE82" s="102">
        <v>0</v>
      </c>
      <c r="AF82" s="102">
        <v>0</v>
      </c>
      <c r="AG82" s="102">
        <v>0</v>
      </c>
      <c r="AH82" s="102">
        <v>0</v>
      </c>
      <c r="AI82" s="102">
        <v>0</v>
      </c>
      <c r="AJ82" s="102">
        <v>0</v>
      </c>
      <c r="AK82" s="102">
        <v>0</v>
      </c>
      <c r="AL82" s="102">
        <v>0</v>
      </c>
      <c r="AM82" s="102">
        <v>0</v>
      </c>
      <c r="AN82" s="102">
        <v>0</v>
      </c>
      <c r="AO82" s="102">
        <v>0</v>
      </c>
      <c r="AP82" s="102">
        <v>0</v>
      </c>
      <c r="AQ82" s="102">
        <v>0</v>
      </c>
      <c r="AR82" s="102">
        <v>0</v>
      </c>
      <c r="AS82" s="102">
        <v>0</v>
      </c>
      <c r="AT82" s="102">
        <v>0</v>
      </c>
      <c r="AU82" s="102">
        <v>0</v>
      </c>
      <c r="AV82" s="102">
        <v>0</v>
      </c>
      <c r="AW82" s="102">
        <v>0</v>
      </c>
      <c r="AX82" s="54"/>
      <c r="AY82" s="54"/>
      <c r="AZ82" s="22"/>
    </row>
    <row r="83" spans="1:52">
      <c r="A83" s="79" t="s">
        <v>132</v>
      </c>
      <c r="B83" s="101">
        <v>0</v>
      </c>
      <c r="C83" s="102">
        <v>0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>
        <v>0</v>
      </c>
      <c r="AE83" s="102">
        <v>0</v>
      </c>
      <c r="AF83" s="102">
        <v>0</v>
      </c>
      <c r="AG83" s="102">
        <v>0</v>
      </c>
      <c r="AH83" s="102">
        <v>0</v>
      </c>
      <c r="AI83" s="102">
        <v>0</v>
      </c>
      <c r="AJ83" s="102">
        <v>0</v>
      </c>
      <c r="AK83" s="102">
        <v>0</v>
      </c>
      <c r="AL83" s="102">
        <v>0</v>
      </c>
      <c r="AM83" s="102">
        <v>0</v>
      </c>
      <c r="AN83" s="102">
        <v>0</v>
      </c>
      <c r="AO83" s="102">
        <v>0</v>
      </c>
      <c r="AP83" s="102">
        <v>0</v>
      </c>
      <c r="AQ83" s="102">
        <v>0</v>
      </c>
      <c r="AR83" s="102">
        <v>0</v>
      </c>
      <c r="AS83" s="102">
        <v>0</v>
      </c>
      <c r="AT83" s="102">
        <v>0</v>
      </c>
      <c r="AU83" s="102">
        <v>0</v>
      </c>
      <c r="AV83" s="102">
        <v>0</v>
      </c>
      <c r="AW83" s="102">
        <v>0</v>
      </c>
      <c r="AX83" s="54"/>
      <c r="AY83" s="54"/>
      <c r="AZ83" s="22"/>
    </row>
    <row r="84" spans="1:52">
      <c r="A84" s="79" t="s">
        <v>133</v>
      </c>
      <c r="B84" s="101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-1.3532156280000001</v>
      </c>
      <c r="H84" s="102">
        <v>-0.43890224400000005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  <c r="AL84" s="102">
        <v>0</v>
      </c>
      <c r="AM84" s="102">
        <v>0</v>
      </c>
      <c r="AN84" s="102">
        <v>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  <c r="AU84" s="102">
        <v>0</v>
      </c>
      <c r="AV84" s="102">
        <v>0</v>
      </c>
      <c r="AW84" s="102">
        <v>-1.7921178720000002</v>
      </c>
      <c r="AX84" s="54"/>
      <c r="AY84" s="54"/>
      <c r="AZ84" s="22"/>
    </row>
    <row r="85" spans="1:52">
      <c r="A85" s="79" t="s">
        <v>134</v>
      </c>
      <c r="B85" s="101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  <c r="AF85" s="102">
        <v>0</v>
      </c>
      <c r="AG85" s="102">
        <v>0</v>
      </c>
      <c r="AH85" s="102">
        <v>0</v>
      </c>
      <c r="AI85" s="102">
        <v>0</v>
      </c>
      <c r="AJ85" s="102">
        <v>0</v>
      </c>
      <c r="AK85" s="102">
        <v>0</v>
      </c>
      <c r="AL85" s="102">
        <v>0</v>
      </c>
      <c r="AM85" s="102">
        <v>0</v>
      </c>
      <c r="AN85" s="102">
        <v>0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  <c r="AU85" s="102">
        <v>0</v>
      </c>
      <c r="AV85" s="102">
        <v>0</v>
      </c>
      <c r="AW85" s="102">
        <v>0</v>
      </c>
      <c r="AX85" s="54"/>
      <c r="AY85" s="54"/>
      <c r="AZ85" s="22"/>
    </row>
    <row r="86" spans="1:52">
      <c r="A86" s="79" t="s">
        <v>135</v>
      </c>
      <c r="B86" s="101">
        <v>0</v>
      </c>
      <c r="C86" s="102">
        <v>0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0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0</v>
      </c>
      <c r="Y86" s="102">
        <v>0</v>
      </c>
      <c r="Z86" s="102">
        <v>0</v>
      </c>
      <c r="AA86" s="102">
        <v>0</v>
      </c>
      <c r="AB86" s="102">
        <v>0</v>
      </c>
      <c r="AC86" s="102">
        <v>0</v>
      </c>
      <c r="AD86" s="102">
        <v>0</v>
      </c>
      <c r="AE86" s="102">
        <v>0</v>
      </c>
      <c r="AF86" s="102">
        <v>0</v>
      </c>
      <c r="AG86" s="102">
        <v>0</v>
      </c>
      <c r="AH86" s="102">
        <v>0</v>
      </c>
      <c r="AI86" s="102">
        <v>0</v>
      </c>
      <c r="AJ86" s="102">
        <v>0</v>
      </c>
      <c r="AK86" s="102">
        <v>0</v>
      </c>
      <c r="AL86" s="102">
        <v>0</v>
      </c>
      <c r="AM86" s="102">
        <v>0</v>
      </c>
      <c r="AN86" s="102">
        <v>0</v>
      </c>
      <c r="AO86" s="102">
        <v>0</v>
      </c>
      <c r="AP86" s="102">
        <v>0</v>
      </c>
      <c r="AQ86" s="102">
        <v>0</v>
      </c>
      <c r="AR86" s="102">
        <v>0</v>
      </c>
      <c r="AS86" s="102">
        <v>0</v>
      </c>
      <c r="AT86" s="102">
        <v>0</v>
      </c>
      <c r="AU86" s="102">
        <v>0</v>
      </c>
      <c r="AV86" s="102">
        <v>0</v>
      </c>
      <c r="AW86" s="102">
        <v>0</v>
      </c>
      <c r="AX86" s="54"/>
      <c r="AY86" s="54"/>
      <c r="AZ86" s="22"/>
    </row>
    <row r="87" spans="1:52">
      <c r="A87" s="79" t="s">
        <v>136</v>
      </c>
      <c r="B87" s="101">
        <v>0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-0.58878968400000009</v>
      </c>
      <c r="P87" s="102">
        <v>0</v>
      </c>
      <c r="Q87" s="102">
        <v>-12.196022796000001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-18.711018540000001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-2.0400183000000003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-4.0320140040000005</v>
      </c>
      <c r="AM87" s="102">
        <v>0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-4.6484365680000002</v>
      </c>
      <c r="AV87" s="102">
        <v>-1.319763096</v>
      </c>
      <c r="AW87" s="102">
        <v>-43.536062987999998</v>
      </c>
      <c r="AX87" s="54"/>
      <c r="AY87" s="54"/>
      <c r="AZ87" s="22"/>
    </row>
    <row r="88" spans="1:52">
      <c r="A88" s="79" t="s">
        <v>137</v>
      </c>
      <c r="B88" s="101">
        <v>0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-12.472644672000001</v>
      </c>
      <c r="AV88" s="102">
        <v>0</v>
      </c>
      <c r="AW88" s="102">
        <v>-12.472644672000001</v>
      </c>
      <c r="AX88" s="54"/>
      <c r="AY88" s="54"/>
      <c r="AZ88" s="22"/>
    </row>
    <row r="89" spans="1:52">
      <c r="A89" s="79" t="s">
        <v>138</v>
      </c>
      <c r="B89" s="101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  <c r="AF89" s="102">
        <v>0</v>
      </c>
      <c r="AG89" s="102">
        <v>0</v>
      </c>
      <c r="AH89" s="102">
        <v>0</v>
      </c>
      <c r="AI89" s="102">
        <v>0</v>
      </c>
      <c r="AJ89" s="102">
        <v>0</v>
      </c>
      <c r="AK89" s="102">
        <v>0</v>
      </c>
      <c r="AL89" s="102">
        <v>0</v>
      </c>
      <c r="AM89" s="102">
        <v>0</v>
      </c>
      <c r="AN89" s="102">
        <v>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  <c r="AU89" s="102">
        <v>0</v>
      </c>
      <c r="AV89" s="102">
        <v>0</v>
      </c>
      <c r="AW89" s="102">
        <v>0</v>
      </c>
      <c r="AX89" s="54"/>
      <c r="AY89" s="54"/>
      <c r="AZ89" s="22"/>
    </row>
    <row r="90" spans="1:52">
      <c r="A90" s="79" t="s">
        <v>139</v>
      </c>
      <c r="B90" s="101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  <c r="AL90" s="102">
        <v>0</v>
      </c>
      <c r="AM90" s="102">
        <v>0</v>
      </c>
      <c r="AN90" s="102">
        <v>0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  <c r="AU90" s="102">
        <v>0</v>
      </c>
      <c r="AV90" s="102">
        <v>0</v>
      </c>
      <c r="AW90" s="102">
        <v>0</v>
      </c>
      <c r="AX90" s="54"/>
      <c r="AY90" s="54"/>
      <c r="AZ90" s="22"/>
    </row>
    <row r="91" spans="1:52">
      <c r="A91" s="87" t="s">
        <v>140</v>
      </c>
      <c r="B91" s="104">
        <v>0</v>
      </c>
      <c r="C91" s="105">
        <v>0</v>
      </c>
      <c r="D91" s="105">
        <v>0</v>
      </c>
      <c r="E91" s="105">
        <v>0</v>
      </c>
      <c r="F91" s="105">
        <v>0</v>
      </c>
      <c r="G91" s="105">
        <v>0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  <c r="AX91" s="54"/>
      <c r="AY91" s="54"/>
      <c r="AZ91" s="22"/>
    </row>
    <row r="92" spans="1:52">
      <c r="A92" s="106" t="s">
        <v>141</v>
      </c>
      <c r="B92" s="104">
        <v>0</v>
      </c>
      <c r="C92" s="105">
        <v>0</v>
      </c>
      <c r="D92" s="105">
        <v>0</v>
      </c>
      <c r="E92" s="105">
        <v>0</v>
      </c>
      <c r="F92" s="105">
        <v>0</v>
      </c>
      <c r="G92" s="105">
        <v>-0.35901810000000001</v>
      </c>
      <c r="H92" s="105">
        <v>-1.2157629840000002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-0.39598754400000002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-9.9593923680000014</v>
      </c>
      <c r="AV92" s="105">
        <v>-12.431614032000001</v>
      </c>
      <c r="AW92" s="105">
        <v>-24.361775028</v>
      </c>
      <c r="AX92" s="54"/>
      <c r="AY92" s="54"/>
      <c r="AZ92" s="22"/>
    </row>
    <row r="93" spans="1:52">
      <c r="A93" s="106" t="s">
        <v>142</v>
      </c>
      <c r="B93" s="104">
        <v>4.2666422759999998</v>
      </c>
      <c r="C93" s="105">
        <v>11.005213140000002</v>
      </c>
      <c r="D93" s="105">
        <v>8.5262925959999993</v>
      </c>
      <c r="E93" s="105">
        <v>0</v>
      </c>
      <c r="F93" s="105">
        <v>0</v>
      </c>
      <c r="G93" s="105">
        <v>3.8544936840000004</v>
      </c>
      <c r="H93" s="105">
        <v>2.1555739800000002</v>
      </c>
      <c r="I93" s="105">
        <v>0</v>
      </c>
      <c r="J93" s="105">
        <v>0</v>
      </c>
      <c r="K93" s="105">
        <v>191.140273476</v>
      </c>
      <c r="L93" s="105">
        <v>0.36994564800000002</v>
      </c>
      <c r="M93" s="105">
        <v>2.5205373359999999</v>
      </c>
      <c r="N93" s="105">
        <v>0.66385900800000008</v>
      </c>
      <c r="O93" s="105">
        <v>6.65889606</v>
      </c>
      <c r="P93" s="105">
        <v>0</v>
      </c>
      <c r="Q93" s="105">
        <v>44.229564539999998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11.929491108000001</v>
      </c>
      <c r="X93" s="105">
        <v>0</v>
      </c>
      <c r="Y93" s="105">
        <v>16.882014960000003</v>
      </c>
      <c r="Z93" s="105">
        <v>69.123984264000001</v>
      </c>
      <c r="AA93" s="105">
        <v>8.8006535999999996E-2</v>
      </c>
      <c r="AB93" s="105">
        <v>0</v>
      </c>
      <c r="AC93" s="105">
        <v>5.8049982000000009</v>
      </c>
      <c r="AD93" s="105">
        <v>0</v>
      </c>
      <c r="AE93" s="105">
        <v>177.08820037200002</v>
      </c>
      <c r="AF93" s="105">
        <v>23.840016012</v>
      </c>
      <c r="AG93" s="105">
        <v>14.079999060000002</v>
      </c>
      <c r="AH93" s="105">
        <v>2.7467920079999999</v>
      </c>
      <c r="AI93" s="105">
        <v>3.1499808480000002</v>
      </c>
      <c r="AJ93" s="105">
        <v>10.92001176</v>
      </c>
      <c r="AK93" s="105">
        <v>0.16001949600000001</v>
      </c>
      <c r="AL93" s="105">
        <v>0.99202039200000003</v>
      </c>
      <c r="AM93" s="105">
        <v>8.6799900240000003</v>
      </c>
      <c r="AN93" s="105">
        <v>0</v>
      </c>
      <c r="AO93" s="105">
        <v>0</v>
      </c>
      <c r="AP93" s="105">
        <v>0</v>
      </c>
      <c r="AQ93" s="105">
        <v>3.8979108000000005E-2</v>
      </c>
      <c r="AR93" s="105">
        <v>0</v>
      </c>
      <c r="AS93" s="105">
        <v>0</v>
      </c>
      <c r="AT93" s="105">
        <v>0</v>
      </c>
      <c r="AU93" s="105">
        <v>300.57849439200004</v>
      </c>
      <c r="AV93" s="105">
        <v>195.20749846800001</v>
      </c>
      <c r="AW93" s="105">
        <v>1116.7757695080002</v>
      </c>
      <c r="AX93" s="54"/>
      <c r="AY93" s="54"/>
      <c r="AZ93" s="22"/>
    </row>
    <row r="94" spans="1:52">
      <c r="A94" s="79" t="s">
        <v>143</v>
      </c>
      <c r="B94" s="101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0.39590380800000002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3.8688962760000008E-2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0.39590380800000002</v>
      </c>
      <c r="AX94" s="54"/>
      <c r="AY94" s="54"/>
      <c r="AZ94" s="22"/>
    </row>
    <row r="95" spans="1:52">
      <c r="A95" s="112"/>
      <c r="B95" s="113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54"/>
      <c r="AY95" s="54"/>
      <c r="AZ95" s="22"/>
    </row>
    <row r="96" spans="1:52" ht="18">
      <c r="A96" s="114" t="s">
        <v>144</v>
      </c>
      <c r="B96" s="11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57"/>
      <c r="Q96" s="57"/>
      <c r="R96" s="49"/>
      <c r="S96" s="49"/>
      <c r="T96" s="116"/>
      <c r="U96" s="49"/>
      <c r="V96" s="117"/>
      <c r="W96" s="49"/>
      <c r="X96" s="49"/>
      <c r="Y96" s="118"/>
      <c r="Z96" s="118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54"/>
      <c r="AY96" s="54"/>
      <c r="AZ96" s="22"/>
    </row>
    <row r="97" spans="1:52" ht="13.5" thickBot="1">
      <c r="A97" s="119"/>
      <c r="B97" s="120"/>
      <c r="C97" s="121" t="s">
        <v>145</v>
      </c>
      <c r="D97" s="121" t="s">
        <v>146</v>
      </c>
      <c r="E97" s="121" t="s">
        <v>147</v>
      </c>
      <c r="F97" s="121" t="s">
        <v>148</v>
      </c>
      <c r="G97" s="121" t="s">
        <v>149</v>
      </c>
      <c r="H97" s="121" t="s">
        <v>150</v>
      </c>
      <c r="I97" s="121" t="s">
        <v>151</v>
      </c>
      <c r="J97" s="121" t="s">
        <v>152</v>
      </c>
      <c r="K97" s="121" t="s">
        <v>153</v>
      </c>
      <c r="L97" s="121" t="s">
        <v>154</v>
      </c>
      <c r="M97" s="121" t="s">
        <v>155</v>
      </c>
      <c r="N97" s="121" t="s">
        <v>156</v>
      </c>
      <c r="O97" s="121" t="s">
        <v>157</v>
      </c>
      <c r="P97" s="121" t="s">
        <v>158</v>
      </c>
      <c r="Q97" s="121" t="s">
        <v>159</v>
      </c>
      <c r="R97" s="121" t="s">
        <v>160</v>
      </c>
      <c r="S97" s="121" t="s">
        <v>161</v>
      </c>
      <c r="T97" s="121" t="s">
        <v>162</v>
      </c>
      <c r="U97" s="121" t="s">
        <v>163</v>
      </c>
      <c r="V97" s="121" t="s">
        <v>164</v>
      </c>
      <c r="W97" s="121" t="s">
        <v>165</v>
      </c>
      <c r="X97" s="121" t="s">
        <v>166</v>
      </c>
      <c r="Y97" s="121" t="s">
        <v>167</v>
      </c>
      <c r="Z97" s="121" t="s">
        <v>168</v>
      </c>
      <c r="AA97" s="121" t="s">
        <v>169</v>
      </c>
      <c r="AB97" s="121" t="s">
        <v>170</v>
      </c>
      <c r="AC97" s="121" t="s">
        <v>171</v>
      </c>
      <c r="AD97" s="121" t="s">
        <v>172</v>
      </c>
      <c r="AE97" s="121" t="s">
        <v>173</v>
      </c>
      <c r="AF97" s="121" t="s">
        <v>174</v>
      </c>
      <c r="AG97" s="121" t="s">
        <v>175</v>
      </c>
      <c r="AH97" s="121" t="s">
        <v>176</v>
      </c>
      <c r="AI97" s="121" t="s">
        <v>177</v>
      </c>
      <c r="AJ97" s="121" t="s">
        <v>178</v>
      </c>
      <c r="AK97" s="121" t="s">
        <v>179</v>
      </c>
      <c r="AL97" s="121" t="s">
        <v>180</v>
      </c>
      <c r="AM97" s="121" t="s">
        <v>181</v>
      </c>
      <c r="AN97" s="121" t="s">
        <v>182</v>
      </c>
      <c r="AO97" s="121" t="s">
        <v>183</v>
      </c>
      <c r="AP97" s="121" t="s">
        <v>184</v>
      </c>
      <c r="AQ97" s="121" t="s">
        <v>185</v>
      </c>
      <c r="AR97" s="121" t="s">
        <v>186</v>
      </c>
      <c r="AS97" s="122"/>
      <c r="AT97" s="123"/>
      <c r="AU97" s="121" t="s">
        <v>187</v>
      </c>
      <c r="AV97" s="121" t="s">
        <v>188</v>
      </c>
      <c r="AW97" s="123"/>
      <c r="AX97" s="123"/>
      <c r="AY97" s="123"/>
      <c r="AZ97" s="22"/>
    </row>
    <row r="98" spans="1:52">
      <c r="A98" s="124" t="s">
        <v>189</v>
      </c>
      <c r="B98" s="124"/>
      <c r="C98" s="125">
        <f t="shared" ref="C98:AS98" si="8">IF(C100=0,C99,C100)</f>
        <v>0</v>
      </c>
      <c r="D98" s="125">
        <f t="shared" si="8"/>
        <v>75.619971936000013</v>
      </c>
      <c r="E98" s="125">
        <f t="shared" si="8"/>
        <v>0</v>
      </c>
      <c r="F98" s="125">
        <f t="shared" si="8"/>
        <v>0</v>
      </c>
      <c r="G98" s="125">
        <f t="shared" si="8"/>
        <v>0</v>
      </c>
      <c r="H98" s="125">
        <f t="shared" si="8"/>
        <v>0</v>
      </c>
      <c r="I98" s="125">
        <f t="shared" si="8"/>
        <v>0</v>
      </c>
      <c r="J98" s="125">
        <f t="shared" si="8"/>
        <v>0</v>
      </c>
      <c r="K98" s="125">
        <f t="shared" si="8"/>
        <v>0</v>
      </c>
      <c r="L98" s="125">
        <f t="shared" si="8"/>
        <v>322.61098510800002</v>
      </c>
      <c r="M98" s="125">
        <f t="shared" si="8"/>
        <v>1.7376476040000002</v>
      </c>
      <c r="N98" s="125">
        <f t="shared" si="8"/>
        <v>10.421991900000002</v>
      </c>
      <c r="O98" s="125">
        <f>IF(O100=0,O99,O100)</f>
        <v>1.6916765400000002</v>
      </c>
      <c r="P98" s="125">
        <f t="shared" si="8"/>
        <v>10.488017736000002</v>
      </c>
      <c r="Q98" s="125">
        <f t="shared" si="8"/>
        <v>0</v>
      </c>
      <c r="R98" s="125">
        <f t="shared" si="8"/>
        <v>0</v>
      </c>
      <c r="S98" s="125">
        <f t="shared" si="8"/>
        <v>0</v>
      </c>
      <c r="T98" s="125">
        <f t="shared" si="8"/>
        <v>0</v>
      </c>
      <c r="U98" s="125">
        <f t="shared" si="8"/>
        <v>0</v>
      </c>
      <c r="V98" s="125">
        <f t="shared" si="8"/>
        <v>0</v>
      </c>
      <c r="W98" s="125">
        <f t="shared" si="8"/>
        <v>0</v>
      </c>
      <c r="X98" s="125">
        <f t="shared" si="8"/>
        <v>1.6830936000000003</v>
      </c>
      <c r="Y98" s="125">
        <f t="shared" si="8"/>
        <v>0</v>
      </c>
      <c r="Z98" s="125">
        <f t="shared" si="8"/>
        <v>0</v>
      </c>
      <c r="AA98" s="125">
        <f t="shared" si="8"/>
        <v>0</v>
      </c>
      <c r="AB98" s="125">
        <f t="shared" si="8"/>
        <v>0</v>
      </c>
      <c r="AC98" s="125">
        <f t="shared" si="8"/>
        <v>0</v>
      </c>
      <c r="AD98" s="125">
        <f t="shared" si="8"/>
        <v>0</v>
      </c>
      <c r="AE98" s="125">
        <f t="shared" si="8"/>
        <v>0</v>
      </c>
      <c r="AF98" s="125">
        <f t="shared" si="8"/>
        <v>0</v>
      </c>
      <c r="AG98" s="125">
        <f t="shared" si="8"/>
        <v>0</v>
      </c>
      <c r="AH98" s="125">
        <f t="shared" si="8"/>
        <v>0</v>
      </c>
      <c r="AI98" s="125">
        <f t="shared" si="8"/>
        <v>0</v>
      </c>
      <c r="AJ98" s="125">
        <f t="shared" si="8"/>
        <v>0</v>
      </c>
      <c r="AK98" s="125">
        <f t="shared" si="8"/>
        <v>0</v>
      </c>
      <c r="AL98" s="125">
        <f t="shared" si="8"/>
        <v>0</v>
      </c>
      <c r="AM98" s="125">
        <f t="shared" si="8"/>
        <v>0</v>
      </c>
      <c r="AN98" s="125">
        <f t="shared" si="8"/>
        <v>0</v>
      </c>
      <c r="AO98" s="125">
        <f t="shared" si="8"/>
        <v>0</v>
      </c>
      <c r="AP98" s="125">
        <f t="shared" si="8"/>
        <v>0</v>
      </c>
      <c r="AQ98" s="125">
        <f t="shared" si="8"/>
        <v>0</v>
      </c>
      <c r="AR98" s="125">
        <f t="shared" si="8"/>
        <v>4.1262588720000002</v>
      </c>
      <c r="AS98" s="125">
        <f t="shared" si="8"/>
        <v>724.79482563600004</v>
      </c>
      <c r="AT98" s="26"/>
      <c r="AU98" s="125">
        <f>IF(AU100=0,AU99,AU100)</f>
        <v>0</v>
      </c>
      <c r="AV98" s="125">
        <f>IF(AV100=0,AV99,AV100)</f>
        <v>0</v>
      </c>
      <c r="AW98" s="26"/>
      <c r="AX98" s="22"/>
      <c r="AY98" s="25"/>
    </row>
    <row r="99" spans="1:52">
      <c r="A99" s="126" t="s">
        <v>190</v>
      </c>
      <c r="B99" s="126"/>
      <c r="C99" s="42">
        <f t="shared" ref="C99:R99" si="9">B52</f>
        <v>0</v>
      </c>
      <c r="D99" s="42">
        <f t="shared" si="9"/>
        <v>75.619971936000013</v>
      </c>
      <c r="E99" s="42">
        <f t="shared" si="9"/>
        <v>0</v>
      </c>
      <c r="F99" s="42">
        <f t="shared" si="9"/>
        <v>0</v>
      </c>
      <c r="G99" s="42">
        <f t="shared" si="9"/>
        <v>0</v>
      </c>
      <c r="H99" s="42">
        <f t="shared" si="9"/>
        <v>0</v>
      </c>
      <c r="I99" s="42">
        <f t="shared" si="9"/>
        <v>0</v>
      </c>
      <c r="J99" s="42">
        <f t="shared" si="9"/>
        <v>0</v>
      </c>
      <c r="K99" s="42">
        <f t="shared" si="9"/>
        <v>0</v>
      </c>
      <c r="L99" s="42">
        <f t="shared" si="9"/>
        <v>322.61098510800002</v>
      </c>
      <c r="M99" s="42">
        <f t="shared" si="9"/>
        <v>1.7376476040000002</v>
      </c>
      <c r="N99" s="42">
        <f t="shared" si="9"/>
        <v>10.421991900000002</v>
      </c>
      <c r="O99" s="42">
        <f>N52</f>
        <v>1.6916765400000002</v>
      </c>
      <c r="P99" s="42">
        <f>O52</f>
        <v>10.488017736000002</v>
      </c>
      <c r="Q99" s="42">
        <f t="shared" si="9"/>
        <v>0</v>
      </c>
      <c r="R99" s="42">
        <f t="shared" si="9"/>
        <v>0</v>
      </c>
      <c r="S99" s="42">
        <f>R52*$C$8*$F$14</f>
        <v>0</v>
      </c>
      <c r="T99" s="42">
        <f>R52*$C$9*$F$14</f>
        <v>0</v>
      </c>
      <c r="U99" s="42">
        <f>S99+T99</f>
        <v>0</v>
      </c>
      <c r="V99" s="42">
        <f>S52</f>
        <v>0</v>
      </c>
      <c r="W99" s="42">
        <f>T52</f>
        <v>0</v>
      </c>
      <c r="X99" s="42">
        <f>U52</f>
        <v>1.6830936000000003</v>
      </c>
      <c r="Y99" s="42">
        <f>V52-AV99-AU99</f>
        <v>0</v>
      </c>
      <c r="Z99" s="42">
        <f t="shared" ref="Z99:AP99" si="10">W52</f>
        <v>0</v>
      </c>
      <c r="AA99" s="42">
        <f t="shared" si="10"/>
        <v>0</v>
      </c>
      <c r="AB99" s="42">
        <f t="shared" si="10"/>
        <v>0</v>
      </c>
      <c r="AC99" s="42">
        <f t="shared" si="10"/>
        <v>0</v>
      </c>
      <c r="AD99" s="42">
        <f t="shared" si="10"/>
        <v>0</v>
      </c>
      <c r="AE99" s="42">
        <f t="shared" si="10"/>
        <v>0</v>
      </c>
      <c r="AF99" s="42">
        <f t="shared" si="10"/>
        <v>0</v>
      </c>
      <c r="AG99" s="42">
        <f t="shared" si="10"/>
        <v>0</v>
      </c>
      <c r="AH99" s="42">
        <f t="shared" si="10"/>
        <v>0</v>
      </c>
      <c r="AI99" s="42">
        <f t="shared" si="10"/>
        <v>0</v>
      </c>
      <c r="AJ99" s="42">
        <f t="shared" si="10"/>
        <v>0</v>
      </c>
      <c r="AK99" s="42">
        <f t="shared" si="10"/>
        <v>0</v>
      </c>
      <c r="AL99" s="42">
        <f t="shared" si="10"/>
        <v>0</v>
      </c>
      <c r="AM99" s="42">
        <f t="shared" si="10"/>
        <v>0</v>
      </c>
      <c r="AN99" s="42">
        <f t="shared" si="10"/>
        <v>0</v>
      </c>
      <c r="AO99" s="42">
        <f t="shared" si="10"/>
        <v>0</v>
      </c>
      <c r="AP99" s="42">
        <f t="shared" si="10"/>
        <v>0</v>
      </c>
      <c r="AQ99" s="42">
        <f>AU52</f>
        <v>0</v>
      </c>
      <c r="AR99" s="42">
        <f>AV52</f>
        <v>4.1262588720000002</v>
      </c>
      <c r="AS99" s="42">
        <f>AW52</f>
        <v>724.79482563600004</v>
      </c>
      <c r="AT99" s="26"/>
      <c r="AU99" s="42">
        <f>V52*$F$17</f>
        <v>0</v>
      </c>
      <c r="AV99" s="42">
        <f>V52*$F$18</f>
        <v>0</v>
      </c>
      <c r="AW99" s="26"/>
      <c r="AX99" s="22"/>
      <c r="AY99" s="25"/>
      <c r="AZ99" s="14"/>
    </row>
    <row r="100" spans="1:52">
      <c r="A100" s="127" t="s">
        <v>191</v>
      </c>
      <c r="B100" s="127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6"/>
      <c r="AU100" s="53"/>
      <c r="AV100" s="53"/>
      <c r="AW100" s="26"/>
      <c r="AX100" s="26"/>
      <c r="AY100" s="25"/>
      <c r="AZ100" s="22"/>
    </row>
    <row r="101" spans="1:52">
      <c r="A101" s="126" t="str">
        <f>A53</f>
        <v>OSOURCEPRI</v>
      </c>
      <c r="B101" s="126"/>
      <c r="C101" s="42">
        <f t="shared" ref="C101:R101" si="11">B53</f>
        <v>0</v>
      </c>
      <c r="D101" s="42">
        <f t="shared" si="11"/>
        <v>0</v>
      </c>
      <c r="E101" s="42">
        <f t="shared" si="11"/>
        <v>0</v>
      </c>
      <c r="F101" s="42">
        <f t="shared" si="11"/>
        <v>0</v>
      </c>
      <c r="G101" s="42">
        <f t="shared" si="11"/>
        <v>0</v>
      </c>
      <c r="H101" s="42">
        <f t="shared" si="11"/>
        <v>0</v>
      </c>
      <c r="I101" s="42">
        <f t="shared" si="11"/>
        <v>0</v>
      </c>
      <c r="J101" s="42">
        <f t="shared" si="11"/>
        <v>0</v>
      </c>
      <c r="K101" s="42">
        <f t="shared" si="11"/>
        <v>0</v>
      </c>
      <c r="L101" s="42">
        <f t="shared" si="11"/>
        <v>0</v>
      </c>
      <c r="M101" s="42">
        <f t="shared" si="11"/>
        <v>0</v>
      </c>
      <c r="N101" s="42">
        <f t="shared" si="11"/>
        <v>0</v>
      </c>
      <c r="O101" s="42">
        <f t="shared" ref="O101:P105" si="12">N53</f>
        <v>0</v>
      </c>
      <c r="P101" s="42">
        <f t="shared" si="12"/>
        <v>0</v>
      </c>
      <c r="Q101" s="42">
        <f t="shared" si="11"/>
        <v>0</v>
      </c>
      <c r="R101" s="42">
        <f t="shared" si="11"/>
        <v>0</v>
      </c>
      <c r="S101" s="42">
        <f>R53*$C$8*$F$14</f>
        <v>0</v>
      </c>
      <c r="T101" s="42">
        <f>R53*$C$9*$F$14</f>
        <v>0</v>
      </c>
      <c r="U101" s="42">
        <f t="shared" ref="U101:U107" si="13">S101+T101</f>
        <v>0</v>
      </c>
      <c r="V101" s="42">
        <f t="shared" ref="V101:X105" si="14">S53</f>
        <v>0</v>
      </c>
      <c r="W101" s="42">
        <f t="shared" si="14"/>
        <v>0</v>
      </c>
      <c r="X101" s="42">
        <f t="shared" si="14"/>
        <v>0</v>
      </c>
      <c r="Y101" s="42">
        <f>V53-AV101-AU101</f>
        <v>0</v>
      </c>
      <c r="Z101" s="42">
        <f t="shared" ref="Z101:AI105" si="15">W53</f>
        <v>0</v>
      </c>
      <c r="AA101" s="42">
        <f t="shared" si="15"/>
        <v>0</v>
      </c>
      <c r="AB101" s="42">
        <f t="shared" si="15"/>
        <v>0</v>
      </c>
      <c r="AC101" s="42">
        <f t="shared" si="15"/>
        <v>0</v>
      </c>
      <c r="AD101" s="42">
        <f t="shared" si="15"/>
        <v>0</v>
      </c>
      <c r="AE101" s="42">
        <f t="shared" si="15"/>
        <v>0</v>
      </c>
      <c r="AF101" s="42">
        <f t="shared" si="15"/>
        <v>0</v>
      </c>
      <c r="AG101" s="42">
        <f t="shared" si="15"/>
        <v>0</v>
      </c>
      <c r="AH101" s="42">
        <f t="shared" si="15"/>
        <v>0</v>
      </c>
      <c r="AI101" s="42">
        <f t="shared" si="15"/>
        <v>0</v>
      </c>
      <c r="AJ101" s="42">
        <f t="shared" ref="AJ101:AP105" si="16">AG53</f>
        <v>0</v>
      </c>
      <c r="AK101" s="42">
        <f t="shared" si="16"/>
        <v>0</v>
      </c>
      <c r="AL101" s="42">
        <f t="shared" si="16"/>
        <v>0</v>
      </c>
      <c r="AM101" s="42">
        <f t="shared" si="16"/>
        <v>0</v>
      </c>
      <c r="AN101" s="42">
        <f t="shared" si="16"/>
        <v>0</v>
      </c>
      <c r="AO101" s="42">
        <f t="shared" si="16"/>
        <v>0</v>
      </c>
      <c r="AP101" s="42">
        <f t="shared" si="16"/>
        <v>0</v>
      </c>
      <c r="AQ101" s="42">
        <f t="shared" ref="AQ101:AS105" si="17">AU53</f>
        <v>0</v>
      </c>
      <c r="AR101" s="42">
        <f t="shared" si="17"/>
        <v>0</v>
      </c>
      <c r="AS101" s="42">
        <f t="shared" si="17"/>
        <v>0</v>
      </c>
      <c r="AT101" s="26"/>
      <c r="AU101" s="42">
        <f>V53*$F$17</f>
        <v>0</v>
      </c>
      <c r="AV101" s="42">
        <f>V53*$F$18</f>
        <v>0</v>
      </c>
      <c r="AW101" s="26"/>
      <c r="AX101" s="26"/>
      <c r="AY101" s="25"/>
      <c r="AZ101" s="22"/>
    </row>
    <row r="102" spans="1:52">
      <c r="A102" s="126" t="str">
        <f>A54</f>
        <v>IMPORTS</v>
      </c>
      <c r="B102" s="126"/>
      <c r="C102" s="42">
        <f t="shared" ref="C102:R102" si="18">B54</f>
        <v>154.15621754400001</v>
      </c>
      <c r="D102" s="42">
        <f t="shared" si="18"/>
        <v>7.1384940000000008E-2</v>
      </c>
      <c r="E102" s="42">
        <f t="shared" si="18"/>
        <v>12.921302160000002</v>
      </c>
      <c r="F102" s="42">
        <f t="shared" si="18"/>
        <v>0</v>
      </c>
      <c r="G102" s="42">
        <f t="shared" si="18"/>
        <v>0</v>
      </c>
      <c r="H102" s="42">
        <f t="shared" si="18"/>
        <v>0</v>
      </c>
      <c r="I102" s="42">
        <f t="shared" si="18"/>
        <v>0</v>
      </c>
      <c r="J102" s="42">
        <f t="shared" si="18"/>
        <v>0</v>
      </c>
      <c r="K102" s="42">
        <f t="shared" si="18"/>
        <v>0</v>
      </c>
      <c r="L102" s="42">
        <f t="shared" si="18"/>
        <v>2.3575452120000002</v>
      </c>
      <c r="M102" s="42">
        <f t="shared" si="18"/>
        <v>0</v>
      </c>
      <c r="N102" s="42">
        <f t="shared" si="18"/>
        <v>0</v>
      </c>
      <c r="O102" s="42">
        <f t="shared" si="12"/>
        <v>0</v>
      </c>
      <c r="P102" s="42">
        <f t="shared" si="12"/>
        <v>5.0029329240000004</v>
      </c>
      <c r="Q102" s="42">
        <f t="shared" si="18"/>
        <v>0</v>
      </c>
      <c r="R102" s="42">
        <f t="shared" si="18"/>
        <v>160.62218586</v>
      </c>
      <c r="S102" s="42">
        <f>R54*$C$8*$F$14</f>
        <v>0</v>
      </c>
      <c r="T102" s="42">
        <f>R54*$C$9*$F$14</f>
        <v>456.54031130400006</v>
      </c>
      <c r="U102" s="42">
        <f t="shared" si="13"/>
        <v>456.54031130400006</v>
      </c>
      <c r="V102" s="42">
        <f t="shared" si="14"/>
        <v>19.985899140000001</v>
      </c>
      <c r="W102" s="42">
        <f t="shared" si="14"/>
        <v>0</v>
      </c>
      <c r="X102" s="42">
        <f t="shared" si="14"/>
        <v>0.22608720000000002</v>
      </c>
      <c r="Y102" s="42">
        <f>V54-AV102-AU102</f>
        <v>0</v>
      </c>
      <c r="Z102" s="42">
        <f t="shared" si="15"/>
        <v>0</v>
      </c>
      <c r="AA102" s="42">
        <f t="shared" si="15"/>
        <v>0</v>
      </c>
      <c r="AB102" s="42">
        <f t="shared" si="15"/>
        <v>11.776003020000001</v>
      </c>
      <c r="AC102" s="42">
        <f t="shared" si="15"/>
        <v>0.74801368800000001</v>
      </c>
      <c r="AD102" s="42">
        <f t="shared" si="15"/>
        <v>0.39598754400000002</v>
      </c>
      <c r="AE102" s="42">
        <f t="shared" si="15"/>
        <v>0</v>
      </c>
      <c r="AF102" s="42">
        <f t="shared" si="15"/>
        <v>4.8159923040000008</v>
      </c>
      <c r="AG102" s="42">
        <f t="shared" si="15"/>
        <v>28.466011332000001</v>
      </c>
      <c r="AH102" s="42">
        <f t="shared" si="15"/>
        <v>77.915385036000004</v>
      </c>
      <c r="AI102" s="42">
        <f t="shared" si="15"/>
        <v>28.919986055999999</v>
      </c>
      <c r="AJ102" s="42">
        <f t="shared" si="16"/>
        <v>19.272007872</v>
      </c>
      <c r="AK102" s="42">
        <f t="shared" si="16"/>
        <v>8.7211044000000015E-2</v>
      </c>
      <c r="AL102" s="42">
        <f t="shared" si="16"/>
        <v>6.5100134520000008</v>
      </c>
      <c r="AM102" s="42">
        <f t="shared" si="16"/>
        <v>4.602004956</v>
      </c>
      <c r="AN102" s="42">
        <f t="shared" si="16"/>
        <v>0.11999368800000002</v>
      </c>
      <c r="AO102" s="42">
        <f t="shared" si="16"/>
        <v>3.23200026</v>
      </c>
      <c r="AP102" s="42">
        <f t="shared" si="16"/>
        <v>15.759994428000001</v>
      </c>
      <c r="AQ102" s="42">
        <f t="shared" si="17"/>
        <v>56.598585912000004</v>
      </c>
      <c r="AR102" s="42">
        <f t="shared" si="17"/>
        <v>0</v>
      </c>
      <c r="AS102" s="42">
        <f t="shared" si="17"/>
        <v>1071.103056876</v>
      </c>
      <c r="AT102" s="26"/>
      <c r="AU102" s="42">
        <f>V54*$F$17</f>
        <v>0</v>
      </c>
      <c r="AV102" s="42">
        <f>V54*$F$18</f>
        <v>0</v>
      </c>
      <c r="AW102" s="26"/>
      <c r="AX102" s="26"/>
      <c r="AY102" s="25"/>
      <c r="AZ102" s="22"/>
    </row>
    <row r="103" spans="1:52">
      <c r="A103" s="126" t="str">
        <f>A55</f>
        <v>EXPORTS</v>
      </c>
      <c r="B103" s="126"/>
      <c r="C103" s="42">
        <f t="shared" ref="C103:R103" si="19">B55</f>
        <v>0</v>
      </c>
      <c r="D103" s="42">
        <f t="shared" si="19"/>
        <v>-0.17324978400000002</v>
      </c>
      <c r="E103" s="42">
        <f t="shared" si="19"/>
        <v>-0.146496132</v>
      </c>
      <c r="F103" s="42">
        <f t="shared" si="19"/>
        <v>0</v>
      </c>
      <c r="G103" s="42">
        <f t="shared" si="19"/>
        <v>0</v>
      </c>
      <c r="H103" s="42">
        <f t="shared" si="19"/>
        <v>0</v>
      </c>
      <c r="I103" s="42">
        <f t="shared" si="19"/>
        <v>0</v>
      </c>
      <c r="J103" s="42">
        <f t="shared" si="19"/>
        <v>0</v>
      </c>
      <c r="K103" s="42">
        <f t="shared" si="19"/>
        <v>0</v>
      </c>
      <c r="L103" s="42">
        <f t="shared" si="19"/>
        <v>-3.3713369640000002</v>
      </c>
      <c r="M103" s="42">
        <f t="shared" si="19"/>
        <v>0</v>
      </c>
      <c r="N103" s="42">
        <f t="shared" si="19"/>
        <v>0</v>
      </c>
      <c r="O103" s="42">
        <f t="shared" si="12"/>
        <v>0</v>
      </c>
      <c r="P103" s="42">
        <f t="shared" si="12"/>
        <v>-6.292802268</v>
      </c>
      <c r="Q103" s="42">
        <f t="shared" si="19"/>
        <v>0</v>
      </c>
      <c r="R103" s="42">
        <f t="shared" si="19"/>
        <v>0</v>
      </c>
      <c r="S103" s="42">
        <f>R55*$C$8*$F$14</f>
        <v>0</v>
      </c>
      <c r="T103" s="42">
        <f>R55*$C$9*$F$14</f>
        <v>0</v>
      </c>
      <c r="U103" s="42">
        <f t="shared" si="13"/>
        <v>0</v>
      </c>
      <c r="V103" s="42">
        <f t="shared" si="14"/>
        <v>0</v>
      </c>
      <c r="W103" s="42">
        <f t="shared" si="14"/>
        <v>0</v>
      </c>
      <c r="X103" s="42">
        <f t="shared" si="14"/>
        <v>-0.22608720000000002</v>
      </c>
      <c r="Y103" s="42">
        <f>V55-AV103-AU103</f>
        <v>0</v>
      </c>
      <c r="Z103" s="42">
        <f t="shared" si="15"/>
        <v>0</v>
      </c>
      <c r="AA103" s="42">
        <f t="shared" si="15"/>
        <v>0</v>
      </c>
      <c r="AB103" s="42">
        <f t="shared" si="15"/>
        <v>-0.22998092400000003</v>
      </c>
      <c r="AC103" s="42">
        <f t="shared" si="15"/>
        <v>-102.563997732</v>
      </c>
      <c r="AD103" s="42">
        <f t="shared" si="15"/>
        <v>-0.26401960800000002</v>
      </c>
      <c r="AE103" s="42">
        <f t="shared" si="15"/>
        <v>0</v>
      </c>
      <c r="AF103" s="42">
        <f t="shared" si="15"/>
        <v>0</v>
      </c>
      <c r="AG103" s="42">
        <f t="shared" si="15"/>
        <v>-3.6549926640000003</v>
      </c>
      <c r="AH103" s="42">
        <f t="shared" si="15"/>
        <v>-124.05119961600001</v>
      </c>
      <c r="AI103" s="42">
        <f t="shared" si="15"/>
        <v>-28.159998120000004</v>
      </c>
      <c r="AJ103" s="42">
        <f t="shared" si="16"/>
        <v>0</v>
      </c>
      <c r="AK103" s="42">
        <f t="shared" si="16"/>
        <v>-6.9324197040000008</v>
      </c>
      <c r="AL103" s="42">
        <f t="shared" si="16"/>
        <v>-16.674014736</v>
      </c>
      <c r="AM103" s="42">
        <f t="shared" si="16"/>
        <v>-3.0809823839999999</v>
      </c>
      <c r="AN103" s="42">
        <f t="shared" si="16"/>
        <v>0</v>
      </c>
      <c r="AO103" s="42">
        <f t="shared" si="16"/>
        <v>0</v>
      </c>
      <c r="AP103" s="42">
        <f t="shared" si="16"/>
        <v>-1.5600016800000001</v>
      </c>
      <c r="AQ103" s="42">
        <f t="shared" si="17"/>
        <v>-18.788181264000002</v>
      </c>
      <c r="AR103" s="42">
        <f t="shared" si="17"/>
        <v>0</v>
      </c>
      <c r="AS103" s="42">
        <f t="shared" si="17"/>
        <v>-316.16976078000005</v>
      </c>
      <c r="AT103" s="26"/>
      <c r="AU103" s="42">
        <f>V55*$F$17</f>
        <v>0</v>
      </c>
      <c r="AV103" s="42">
        <f>V55*$F$18</f>
        <v>0</v>
      </c>
      <c r="AW103" s="26"/>
      <c r="AX103" s="26"/>
      <c r="AY103" s="25"/>
      <c r="AZ103" s="22"/>
    </row>
    <row r="104" spans="1:52">
      <c r="A104" s="126" t="str">
        <f>A56</f>
        <v>BUNKERS</v>
      </c>
      <c r="B104" s="126"/>
      <c r="C104" s="42">
        <f t="shared" ref="C104:R104" si="20">B56</f>
        <v>0</v>
      </c>
      <c r="D104" s="42">
        <f t="shared" si="20"/>
        <v>0</v>
      </c>
      <c r="E104" s="42">
        <f t="shared" si="20"/>
        <v>0</v>
      </c>
      <c r="F104" s="42">
        <f t="shared" si="20"/>
        <v>0</v>
      </c>
      <c r="G104" s="42">
        <f t="shared" si="20"/>
        <v>0</v>
      </c>
      <c r="H104" s="42">
        <f t="shared" si="20"/>
        <v>0</v>
      </c>
      <c r="I104" s="42">
        <f t="shared" si="20"/>
        <v>0</v>
      </c>
      <c r="J104" s="42">
        <f t="shared" si="20"/>
        <v>0</v>
      </c>
      <c r="K104" s="42">
        <f t="shared" si="20"/>
        <v>0</v>
      </c>
      <c r="L104" s="42">
        <f t="shared" si="20"/>
        <v>0</v>
      </c>
      <c r="M104" s="42">
        <f t="shared" si="20"/>
        <v>0</v>
      </c>
      <c r="N104" s="42">
        <f t="shared" si="20"/>
        <v>0</v>
      </c>
      <c r="O104" s="42">
        <f t="shared" si="12"/>
        <v>0</v>
      </c>
      <c r="P104" s="42">
        <f t="shared" si="12"/>
        <v>0</v>
      </c>
      <c r="Q104" s="42">
        <f t="shared" si="20"/>
        <v>0</v>
      </c>
      <c r="R104" s="42">
        <f t="shared" si="20"/>
        <v>0</v>
      </c>
      <c r="S104" s="42">
        <f>R56*$C$8*$F$14</f>
        <v>0</v>
      </c>
      <c r="T104" s="42">
        <f>R56*$C$9*$F$14</f>
        <v>0</v>
      </c>
      <c r="U104" s="42">
        <f t="shared" si="13"/>
        <v>0</v>
      </c>
      <c r="V104" s="42">
        <f t="shared" si="14"/>
        <v>0</v>
      </c>
      <c r="W104" s="42">
        <f t="shared" si="14"/>
        <v>0</v>
      </c>
      <c r="X104" s="42">
        <f t="shared" si="14"/>
        <v>0</v>
      </c>
      <c r="Y104" s="42">
        <f>V56-AV104-AU104</f>
        <v>0</v>
      </c>
      <c r="Z104" s="42">
        <f t="shared" si="15"/>
        <v>0</v>
      </c>
      <c r="AA104" s="42">
        <f t="shared" si="15"/>
        <v>0</v>
      </c>
      <c r="AB104" s="42">
        <f t="shared" si="15"/>
        <v>0</v>
      </c>
      <c r="AC104" s="42">
        <f t="shared" si="15"/>
        <v>0</v>
      </c>
      <c r="AD104" s="42">
        <f t="shared" si="15"/>
        <v>0</v>
      </c>
      <c r="AE104" s="42">
        <f t="shared" si="15"/>
        <v>0</v>
      </c>
      <c r="AF104" s="42">
        <f t="shared" si="15"/>
        <v>0</v>
      </c>
      <c r="AG104" s="42">
        <f t="shared" si="15"/>
        <v>0</v>
      </c>
      <c r="AH104" s="42">
        <f t="shared" si="15"/>
        <v>-2.6837806680000003</v>
      </c>
      <c r="AI104" s="42">
        <f t="shared" si="15"/>
        <v>-6.0799872239999999</v>
      </c>
      <c r="AJ104" s="42">
        <f t="shared" si="16"/>
        <v>0</v>
      </c>
      <c r="AK104" s="42">
        <f t="shared" si="16"/>
        <v>0</v>
      </c>
      <c r="AL104" s="42">
        <f t="shared" si="16"/>
        <v>0</v>
      </c>
      <c r="AM104" s="42">
        <f t="shared" si="16"/>
        <v>0</v>
      </c>
      <c r="AN104" s="42">
        <f t="shared" si="16"/>
        <v>0</v>
      </c>
      <c r="AO104" s="42">
        <f t="shared" si="16"/>
        <v>0</v>
      </c>
      <c r="AP104" s="42">
        <f t="shared" si="16"/>
        <v>0</v>
      </c>
      <c r="AQ104" s="42">
        <f t="shared" si="17"/>
        <v>0</v>
      </c>
      <c r="AR104" s="42">
        <f t="shared" si="17"/>
        <v>0</v>
      </c>
      <c r="AS104" s="42">
        <f t="shared" si="17"/>
        <v>-8.7637678920000006</v>
      </c>
      <c r="AT104" s="26"/>
      <c r="AU104" s="42">
        <f>V56*$F$17</f>
        <v>0</v>
      </c>
      <c r="AV104" s="42">
        <f>V56*$F$18</f>
        <v>0</v>
      </c>
      <c r="AW104" s="26"/>
      <c r="AX104" s="26"/>
      <c r="AY104" s="26"/>
      <c r="AZ104" s="22"/>
    </row>
    <row r="105" spans="1:52">
      <c r="A105" s="126" t="str">
        <f>A57</f>
        <v>STOCKCHA</v>
      </c>
      <c r="B105" s="126"/>
      <c r="C105" s="42">
        <f t="shared" ref="C105:R105" si="21">B57</f>
        <v>26.145644904000001</v>
      </c>
      <c r="D105" s="42">
        <f t="shared" si="21"/>
        <v>19.503663516</v>
      </c>
      <c r="E105" s="42">
        <f t="shared" si="21"/>
        <v>0.20511133200000001</v>
      </c>
      <c r="F105" s="42">
        <f t="shared" si="21"/>
        <v>0</v>
      </c>
      <c r="G105" s="42">
        <f t="shared" si="21"/>
        <v>0</v>
      </c>
      <c r="H105" s="42">
        <f t="shared" si="21"/>
        <v>0</v>
      </c>
      <c r="I105" s="42">
        <f t="shared" si="21"/>
        <v>0</v>
      </c>
      <c r="J105" s="42">
        <f t="shared" si="21"/>
        <v>0</v>
      </c>
      <c r="K105" s="42">
        <f t="shared" si="21"/>
        <v>0</v>
      </c>
      <c r="L105" s="42">
        <f t="shared" si="21"/>
        <v>0</v>
      </c>
      <c r="M105" s="42">
        <f t="shared" si="21"/>
        <v>0</v>
      </c>
      <c r="N105" s="42">
        <f t="shared" si="21"/>
        <v>0</v>
      </c>
      <c r="O105" s="42">
        <f t="shared" si="12"/>
        <v>0</v>
      </c>
      <c r="P105" s="42">
        <f t="shared" si="12"/>
        <v>0</v>
      </c>
      <c r="Q105" s="42">
        <f t="shared" si="21"/>
        <v>0</v>
      </c>
      <c r="R105" s="42">
        <f t="shared" si="21"/>
        <v>0</v>
      </c>
      <c r="S105" s="42">
        <f>R57*$C$8*$F$14</f>
        <v>0</v>
      </c>
      <c r="T105" s="42">
        <f>R57*$C$9*$F$14</f>
        <v>-5.0867945280000004</v>
      </c>
      <c r="U105" s="42">
        <f t="shared" si="13"/>
        <v>-5.0867945280000004</v>
      </c>
      <c r="V105" s="42">
        <f t="shared" si="14"/>
        <v>0</v>
      </c>
      <c r="W105" s="42">
        <f t="shared" si="14"/>
        <v>-0.50995224000000006</v>
      </c>
      <c r="X105" s="42">
        <f t="shared" si="14"/>
        <v>0</v>
      </c>
      <c r="Y105" s="42">
        <f>V57-AV105-AU105</f>
        <v>0</v>
      </c>
      <c r="Z105" s="42">
        <f t="shared" si="15"/>
        <v>0</v>
      </c>
      <c r="AA105" s="42">
        <f t="shared" si="15"/>
        <v>0</v>
      </c>
      <c r="AB105" s="42">
        <f t="shared" si="15"/>
        <v>0.64401357599999998</v>
      </c>
      <c r="AC105" s="42">
        <f t="shared" si="15"/>
        <v>9.1960131240000003</v>
      </c>
      <c r="AD105" s="42">
        <f t="shared" si="15"/>
        <v>4.4003267999999998E-2</v>
      </c>
      <c r="AE105" s="42">
        <f t="shared" si="15"/>
        <v>0</v>
      </c>
      <c r="AF105" s="42">
        <f t="shared" si="15"/>
        <v>1.16099964</v>
      </c>
      <c r="AG105" s="42">
        <f t="shared" si="15"/>
        <v>0</v>
      </c>
      <c r="AH105" s="42">
        <f t="shared" si="15"/>
        <v>23.046617412</v>
      </c>
      <c r="AI105" s="42">
        <f t="shared" si="15"/>
        <v>1.0000171800000002</v>
      </c>
      <c r="AJ105" s="42">
        <f t="shared" si="16"/>
        <v>0.22001634</v>
      </c>
      <c r="AK105" s="42">
        <f t="shared" si="16"/>
        <v>0</v>
      </c>
      <c r="AL105" s="42">
        <f t="shared" si="16"/>
        <v>0</v>
      </c>
      <c r="AM105" s="42">
        <f t="shared" si="16"/>
        <v>0</v>
      </c>
      <c r="AN105" s="42">
        <f t="shared" si="16"/>
        <v>0</v>
      </c>
      <c r="AO105" s="42">
        <f t="shared" si="16"/>
        <v>0</v>
      </c>
      <c r="AP105" s="42">
        <f t="shared" si="16"/>
        <v>0</v>
      </c>
      <c r="AQ105" s="42">
        <f t="shared" si="17"/>
        <v>0</v>
      </c>
      <c r="AR105" s="42">
        <f t="shared" si="17"/>
        <v>0</v>
      </c>
      <c r="AS105" s="42">
        <f t="shared" si="17"/>
        <v>75.569353524000007</v>
      </c>
      <c r="AT105" s="26"/>
      <c r="AU105" s="42">
        <f>V57*$F$17</f>
        <v>0</v>
      </c>
      <c r="AV105" s="42">
        <f>V57*$F$18</f>
        <v>0</v>
      </c>
      <c r="AW105" s="26"/>
      <c r="AX105" s="26"/>
      <c r="AY105" s="26"/>
      <c r="AZ105" s="22"/>
    </row>
    <row r="106" spans="1:52">
      <c r="A106" s="126" t="str">
        <f>A59</f>
        <v>TRANSFER</v>
      </c>
      <c r="B106" s="126"/>
      <c r="C106" s="42">
        <f t="shared" ref="C106:R106" si="22">B59</f>
        <v>0</v>
      </c>
      <c r="D106" s="42">
        <f t="shared" si="22"/>
        <v>0</v>
      </c>
      <c r="E106" s="42">
        <f t="shared" si="22"/>
        <v>0</v>
      </c>
      <c r="F106" s="42">
        <f t="shared" si="22"/>
        <v>0</v>
      </c>
      <c r="G106" s="42">
        <f t="shared" si="22"/>
        <v>0</v>
      </c>
      <c r="H106" s="42">
        <f t="shared" si="22"/>
        <v>0</v>
      </c>
      <c r="I106" s="42">
        <f t="shared" si="22"/>
        <v>0</v>
      </c>
      <c r="J106" s="42">
        <f t="shared" si="22"/>
        <v>0</v>
      </c>
      <c r="K106" s="42">
        <f t="shared" si="22"/>
        <v>0</v>
      </c>
      <c r="L106" s="42">
        <f t="shared" si="22"/>
        <v>0</v>
      </c>
      <c r="M106" s="42">
        <f t="shared" si="22"/>
        <v>0</v>
      </c>
      <c r="N106" s="42">
        <f t="shared" si="22"/>
        <v>0</v>
      </c>
      <c r="O106" s="42">
        <f>N59</f>
        <v>0</v>
      </c>
      <c r="P106" s="42">
        <f>O59</f>
        <v>0</v>
      </c>
      <c r="Q106" s="42">
        <f t="shared" si="22"/>
        <v>0</v>
      </c>
      <c r="R106" s="42">
        <f t="shared" si="22"/>
        <v>0</v>
      </c>
      <c r="S106" s="42">
        <f>R59*$C$8*$F$14</f>
        <v>0</v>
      </c>
      <c r="T106" s="42">
        <f>R59*$C$9*F$14</f>
        <v>0</v>
      </c>
      <c r="U106" s="42">
        <f t="shared" si="13"/>
        <v>0</v>
      </c>
      <c r="V106" s="42">
        <f t="shared" ref="V106:AE107" si="23">S59</f>
        <v>0</v>
      </c>
      <c r="W106" s="42">
        <f t="shared" si="23"/>
        <v>110.02215391199999</v>
      </c>
      <c r="X106" s="42">
        <f t="shared" si="23"/>
        <v>-6.3556042679999996</v>
      </c>
      <c r="Y106" s="42">
        <f>V59-AV106-AU106</f>
        <v>0</v>
      </c>
      <c r="Z106" s="42">
        <f t="shared" si="23"/>
        <v>11.929491108000001</v>
      </c>
      <c r="AA106" s="42">
        <f t="shared" si="23"/>
        <v>0</v>
      </c>
      <c r="AB106" s="42">
        <f t="shared" si="23"/>
        <v>-3.7260007920000002</v>
      </c>
      <c r="AC106" s="42">
        <f t="shared" si="23"/>
        <v>-0.17601307199999999</v>
      </c>
      <c r="AD106" s="42">
        <f t="shared" si="23"/>
        <v>0</v>
      </c>
      <c r="AE106" s="42">
        <f t="shared" si="23"/>
        <v>0</v>
      </c>
      <c r="AF106" s="42">
        <f t="shared" ref="AF106:AO107" si="24">AC59</f>
        <v>0</v>
      </c>
      <c r="AG106" s="42">
        <f t="shared" si="24"/>
        <v>-23.133995928000004</v>
      </c>
      <c r="AH106" s="42">
        <f t="shared" si="24"/>
        <v>-62.494186464000002</v>
      </c>
      <c r="AI106" s="42">
        <f t="shared" si="24"/>
        <v>-14.439980124</v>
      </c>
      <c r="AJ106" s="42">
        <f t="shared" si="24"/>
        <v>-6.0719904360000001</v>
      </c>
      <c r="AK106" s="42">
        <f t="shared" si="24"/>
        <v>0</v>
      </c>
      <c r="AL106" s="42">
        <f t="shared" si="24"/>
        <v>0</v>
      </c>
      <c r="AM106" s="42">
        <f t="shared" si="24"/>
        <v>0</v>
      </c>
      <c r="AN106" s="42">
        <f t="shared" si="24"/>
        <v>0</v>
      </c>
      <c r="AO106" s="42">
        <f t="shared" si="24"/>
        <v>0</v>
      </c>
      <c r="AP106" s="42">
        <f>AM59</f>
        <v>1.200020616</v>
      </c>
      <c r="AQ106" s="42">
        <f t="shared" ref="AQ106:AS107" si="25">AU59</f>
        <v>0</v>
      </c>
      <c r="AR106" s="42">
        <f t="shared" si="25"/>
        <v>0</v>
      </c>
      <c r="AS106" s="42">
        <f t="shared" si="25"/>
        <v>6.7538945520000002</v>
      </c>
      <c r="AT106" s="26"/>
      <c r="AU106" s="42">
        <f>V59*$F$17</f>
        <v>0</v>
      </c>
      <c r="AV106" s="42">
        <f>V59*$F$18</f>
        <v>0</v>
      </c>
      <c r="AW106" s="26"/>
      <c r="AX106" s="26"/>
      <c r="AY106" s="26"/>
      <c r="AZ106" s="22"/>
    </row>
    <row r="107" spans="1:52">
      <c r="A107" s="126" t="str">
        <f>A60</f>
        <v>STATDIFF</v>
      </c>
      <c r="B107" s="126"/>
      <c r="C107" s="42">
        <f t="shared" ref="C107:R107" si="26">B60</f>
        <v>-0.48047716800000007</v>
      </c>
      <c r="D107" s="42">
        <f t="shared" si="26"/>
        <v>-0.68784937199999996</v>
      </c>
      <c r="E107" s="42">
        <f t="shared" si="26"/>
        <v>5.4009720000000004E-3</v>
      </c>
      <c r="F107" s="42">
        <f t="shared" si="26"/>
        <v>0</v>
      </c>
      <c r="G107" s="42">
        <f t="shared" si="26"/>
        <v>0</v>
      </c>
      <c r="H107" s="42">
        <f t="shared" si="26"/>
        <v>0</v>
      </c>
      <c r="I107" s="42">
        <f t="shared" si="26"/>
        <v>0</v>
      </c>
      <c r="J107" s="42">
        <f t="shared" si="26"/>
        <v>0</v>
      </c>
      <c r="K107" s="42">
        <f t="shared" si="26"/>
        <v>0</v>
      </c>
      <c r="L107" s="42">
        <f t="shared" si="26"/>
        <v>0</v>
      </c>
      <c r="M107" s="42">
        <f t="shared" si="26"/>
        <v>0</v>
      </c>
      <c r="N107" s="42">
        <f t="shared" si="26"/>
        <v>0</v>
      </c>
      <c r="O107" s="42">
        <f>N60</f>
        <v>0</v>
      </c>
      <c r="P107" s="42">
        <f>O60</f>
        <v>-1.9503789120000004</v>
      </c>
      <c r="Q107" s="42">
        <f t="shared" si="26"/>
        <v>0</v>
      </c>
      <c r="R107" s="42">
        <f t="shared" si="26"/>
        <v>-0.10797757200000001</v>
      </c>
      <c r="S107" s="42">
        <f>R60*$C$8*$F$14</f>
        <v>0</v>
      </c>
      <c r="T107" s="42">
        <f>R60*$C$9*$F$14</f>
        <v>-5.8922092440000009</v>
      </c>
      <c r="U107" s="42">
        <f t="shared" si="13"/>
        <v>-5.8922092440000009</v>
      </c>
      <c r="V107" s="42">
        <f t="shared" si="23"/>
        <v>11.213799516</v>
      </c>
      <c r="W107" s="42">
        <f t="shared" si="23"/>
        <v>0.50995224000000006</v>
      </c>
      <c r="X107" s="42">
        <f t="shared" si="23"/>
        <v>6.3556042679999996</v>
      </c>
      <c r="Y107" s="42">
        <f>V60-AV107-AU107</f>
        <v>0</v>
      </c>
      <c r="Z107" s="42">
        <f t="shared" si="23"/>
        <v>-0.49500536400000006</v>
      </c>
      <c r="AA107" s="42">
        <f t="shared" si="23"/>
        <v>0</v>
      </c>
      <c r="AB107" s="42">
        <f t="shared" si="23"/>
        <v>-0.92000743200000001</v>
      </c>
      <c r="AC107" s="42">
        <f t="shared" si="23"/>
        <v>-9.2840196600000002</v>
      </c>
      <c r="AD107" s="42">
        <f t="shared" si="23"/>
        <v>-8.8006535999999996E-2</v>
      </c>
      <c r="AE107" s="42">
        <f t="shared" si="23"/>
        <v>0</v>
      </c>
      <c r="AF107" s="42">
        <f t="shared" si="24"/>
        <v>-3.9559817160000001</v>
      </c>
      <c r="AG107" s="42">
        <f t="shared" si="24"/>
        <v>-1.6769808720000001</v>
      </c>
      <c r="AH107" s="42">
        <f t="shared" si="24"/>
        <v>-5.3249815800000002</v>
      </c>
      <c r="AI107" s="42">
        <f t="shared" si="24"/>
        <v>21.640020084000003</v>
      </c>
      <c r="AJ107" s="42">
        <f t="shared" si="24"/>
        <v>-5.9399806320000001</v>
      </c>
      <c r="AK107" s="42">
        <f t="shared" si="24"/>
        <v>1.9620182160000001</v>
      </c>
      <c r="AL107" s="42">
        <f t="shared" si="24"/>
        <v>2.6039802600000002</v>
      </c>
      <c r="AM107" s="42">
        <f t="shared" si="24"/>
        <v>-0.50697961200000008</v>
      </c>
      <c r="AN107" s="42">
        <f t="shared" si="24"/>
        <v>3.9983940000000003E-2</v>
      </c>
      <c r="AO107" s="42">
        <f t="shared" si="24"/>
        <v>-2.2399798679999998</v>
      </c>
      <c r="AP107" s="42">
        <f>AM60</f>
        <v>-11.560006008</v>
      </c>
      <c r="AQ107" s="42">
        <f t="shared" si="25"/>
        <v>0</v>
      </c>
      <c r="AR107" s="42">
        <f t="shared" si="25"/>
        <v>0</v>
      </c>
      <c r="AS107" s="42">
        <f t="shared" si="25"/>
        <v>-6.7760427239999999</v>
      </c>
      <c r="AT107" s="26"/>
      <c r="AU107" s="42">
        <f>V60*$F$17</f>
        <v>0</v>
      </c>
      <c r="AV107" s="42">
        <f>V60*$F$18</f>
        <v>0</v>
      </c>
      <c r="AW107" s="26"/>
      <c r="AX107" s="26"/>
      <c r="AY107" s="26"/>
      <c r="AZ107" s="22"/>
    </row>
    <row r="108" spans="1:52">
      <c r="A108" s="39"/>
      <c r="B108" s="3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2"/>
    </row>
    <row r="109" spans="1:52" ht="18.75" thickBot="1">
      <c r="A109" s="114" t="s">
        <v>192</v>
      </c>
      <c r="B109" s="115"/>
      <c r="C109" s="128" t="str">
        <f t="shared" ref="C109:N109" si="27">C97</f>
        <v>CONHCO</v>
      </c>
      <c r="D109" s="128" t="str">
        <f t="shared" si="27"/>
        <v>CONBCO</v>
      </c>
      <c r="E109" s="128" t="str">
        <f t="shared" si="27"/>
        <v>CONOVC</v>
      </c>
      <c r="F109" s="128" t="str">
        <f t="shared" si="27"/>
        <v>CONGSC</v>
      </c>
      <c r="G109" s="128" t="str">
        <f t="shared" si="27"/>
        <v>GANGWG</v>
      </c>
      <c r="H109" s="128" t="str">
        <f t="shared" si="27"/>
        <v>GANCOG</v>
      </c>
      <c r="I109" s="128" t="str">
        <f t="shared" si="27"/>
        <v>GANBFG</v>
      </c>
      <c r="J109" s="128" t="str">
        <f t="shared" si="27"/>
        <v>GANOXY</v>
      </c>
      <c r="K109" s="128" t="str">
        <f t="shared" si="27"/>
        <v>BIOCHR</v>
      </c>
      <c r="L109" s="128" t="str">
        <f t="shared" si="27"/>
        <v>BIOBSL</v>
      </c>
      <c r="M109" s="128" t="str">
        <f t="shared" si="27"/>
        <v>BIOBIN</v>
      </c>
      <c r="N109" s="128" t="str">
        <f t="shared" si="27"/>
        <v>BIOBMU</v>
      </c>
      <c r="O109" s="128" t="str">
        <f t="shared" ref="O109:AR109" si="28">O97</f>
        <v>BIOGAS</v>
      </c>
      <c r="P109" s="128" t="str">
        <f t="shared" si="28"/>
        <v>BIOLIQ</v>
      </c>
      <c r="Q109" s="128" t="str">
        <f t="shared" si="28"/>
        <v>BIOREN</v>
      </c>
      <c r="R109" s="128" t="str">
        <f t="shared" si="28"/>
        <v>GANNGA</v>
      </c>
      <c r="S109" s="128" t="str">
        <f t="shared" si="28"/>
        <v>OINCRL</v>
      </c>
      <c r="T109" s="128" t="str">
        <f t="shared" si="28"/>
        <v>OINCRH</v>
      </c>
      <c r="U109" s="128" t="str">
        <f t="shared" si="28"/>
        <v>OINCRD</v>
      </c>
      <c r="V109" s="128" t="str">
        <f t="shared" si="28"/>
        <v>OINNGL</v>
      </c>
      <c r="W109" s="128" t="str">
        <f t="shared" si="28"/>
        <v>OINFEE</v>
      </c>
      <c r="X109" s="128" t="str">
        <f t="shared" si="28"/>
        <v>OINADD</v>
      </c>
      <c r="Y109" s="128" t="str">
        <f t="shared" si="28"/>
        <v>OINNCR</v>
      </c>
      <c r="Z109" s="128" t="str">
        <f t="shared" si="28"/>
        <v>GANRFG</v>
      </c>
      <c r="AA109" s="128" t="str">
        <f t="shared" si="28"/>
        <v>GANETH</v>
      </c>
      <c r="AB109" s="128" t="str">
        <f t="shared" si="28"/>
        <v>OINLPG</v>
      </c>
      <c r="AC109" s="128" t="str">
        <f t="shared" si="28"/>
        <v>OINGSL</v>
      </c>
      <c r="AD109" s="128" t="str">
        <f t="shared" si="28"/>
        <v>OINAVG</v>
      </c>
      <c r="AE109" s="128" t="str">
        <f t="shared" si="28"/>
        <v>OINJTG</v>
      </c>
      <c r="AF109" s="128" t="str">
        <f t="shared" si="28"/>
        <v>OINJTK</v>
      </c>
      <c r="AG109" s="128" t="str">
        <f t="shared" si="28"/>
        <v>OINKER</v>
      </c>
      <c r="AH109" s="128" t="str">
        <f t="shared" si="28"/>
        <v>OINDST</v>
      </c>
      <c r="AI109" s="128" t="str">
        <f t="shared" si="28"/>
        <v>OINHFO</v>
      </c>
      <c r="AJ109" s="128" t="str">
        <f t="shared" si="28"/>
        <v>OINNAP</v>
      </c>
      <c r="AK109" s="128" t="str">
        <f t="shared" si="28"/>
        <v>OINWSP</v>
      </c>
      <c r="AL109" s="128" t="str">
        <f t="shared" si="28"/>
        <v>OINLUB</v>
      </c>
      <c r="AM109" s="128" t="str">
        <f t="shared" si="28"/>
        <v>OINASP</v>
      </c>
      <c r="AN109" s="128" t="str">
        <f t="shared" si="28"/>
        <v>OINWAX</v>
      </c>
      <c r="AO109" s="128" t="str">
        <f t="shared" si="28"/>
        <v>OINPTC</v>
      </c>
      <c r="AP109" s="128" t="str">
        <f t="shared" si="28"/>
        <v>OINNSP</v>
      </c>
      <c r="AQ109" s="128" t="str">
        <f t="shared" si="28"/>
        <v>ELCC</v>
      </c>
      <c r="AR109" s="128" t="str">
        <f t="shared" si="28"/>
        <v>HET</v>
      </c>
      <c r="AS109" s="128"/>
      <c r="AT109" s="123"/>
      <c r="AU109" s="123"/>
      <c r="AV109" s="123"/>
      <c r="AW109" s="123"/>
      <c r="AX109" s="123"/>
      <c r="AY109" s="123"/>
      <c r="AZ109" s="22"/>
    </row>
    <row r="110" spans="1:52">
      <c r="A110" s="129" t="str">
        <f>A94</f>
        <v>PIPELINE</v>
      </c>
      <c r="B110" s="130"/>
      <c r="C110" s="131">
        <f t="shared" ref="C110:R110" si="29">B94</f>
        <v>0</v>
      </c>
      <c r="D110" s="131">
        <f t="shared" si="29"/>
        <v>0</v>
      </c>
      <c r="E110" s="131">
        <f t="shared" si="29"/>
        <v>0</v>
      </c>
      <c r="F110" s="131">
        <f t="shared" si="29"/>
        <v>0</v>
      </c>
      <c r="G110" s="131">
        <f t="shared" si="29"/>
        <v>0</v>
      </c>
      <c r="H110" s="131">
        <f t="shared" si="29"/>
        <v>0</v>
      </c>
      <c r="I110" s="131">
        <f t="shared" si="29"/>
        <v>0</v>
      </c>
      <c r="J110" s="131">
        <f t="shared" si="29"/>
        <v>0</v>
      </c>
      <c r="K110" s="131">
        <f t="shared" si="29"/>
        <v>0</v>
      </c>
      <c r="L110" s="131">
        <f t="shared" si="29"/>
        <v>0</v>
      </c>
      <c r="M110" s="131">
        <f t="shared" si="29"/>
        <v>0</v>
      </c>
      <c r="N110" s="131">
        <f t="shared" si="29"/>
        <v>0</v>
      </c>
      <c r="O110" s="131">
        <f>N94</f>
        <v>0</v>
      </c>
      <c r="P110" s="131">
        <f>O94</f>
        <v>0</v>
      </c>
      <c r="Q110" s="131">
        <f t="shared" si="29"/>
        <v>0</v>
      </c>
      <c r="R110" s="131">
        <f t="shared" si="29"/>
        <v>0.39590380800000002</v>
      </c>
      <c r="S110" s="132">
        <f>R94*C8</f>
        <v>0</v>
      </c>
      <c r="T110" s="132">
        <f>R94*C9</f>
        <v>0</v>
      </c>
      <c r="U110" s="42">
        <f>S110+T110</f>
        <v>0</v>
      </c>
      <c r="V110" s="131">
        <f t="shared" ref="V110:AP110" si="30">S94</f>
        <v>0</v>
      </c>
      <c r="W110" s="131">
        <f t="shared" si="30"/>
        <v>0</v>
      </c>
      <c r="X110" s="131">
        <f t="shared" si="30"/>
        <v>0</v>
      </c>
      <c r="Y110" s="131">
        <f t="shared" si="30"/>
        <v>0</v>
      </c>
      <c r="Z110" s="131">
        <f t="shared" si="30"/>
        <v>0</v>
      </c>
      <c r="AA110" s="131">
        <f t="shared" si="30"/>
        <v>0</v>
      </c>
      <c r="AB110" s="131">
        <f t="shared" si="30"/>
        <v>0</v>
      </c>
      <c r="AC110" s="131">
        <f t="shared" si="30"/>
        <v>0</v>
      </c>
      <c r="AD110" s="131">
        <f t="shared" si="30"/>
        <v>0</v>
      </c>
      <c r="AE110" s="131">
        <f t="shared" si="30"/>
        <v>0</v>
      </c>
      <c r="AF110" s="131">
        <f t="shared" si="30"/>
        <v>0</v>
      </c>
      <c r="AG110" s="131">
        <f t="shared" si="30"/>
        <v>0</v>
      </c>
      <c r="AH110" s="131">
        <f t="shared" si="30"/>
        <v>0</v>
      </c>
      <c r="AI110" s="131">
        <f t="shared" si="30"/>
        <v>0</v>
      </c>
      <c r="AJ110" s="131">
        <f t="shared" si="30"/>
        <v>0</v>
      </c>
      <c r="AK110" s="131">
        <f t="shared" si="30"/>
        <v>0</v>
      </c>
      <c r="AL110" s="131">
        <f t="shared" si="30"/>
        <v>0</v>
      </c>
      <c r="AM110" s="131">
        <f t="shared" si="30"/>
        <v>0</v>
      </c>
      <c r="AN110" s="131">
        <f t="shared" si="30"/>
        <v>0</v>
      </c>
      <c r="AO110" s="131">
        <f t="shared" si="30"/>
        <v>0</v>
      </c>
      <c r="AP110" s="131">
        <f t="shared" si="30"/>
        <v>0</v>
      </c>
      <c r="AQ110" s="131">
        <f>AU94</f>
        <v>0</v>
      </c>
      <c r="AR110" s="131">
        <f>AV94</f>
        <v>0</v>
      </c>
      <c r="AS110" s="131">
        <f>AW94</f>
        <v>0.39590380800000002</v>
      </c>
      <c r="AT110" s="54"/>
      <c r="AU110" s="54"/>
      <c r="AV110" s="54"/>
      <c r="AW110" s="54"/>
      <c r="AX110" s="54"/>
      <c r="AY110" s="54"/>
      <c r="AZ110" s="22"/>
    </row>
    <row r="111" spans="1:52">
      <c r="A111" s="113"/>
      <c r="B111" s="113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54"/>
      <c r="AS111" s="54"/>
      <c r="AT111" s="54"/>
      <c r="AU111" s="54"/>
      <c r="AV111" s="54"/>
      <c r="AW111" s="54"/>
      <c r="AX111" s="54"/>
      <c r="AY111" s="54"/>
      <c r="AZ111" s="22"/>
    </row>
    <row r="112" spans="1:52" ht="18">
      <c r="A112" s="114" t="s">
        <v>193</v>
      </c>
      <c r="B112" s="115"/>
      <c r="C112" s="18"/>
      <c r="D112" s="18"/>
      <c r="E112" s="18"/>
      <c r="F112" s="66"/>
      <c r="G112" s="66"/>
      <c r="H112" s="66"/>
      <c r="I112" s="6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54"/>
      <c r="AY112" s="54"/>
      <c r="AZ112" s="22"/>
    </row>
    <row r="113" spans="1:52" ht="13.5" thickBot="1">
      <c r="A113" s="119"/>
      <c r="B113" s="120"/>
      <c r="C113" s="133" t="str">
        <f>C97</f>
        <v>CONHCO</v>
      </c>
      <c r="D113" s="133" t="str">
        <f t="shared" ref="D113:R113" si="31">D97</f>
        <v>CONBCO</v>
      </c>
      <c r="E113" s="133" t="str">
        <f t="shared" si="31"/>
        <v>CONOVC</v>
      </c>
      <c r="F113" s="133" t="str">
        <f t="shared" si="31"/>
        <v>CONGSC</v>
      </c>
      <c r="G113" s="133" t="str">
        <f t="shared" si="31"/>
        <v>GANGWG</v>
      </c>
      <c r="H113" s="133" t="str">
        <f t="shared" si="31"/>
        <v>GANCOG</v>
      </c>
      <c r="I113" s="133" t="str">
        <f t="shared" si="31"/>
        <v>GANBFG</v>
      </c>
      <c r="J113" s="133" t="str">
        <f t="shared" si="31"/>
        <v>GANOXY</v>
      </c>
      <c r="K113" s="133" t="str">
        <f t="shared" si="31"/>
        <v>BIOCHR</v>
      </c>
      <c r="L113" s="133" t="str">
        <f t="shared" si="31"/>
        <v>BIOBSL</v>
      </c>
      <c r="M113" s="133" t="str">
        <f t="shared" si="31"/>
        <v>BIOBIN</v>
      </c>
      <c r="N113" s="133" t="str">
        <f t="shared" si="31"/>
        <v>BIOBMU</v>
      </c>
      <c r="O113" s="133" t="str">
        <f t="shared" si="31"/>
        <v>BIOGAS</v>
      </c>
      <c r="P113" s="133" t="str">
        <f t="shared" si="31"/>
        <v>BIOLIQ</v>
      </c>
      <c r="Q113" s="133" t="str">
        <f t="shared" si="31"/>
        <v>BIOREN</v>
      </c>
      <c r="R113" s="133" t="str">
        <f t="shared" si="31"/>
        <v>GANNGA</v>
      </c>
      <c r="S113" s="134" t="str">
        <f t="shared" ref="S113:AP113" si="32">U109</f>
        <v>OINCRD</v>
      </c>
      <c r="T113" s="134" t="str">
        <f t="shared" si="32"/>
        <v>OINNGL</v>
      </c>
      <c r="U113" s="134" t="str">
        <f t="shared" si="32"/>
        <v>OINFEE</v>
      </c>
      <c r="V113" s="134" t="str">
        <f t="shared" si="32"/>
        <v>OINADD</v>
      </c>
      <c r="W113" s="134" t="str">
        <f t="shared" si="32"/>
        <v>OINNCR</v>
      </c>
      <c r="X113" s="134" t="str">
        <f t="shared" si="32"/>
        <v>GANRFG</v>
      </c>
      <c r="Y113" s="134" t="str">
        <f t="shared" si="32"/>
        <v>GANETH</v>
      </c>
      <c r="Z113" s="134" t="str">
        <f t="shared" si="32"/>
        <v>OINLPG</v>
      </c>
      <c r="AA113" s="134" t="str">
        <f t="shared" si="32"/>
        <v>OINGSL</v>
      </c>
      <c r="AB113" s="134" t="str">
        <f t="shared" si="32"/>
        <v>OINAVG</v>
      </c>
      <c r="AC113" s="134" t="str">
        <f t="shared" si="32"/>
        <v>OINJTG</v>
      </c>
      <c r="AD113" s="134" t="str">
        <f t="shared" si="32"/>
        <v>OINJTK</v>
      </c>
      <c r="AE113" s="134" t="str">
        <f t="shared" si="32"/>
        <v>OINKER</v>
      </c>
      <c r="AF113" s="134" t="str">
        <f t="shared" si="32"/>
        <v>OINDST</v>
      </c>
      <c r="AG113" s="134" t="str">
        <f t="shared" si="32"/>
        <v>OINHFO</v>
      </c>
      <c r="AH113" s="134" t="str">
        <f t="shared" si="32"/>
        <v>OINNAP</v>
      </c>
      <c r="AI113" s="134" t="str">
        <f t="shared" si="32"/>
        <v>OINWSP</v>
      </c>
      <c r="AJ113" s="134" t="str">
        <f t="shared" si="32"/>
        <v>OINLUB</v>
      </c>
      <c r="AK113" s="134" t="str">
        <f t="shared" si="32"/>
        <v>OINASP</v>
      </c>
      <c r="AL113" s="134" t="str">
        <f t="shared" si="32"/>
        <v>OINWAX</v>
      </c>
      <c r="AM113" s="134" t="str">
        <f t="shared" si="32"/>
        <v>OINPTC</v>
      </c>
      <c r="AN113" s="134" t="str">
        <f t="shared" si="32"/>
        <v>OINNSP</v>
      </c>
      <c r="AO113" s="134" t="str">
        <f t="shared" si="32"/>
        <v>ELCC</v>
      </c>
      <c r="AP113" s="134" t="str">
        <f t="shared" si="32"/>
        <v>HET</v>
      </c>
      <c r="AQ113" s="134"/>
      <c r="AR113" s="123"/>
      <c r="AS113" s="123"/>
      <c r="AT113" s="123"/>
      <c r="AU113" s="123"/>
      <c r="AV113" s="123"/>
      <c r="AW113" s="123"/>
      <c r="AX113" s="123"/>
      <c r="AY113" s="123"/>
      <c r="AZ113" s="22"/>
    </row>
    <row r="114" spans="1:52">
      <c r="A114" s="107" t="str">
        <f t="shared" ref="A114:A121" si="33">A68</f>
        <v>THEAT</v>
      </c>
      <c r="B114" s="135" t="s">
        <v>194</v>
      </c>
      <c r="C114" s="42">
        <f t="shared" ref="C114:AN114" si="34">B68</f>
        <v>0</v>
      </c>
      <c r="D114" s="42">
        <f t="shared" si="34"/>
        <v>0</v>
      </c>
      <c r="E114" s="42">
        <f t="shared" si="34"/>
        <v>0</v>
      </c>
      <c r="F114" s="42">
        <f t="shared" si="34"/>
        <v>0</v>
      </c>
      <c r="G114" s="42">
        <f t="shared" si="34"/>
        <v>0</v>
      </c>
      <c r="H114" s="42">
        <f t="shared" si="34"/>
        <v>0</v>
      </c>
      <c r="I114" s="42">
        <f t="shared" si="34"/>
        <v>0</v>
      </c>
      <c r="J114" s="42">
        <f t="shared" si="34"/>
        <v>0</v>
      </c>
      <c r="K114" s="42">
        <f t="shared" si="34"/>
        <v>0</v>
      </c>
      <c r="L114" s="42">
        <f t="shared" si="34"/>
        <v>0</v>
      </c>
      <c r="M114" s="42">
        <f t="shared" si="34"/>
        <v>0</v>
      </c>
      <c r="N114" s="42">
        <f t="shared" si="34"/>
        <v>0</v>
      </c>
      <c r="O114" s="42">
        <f t="shared" ref="O114:P121" si="35">N68</f>
        <v>0</v>
      </c>
      <c r="P114" s="42">
        <f t="shared" si="35"/>
        <v>0</v>
      </c>
      <c r="Q114" s="42">
        <f t="shared" si="34"/>
        <v>0</v>
      </c>
      <c r="R114" s="42">
        <f t="shared" si="34"/>
        <v>0</v>
      </c>
      <c r="S114" s="42">
        <f t="shared" si="34"/>
        <v>0</v>
      </c>
      <c r="T114" s="42">
        <f t="shared" si="34"/>
        <v>0</v>
      </c>
      <c r="U114" s="42">
        <f t="shared" si="34"/>
        <v>0</v>
      </c>
      <c r="V114" s="42">
        <f t="shared" si="34"/>
        <v>0</v>
      </c>
      <c r="W114" s="42">
        <f t="shared" si="34"/>
        <v>0</v>
      </c>
      <c r="X114" s="42">
        <f t="shared" si="34"/>
        <v>0</v>
      </c>
      <c r="Y114" s="42">
        <f t="shared" si="34"/>
        <v>0</v>
      </c>
      <c r="Z114" s="42">
        <f t="shared" si="34"/>
        <v>0</v>
      </c>
      <c r="AA114" s="42">
        <f t="shared" si="34"/>
        <v>0</v>
      </c>
      <c r="AB114" s="42">
        <f t="shared" si="34"/>
        <v>0</v>
      </c>
      <c r="AC114" s="42">
        <f t="shared" si="34"/>
        <v>0</v>
      </c>
      <c r="AD114" s="42">
        <f t="shared" si="34"/>
        <v>0</v>
      </c>
      <c r="AE114" s="42">
        <f t="shared" si="34"/>
        <v>0</v>
      </c>
      <c r="AF114" s="42">
        <f t="shared" si="34"/>
        <v>0</v>
      </c>
      <c r="AG114" s="42">
        <f t="shared" si="34"/>
        <v>0</v>
      </c>
      <c r="AH114" s="42">
        <f t="shared" si="34"/>
        <v>0</v>
      </c>
      <c r="AI114" s="42">
        <f t="shared" si="34"/>
        <v>0</v>
      </c>
      <c r="AJ114" s="42">
        <f t="shared" si="34"/>
        <v>0</v>
      </c>
      <c r="AK114" s="42">
        <f t="shared" si="34"/>
        <v>0</v>
      </c>
      <c r="AL114" s="42">
        <f t="shared" si="34"/>
        <v>0</v>
      </c>
      <c r="AM114" s="42">
        <f t="shared" si="34"/>
        <v>0</v>
      </c>
      <c r="AN114" s="42">
        <f t="shared" si="34"/>
        <v>0</v>
      </c>
      <c r="AO114" s="42">
        <f t="shared" ref="AO114:AO121" si="36">AU68</f>
        <v>-0.44287970399999999</v>
      </c>
      <c r="AP114" s="42">
        <f t="shared" ref="AP114:AP121" si="37">AV68</f>
        <v>0.44287970399999999</v>
      </c>
      <c r="AQ114" s="42">
        <f t="shared" ref="AQ114:AQ121" si="38">AW68</f>
        <v>0</v>
      </c>
      <c r="AR114" s="51"/>
      <c r="AS114" s="51"/>
      <c r="AT114" s="51"/>
      <c r="AU114" s="51"/>
      <c r="AV114" s="51"/>
      <c r="AW114" s="51"/>
      <c r="AX114" s="55"/>
      <c r="AY114" s="55"/>
      <c r="AZ114" s="22"/>
    </row>
    <row r="115" spans="1:52">
      <c r="A115" s="107" t="str">
        <f t="shared" si="33"/>
        <v>TBOILER</v>
      </c>
      <c r="B115" s="135" t="s">
        <v>195</v>
      </c>
      <c r="C115" s="42">
        <f t="shared" ref="C115:AN115" si="39">B69</f>
        <v>0</v>
      </c>
      <c r="D115" s="42">
        <f t="shared" si="39"/>
        <v>0</v>
      </c>
      <c r="E115" s="42">
        <f t="shared" si="39"/>
        <v>0</v>
      </c>
      <c r="F115" s="42">
        <f t="shared" si="39"/>
        <v>0</v>
      </c>
      <c r="G115" s="42">
        <f t="shared" si="39"/>
        <v>0</v>
      </c>
      <c r="H115" s="42">
        <f t="shared" si="39"/>
        <v>0</v>
      </c>
      <c r="I115" s="42">
        <f t="shared" si="39"/>
        <v>0</v>
      </c>
      <c r="J115" s="42">
        <f t="shared" si="39"/>
        <v>0</v>
      </c>
      <c r="K115" s="42">
        <f t="shared" si="39"/>
        <v>0</v>
      </c>
      <c r="L115" s="42">
        <f t="shared" si="39"/>
        <v>0</v>
      </c>
      <c r="M115" s="42">
        <f t="shared" si="39"/>
        <v>0</v>
      </c>
      <c r="N115" s="42">
        <f t="shared" si="39"/>
        <v>0</v>
      </c>
      <c r="O115" s="42">
        <f t="shared" si="35"/>
        <v>0</v>
      </c>
      <c r="P115" s="42">
        <f t="shared" si="35"/>
        <v>0</v>
      </c>
      <c r="Q115" s="42">
        <f t="shared" si="39"/>
        <v>0</v>
      </c>
      <c r="R115" s="42">
        <f t="shared" si="39"/>
        <v>0</v>
      </c>
      <c r="S115" s="42">
        <f t="shared" si="39"/>
        <v>0</v>
      </c>
      <c r="T115" s="42">
        <f t="shared" si="39"/>
        <v>0</v>
      </c>
      <c r="U115" s="42">
        <f t="shared" si="39"/>
        <v>0</v>
      </c>
      <c r="V115" s="42">
        <f t="shared" si="39"/>
        <v>0</v>
      </c>
      <c r="W115" s="42">
        <f t="shared" si="39"/>
        <v>0</v>
      </c>
      <c r="X115" s="42">
        <f t="shared" si="39"/>
        <v>0</v>
      </c>
      <c r="Y115" s="42">
        <f t="shared" si="39"/>
        <v>0</v>
      </c>
      <c r="Z115" s="42">
        <f t="shared" si="39"/>
        <v>0</v>
      </c>
      <c r="AA115" s="42">
        <f t="shared" si="39"/>
        <v>0</v>
      </c>
      <c r="AB115" s="42">
        <f t="shared" si="39"/>
        <v>0</v>
      </c>
      <c r="AC115" s="42">
        <f t="shared" si="39"/>
        <v>0</v>
      </c>
      <c r="AD115" s="42">
        <f t="shared" si="39"/>
        <v>0</v>
      </c>
      <c r="AE115" s="42">
        <f t="shared" si="39"/>
        <v>0</v>
      </c>
      <c r="AF115" s="42">
        <f t="shared" si="39"/>
        <v>0</v>
      </c>
      <c r="AG115" s="42">
        <f t="shared" si="39"/>
        <v>0</v>
      </c>
      <c r="AH115" s="42">
        <f t="shared" si="39"/>
        <v>0</v>
      </c>
      <c r="AI115" s="42">
        <f t="shared" si="39"/>
        <v>0</v>
      </c>
      <c r="AJ115" s="42">
        <f t="shared" si="39"/>
        <v>0</v>
      </c>
      <c r="AK115" s="42">
        <f t="shared" si="39"/>
        <v>0</v>
      </c>
      <c r="AL115" s="42">
        <f t="shared" si="39"/>
        <v>0</v>
      </c>
      <c r="AM115" s="42">
        <f t="shared" si="39"/>
        <v>0</v>
      </c>
      <c r="AN115" s="42">
        <f t="shared" si="39"/>
        <v>0</v>
      </c>
      <c r="AO115" s="42">
        <f t="shared" si="36"/>
        <v>-0.16562980800000002</v>
      </c>
      <c r="AP115" s="42">
        <f t="shared" si="37"/>
        <v>0.16295025600000002</v>
      </c>
      <c r="AQ115" s="42">
        <f t="shared" si="38"/>
        <v>-2.6795520000000004E-3</v>
      </c>
      <c r="AR115" s="51"/>
      <c r="AS115" s="51"/>
      <c r="AT115" s="51"/>
      <c r="AU115" s="51"/>
      <c r="AV115" s="51"/>
      <c r="AW115" s="51"/>
      <c r="AX115" s="55"/>
      <c r="AY115" s="48"/>
      <c r="AZ115" s="22"/>
    </row>
    <row r="116" spans="1:52">
      <c r="A116" s="107" t="str">
        <f t="shared" si="33"/>
        <v>TPATFUEL</v>
      </c>
      <c r="B116" s="135" t="s">
        <v>196</v>
      </c>
      <c r="C116" s="42">
        <f t="shared" ref="C116:AN116" si="40">B70</f>
        <v>0</v>
      </c>
      <c r="D116" s="42">
        <f t="shared" si="40"/>
        <v>0</v>
      </c>
      <c r="E116" s="42">
        <f t="shared" si="40"/>
        <v>0</v>
      </c>
      <c r="F116" s="42">
        <f t="shared" si="40"/>
        <v>0</v>
      </c>
      <c r="G116" s="42">
        <f t="shared" si="40"/>
        <v>0</v>
      </c>
      <c r="H116" s="42">
        <f t="shared" si="40"/>
        <v>0</v>
      </c>
      <c r="I116" s="42">
        <f t="shared" si="40"/>
        <v>0</v>
      </c>
      <c r="J116" s="42">
        <f t="shared" si="40"/>
        <v>0</v>
      </c>
      <c r="K116" s="42">
        <f t="shared" si="40"/>
        <v>0</v>
      </c>
      <c r="L116" s="42">
        <f t="shared" si="40"/>
        <v>0</v>
      </c>
      <c r="M116" s="42">
        <f t="shared" si="40"/>
        <v>0</v>
      </c>
      <c r="N116" s="42">
        <f t="shared" si="40"/>
        <v>0</v>
      </c>
      <c r="O116" s="42">
        <f t="shared" si="35"/>
        <v>0</v>
      </c>
      <c r="P116" s="42">
        <f t="shared" si="35"/>
        <v>0</v>
      </c>
      <c r="Q116" s="42">
        <f t="shared" si="40"/>
        <v>0</v>
      </c>
      <c r="R116" s="42">
        <f t="shared" si="40"/>
        <v>0</v>
      </c>
      <c r="S116" s="42">
        <f t="shared" si="40"/>
        <v>0</v>
      </c>
      <c r="T116" s="42">
        <f t="shared" si="40"/>
        <v>0</v>
      </c>
      <c r="U116" s="42">
        <f t="shared" si="40"/>
        <v>0</v>
      </c>
      <c r="V116" s="42">
        <f t="shared" si="40"/>
        <v>0</v>
      </c>
      <c r="W116" s="42">
        <f t="shared" si="40"/>
        <v>0</v>
      </c>
      <c r="X116" s="42">
        <f t="shared" si="40"/>
        <v>0</v>
      </c>
      <c r="Y116" s="42">
        <f t="shared" si="40"/>
        <v>0</v>
      </c>
      <c r="Z116" s="42">
        <f t="shared" si="40"/>
        <v>0</v>
      </c>
      <c r="AA116" s="42">
        <f t="shared" si="40"/>
        <v>0</v>
      </c>
      <c r="AB116" s="42">
        <f t="shared" si="40"/>
        <v>0</v>
      </c>
      <c r="AC116" s="42">
        <f t="shared" si="40"/>
        <v>0</v>
      </c>
      <c r="AD116" s="42">
        <f t="shared" si="40"/>
        <v>0</v>
      </c>
      <c r="AE116" s="42">
        <f t="shared" si="40"/>
        <v>0</v>
      </c>
      <c r="AF116" s="42">
        <f t="shared" si="40"/>
        <v>0</v>
      </c>
      <c r="AG116" s="42">
        <f t="shared" si="40"/>
        <v>0</v>
      </c>
      <c r="AH116" s="42">
        <f t="shared" si="40"/>
        <v>0</v>
      </c>
      <c r="AI116" s="42">
        <f t="shared" si="40"/>
        <v>0</v>
      </c>
      <c r="AJ116" s="42">
        <f t="shared" si="40"/>
        <v>0</v>
      </c>
      <c r="AK116" s="42">
        <f t="shared" si="40"/>
        <v>0</v>
      </c>
      <c r="AL116" s="42">
        <f t="shared" si="40"/>
        <v>0</v>
      </c>
      <c r="AM116" s="42">
        <f t="shared" si="40"/>
        <v>0</v>
      </c>
      <c r="AN116" s="42">
        <f t="shared" si="40"/>
        <v>0</v>
      </c>
      <c r="AO116" s="42">
        <f t="shared" si="36"/>
        <v>0</v>
      </c>
      <c r="AP116" s="42">
        <f t="shared" si="37"/>
        <v>0</v>
      </c>
      <c r="AQ116" s="42">
        <f t="shared" si="38"/>
        <v>0</v>
      </c>
      <c r="AR116" s="51"/>
      <c r="AS116" s="51"/>
      <c r="AT116" s="51"/>
      <c r="AU116" s="51"/>
      <c r="AV116" s="51"/>
      <c r="AW116" s="51"/>
      <c r="AX116" s="55"/>
      <c r="AY116" s="54"/>
      <c r="AZ116" s="22"/>
    </row>
    <row r="117" spans="1:52">
      <c r="A117" s="107" t="str">
        <f t="shared" si="33"/>
        <v>TCOKEOVS</v>
      </c>
      <c r="B117" s="135" t="s">
        <v>197</v>
      </c>
      <c r="C117" s="42">
        <f t="shared" ref="C117:AN117" si="41">B71</f>
        <v>-35.013496644</v>
      </c>
      <c r="D117" s="42">
        <f t="shared" si="41"/>
        <v>0</v>
      </c>
      <c r="E117" s="42">
        <f t="shared" si="41"/>
        <v>24.231105000000003</v>
      </c>
      <c r="F117" s="42">
        <f t="shared" si="41"/>
        <v>0</v>
      </c>
      <c r="G117" s="42">
        <f t="shared" si="41"/>
        <v>0</v>
      </c>
      <c r="H117" s="42">
        <f t="shared" si="41"/>
        <v>6.2919230400000004</v>
      </c>
      <c r="I117" s="42">
        <f t="shared" si="41"/>
        <v>0</v>
      </c>
      <c r="J117" s="42">
        <f t="shared" si="41"/>
        <v>0</v>
      </c>
      <c r="K117" s="42">
        <f t="shared" si="41"/>
        <v>0</v>
      </c>
      <c r="L117" s="42">
        <f t="shared" si="41"/>
        <v>0</v>
      </c>
      <c r="M117" s="42">
        <f t="shared" si="41"/>
        <v>0</v>
      </c>
      <c r="N117" s="42">
        <f t="shared" si="41"/>
        <v>0</v>
      </c>
      <c r="O117" s="42">
        <f t="shared" si="35"/>
        <v>0</v>
      </c>
      <c r="P117" s="42">
        <f t="shared" si="35"/>
        <v>0</v>
      </c>
      <c r="Q117" s="42">
        <f t="shared" si="41"/>
        <v>0</v>
      </c>
      <c r="R117" s="42">
        <f t="shared" si="41"/>
        <v>0</v>
      </c>
      <c r="S117" s="42">
        <f t="shared" si="41"/>
        <v>0</v>
      </c>
      <c r="T117" s="42">
        <f t="shared" si="41"/>
        <v>0</v>
      </c>
      <c r="U117" s="42">
        <f t="shared" si="41"/>
        <v>0</v>
      </c>
      <c r="V117" s="42">
        <f t="shared" si="41"/>
        <v>0</v>
      </c>
      <c r="W117" s="42">
        <f t="shared" si="41"/>
        <v>0</v>
      </c>
      <c r="X117" s="42">
        <f t="shared" si="41"/>
        <v>0</v>
      </c>
      <c r="Y117" s="42">
        <f t="shared" si="41"/>
        <v>0</v>
      </c>
      <c r="Z117" s="42">
        <f t="shared" si="41"/>
        <v>0</v>
      </c>
      <c r="AA117" s="42">
        <f t="shared" si="41"/>
        <v>0</v>
      </c>
      <c r="AB117" s="42">
        <f t="shared" si="41"/>
        <v>0</v>
      </c>
      <c r="AC117" s="42">
        <f t="shared" si="41"/>
        <v>0</v>
      </c>
      <c r="AD117" s="42">
        <f t="shared" si="41"/>
        <v>0</v>
      </c>
      <c r="AE117" s="42">
        <f t="shared" si="41"/>
        <v>0</v>
      </c>
      <c r="AF117" s="42">
        <f t="shared" si="41"/>
        <v>0</v>
      </c>
      <c r="AG117" s="42">
        <f t="shared" si="41"/>
        <v>0</v>
      </c>
      <c r="AH117" s="42">
        <f t="shared" si="41"/>
        <v>0</v>
      </c>
      <c r="AI117" s="42">
        <f t="shared" si="41"/>
        <v>0</v>
      </c>
      <c r="AJ117" s="42">
        <f t="shared" si="41"/>
        <v>0</v>
      </c>
      <c r="AK117" s="42">
        <f t="shared" si="41"/>
        <v>0</v>
      </c>
      <c r="AL117" s="42">
        <f t="shared" si="41"/>
        <v>0</v>
      </c>
      <c r="AM117" s="42">
        <f t="shared" si="41"/>
        <v>0</v>
      </c>
      <c r="AN117" s="42">
        <f t="shared" si="41"/>
        <v>0</v>
      </c>
      <c r="AO117" s="42">
        <f t="shared" si="36"/>
        <v>0</v>
      </c>
      <c r="AP117" s="42">
        <f t="shared" si="37"/>
        <v>0</v>
      </c>
      <c r="AQ117" s="42">
        <f t="shared" si="38"/>
        <v>-4.2684844679999996</v>
      </c>
      <c r="AR117" s="51"/>
      <c r="AS117" s="51"/>
      <c r="AT117" s="51"/>
      <c r="AU117" s="51"/>
      <c r="AV117" s="51"/>
      <c r="AW117" s="51"/>
      <c r="AX117" s="55"/>
      <c r="AY117" s="54"/>
      <c r="AZ117" s="22"/>
    </row>
    <row r="118" spans="1:52">
      <c r="A118" s="107" t="str">
        <f t="shared" si="33"/>
        <v>TGASWKS</v>
      </c>
      <c r="B118" s="135" t="s">
        <v>198</v>
      </c>
      <c r="C118" s="42">
        <f t="shared" ref="C118:AN118" si="42">B72</f>
        <v>0</v>
      </c>
      <c r="D118" s="42">
        <f t="shared" si="42"/>
        <v>0</v>
      </c>
      <c r="E118" s="42">
        <f t="shared" si="42"/>
        <v>0</v>
      </c>
      <c r="F118" s="42">
        <f t="shared" si="42"/>
        <v>0</v>
      </c>
      <c r="G118" s="42">
        <f t="shared" si="42"/>
        <v>0</v>
      </c>
      <c r="H118" s="42">
        <f t="shared" si="42"/>
        <v>0</v>
      </c>
      <c r="I118" s="42">
        <f t="shared" si="42"/>
        <v>0</v>
      </c>
      <c r="J118" s="42">
        <f t="shared" si="42"/>
        <v>0</v>
      </c>
      <c r="K118" s="42">
        <f t="shared" si="42"/>
        <v>0</v>
      </c>
      <c r="L118" s="42">
        <f t="shared" si="42"/>
        <v>0</v>
      </c>
      <c r="M118" s="42">
        <f t="shared" si="42"/>
        <v>0</v>
      </c>
      <c r="N118" s="42">
        <f t="shared" si="42"/>
        <v>0</v>
      </c>
      <c r="O118" s="42">
        <f t="shared" si="35"/>
        <v>0</v>
      </c>
      <c r="P118" s="42">
        <f t="shared" si="35"/>
        <v>0</v>
      </c>
      <c r="Q118" s="42">
        <f t="shared" si="42"/>
        <v>0</v>
      </c>
      <c r="R118" s="42">
        <f t="shared" si="42"/>
        <v>0</v>
      </c>
      <c r="S118" s="42">
        <f t="shared" si="42"/>
        <v>0</v>
      </c>
      <c r="T118" s="42">
        <f t="shared" si="42"/>
        <v>0</v>
      </c>
      <c r="U118" s="42">
        <f t="shared" si="42"/>
        <v>0</v>
      </c>
      <c r="V118" s="42">
        <f t="shared" si="42"/>
        <v>0</v>
      </c>
      <c r="W118" s="42">
        <f t="shared" si="42"/>
        <v>0</v>
      </c>
      <c r="X118" s="42">
        <f t="shared" si="42"/>
        <v>0</v>
      </c>
      <c r="Y118" s="42">
        <f t="shared" si="42"/>
        <v>0</v>
      </c>
      <c r="Z118" s="42">
        <f t="shared" si="42"/>
        <v>0</v>
      </c>
      <c r="AA118" s="42">
        <f t="shared" si="42"/>
        <v>0</v>
      </c>
      <c r="AB118" s="42">
        <f t="shared" si="42"/>
        <v>0</v>
      </c>
      <c r="AC118" s="42">
        <f t="shared" si="42"/>
        <v>0</v>
      </c>
      <c r="AD118" s="42">
        <f t="shared" si="42"/>
        <v>0</v>
      </c>
      <c r="AE118" s="42">
        <f t="shared" si="42"/>
        <v>0</v>
      </c>
      <c r="AF118" s="42">
        <f t="shared" si="42"/>
        <v>0</v>
      </c>
      <c r="AG118" s="42">
        <f t="shared" si="42"/>
        <v>0</v>
      </c>
      <c r="AH118" s="42">
        <f t="shared" si="42"/>
        <v>0</v>
      </c>
      <c r="AI118" s="42">
        <f t="shared" si="42"/>
        <v>0</v>
      </c>
      <c r="AJ118" s="42">
        <f t="shared" si="42"/>
        <v>0</v>
      </c>
      <c r="AK118" s="42">
        <f t="shared" si="42"/>
        <v>0</v>
      </c>
      <c r="AL118" s="42">
        <f t="shared" si="42"/>
        <v>0</v>
      </c>
      <c r="AM118" s="42">
        <f t="shared" si="42"/>
        <v>0</v>
      </c>
      <c r="AN118" s="42">
        <f t="shared" si="42"/>
        <v>0</v>
      </c>
      <c r="AO118" s="42">
        <f t="shared" si="36"/>
        <v>0</v>
      </c>
      <c r="AP118" s="42">
        <f t="shared" si="37"/>
        <v>0</v>
      </c>
      <c r="AQ118" s="42">
        <f t="shared" si="38"/>
        <v>0</v>
      </c>
      <c r="AR118" s="51"/>
      <c r="AS118" s="51"/>
      <c r="AT118" s="51"/>
      <c r="AU118" s="51"/>
      <c r="AV118" s="51"/>
      <c r="AW118" s="51"/>
      <c r="AX118" s="55"/>
      <c r="AY118" s="54"/>
      <c r="AZ118" s="22"/>
    </row>
    <row r="119" spans="1:52">
      <c r="A119" s="107" t="str">
        <f t="shared" si="33"/>
        <v>BLASTFUR</v>
      </c>
      <c r="B119" s="135" t="s">
        <v>199</v>
      </c>
      <c r="C119" s="42">
        <f t="shared" ref="C119:AN119" si="43">B73</f>
        <v>0</v>
      </c>
      <c r="D119" s="42">
        <f t="shared" si="43"/>
        <v>0</v>
      </c>
      <c r="E119" s="42">
        <f t="shared" si="43"/>
        <v>-28.626114563999998</v>
      </c>
      <c r="F119" s="42">
        <f t="shared" si="43"/>
        <v>0</v>
      </c>
      <c r="G119" s="42">
        <f t="shared" si="43"/>
        <v>0</v>
      </c>
      <c r="H119" s="42">
        <f t="shared" si="43"/>
        <v>-7.2012960000000003E-3</v>
      </c>
      <c r="I119" s="42">
        <f t="shared" si="43"/>
        <v>10.865876436000001</v>
      </c>
      <c r="J119" s="42">
        <f t="shared" si="43"/>
        <v>0</v>
      </c>
      <c r="K119" s="42">
        <f t="shared" si="43"/>
        <v>0</v>
      </c>
      <c r="L119" s="42">
        <f t="shared" si="43"/>
        <v>0</v>
      </c>
      <c r="M119" s="42">
        <f t="shared" si="43"/>
        <v>0</v>
      </c>
      <c r="N119" s="42">
        <f t="shared" si="43"/>
        <v>0</v>
      </c>
      <c r="O119" s="42">
        <f t="shared" si="35"/>
        <v>0</v>
      </c>
      <c r="P119" s="42">
        <f t="shared" si="35"/>
        <v>0</v>
      </c>
      <c r="Q119" s="42">
        <f t="shared" si="43"/>
        <v>0</v>
      </c>
      <c r="R119" s="42">
        <f t="shared" si="43"/>
        <v>0</v>
      </c>
      <c r="S119" s="42">
        <f t="shared" si="43"/>
        <v>0</v>
      </c>
      <c r="T119" s="42">
        <f t="shared" si="43"/>
        <v>0</v>
      </c>
      <c r="U119" s="42">
        <f t="shared" si="43"/>
        <v>0</v>
      </c>
      <c r="V119" s="42">
        <f t="shared" si="43"/>
        <v>0</v>
      </c>
      <c r="W119" s="42">
        <f t="shared" si="43"/>
        <v>0</v>
      </c>
      <c r="X119" s="42">
        <f t="shared" si="43"/>
        <v>0</v>
      </c>
      <c r="Y119" s="42">
        <f t="shared" si="43"/>
        <v>0</v>
      </c>
      <c r="Z119" s="42">
        <f t="shared" si="43"/>
        <v>0</v>
      </c>
      <c r="AA119" s="42">
        <f t="shared" si="43"/>
        <v>0</v>
      </c>
      <c r="AB119" s="42">
        <f t="shared" si="43"/>
        <v>0</v>
      </c>
      <c r="AC119" s="42">
        <f t="shared" si="43"/>
        <v>0</v>
      </c>
      <c r="AD119" s="42">
        <f t="shared" si="43"/>
        <v>0</v>
      </c>
      <c r="AE119" s="42">
        <f t="shared" si="43"/>
        <v>0</v>
      </c>
      <c r="AF119" s="42">
        <f t="shared" si="43"/>
        <v>0</v>
      </c>
      <c r="AG119" s="42">
        <f t="shared" si="43"/>
        <v>-8.1599894640000006</v>
      </c>
      <c r="AH119" s="42">
        <f t="shared" si="43"/>
        <v>0</v>
      </c>
      <c r="AI119" s="42">
        <f t="shared" si="43"/>
        <v>0</v>
      </c>
      <c r="AJ119" s="42">
        <f t="shared" si="43"/>
        <v>0</v>
      </c>
      <c r="AK119" s="42">
        <f t="shared" si="43"/>
        <v>0</v>
      </c>
      <c r="AL119" s="42">
        <f t="shared" si="43"/>
        <v>0</v>
      </c>
      <c r="AM119" s="42">
        <f t="shared" si="43"/>
        <v>0</v>
      </c>
      <c r="AN119" s="42">
        <f t="shared" si="43"/>
        <v>0</v>
      </c>
      <c r="AO119" s="42">
        <f t="shared" si="36"/>
        <v>0</v>
      </c>
      <c r="AP119" s="42">
        <f t="shared" si="37"/>
        <v>0</v>
      </c>
      <c r="AQ119" s="42">
        <f t="shared" si="38"/>
        <v>-25.927428888000001</v>
      </c>
      <c r="AR119" s="51"/>
      <c r="AS119" s="51"/>
      <c r="AT119" s="51"/>
      <c r="AU119" s="51"/>
      <c r="AV119" s="51"/>
      <c r="AW119" s="51"/>
      <c r="AX119" s="55"/>
      <c r="AY119" s="54"/>
      <c r="AZ119" s="22"/>
    </row>
    <row r="120" spans="1:52">
      <c r="A120" s="107" t="str">
        <f t="shared" si="33"/>
        <v>PETCHEM</v>
      </c>
      <c r="B120" s="135" t="s">
        <v>200</v>
      </c>
      <c r="C120" s="42">
        <f t="shared" ref="C120:AN120" si="44">B74</f>
        <v>0</v>
      </c>
      <c r="D120" s="42">
        <f t="shared" si="44"/>
        <v>0</v>
      </c>
      <c r="E120" s="42">
        <f t="shared" si="44"/>
        <v>0</v>
      </c>
      <c r="F120" s="42">
        <f t="shared" si="44"/>
        <v>0</v>
      </c>
      <c r="G120" s="42">
        <f t="shared" si="44"/>
        <v>0</v>
      </c>
      <c r="H120" s="42">
        <f t="shared" si="44"/>
        <v>0</v>
      </c>
      <c r="I120" s="42">
        <f t="shared" si="44"/>
        <v>0</v>
      </c>
      <c r="J120" s="42">
        <f t="shared" si="44"/>
        <v>0</v>
      </c>
      <c r="K120" s="42">
        <f t="shared" si="44"/>
        <v>0</v>
      </c>
      <c r="L120" s="42">
        <f t="shared" si="44"/>
        <v>0</v>
      </c>
      <c r="M120" s="42">
        <f t="shared" si="44"/>
        <v>0</v>
      </c>
      <c r="N120" s="42">
        <f t="shared" si="44"/>
        <v>0</v>
      </c>
      <c r="O120" s="42">
        <f t="shared" si="35"/>
        <v>0</v>
      </c>
      <c r="P120" s="42">
        <f t="shared" si="35"/>
        <v>0</v>
      </c>
      <c r="Q120" s="42">
        <f t="shared" si="44"/>
        <v>0</v>
      </c>
      <c r="R120" s="42">
        <f t="shared" si="44"/>
        <v>0</v>
      </c>
      <c r="S120" s="42">
        <f t="shared" si="44"/>
        <v>0</v>
      </c>
      <c r="T120" s="42">
        <f t="shared" si="44"/>
        <v>0</v>
      </c>
      <c r="U120" s="42">
        <f t="shared" si="44"/>
        <v>6.1619229000000004</v>
      </c>
      <c r="V120" s="42">
        <f t="shared" si="44"/>
        <v>0</v>
      </c>
      <c r="W120" s="42">
        <f t="shared" si="44"/>
        <v>0</v>
      </c>
      <c r="X120" s="42">
        <f t="shared" si="44"/>
        <v>-2.574002772</v>
      </c>
      <c r="Y120" s="42">
        <f t="shared" si="44"/>
        <v>0</v>
      </c>
      <c r="Z120" s="42">
        <f t="shared" si="44"/>
        <v>-1.9780117920000002</v>
      </c>
      <c r="AA120" s="42">
        <f t="shared" si="44"/>
        <v>0</v>
      </c>
      <c r="AB120" s="42">
        <f t="shared" si="44"/>
        <v>0</v>
      </c>
      <c r="AC120" s="42">
        <f t="shared" si="44"/>
        <v>0</v>
      </c>
      <c r="AD120" s="42">
        <f t="shared" si="44"/>
        <v>0</v>
      </c>
      <c r="AE120" s="42">
        <f t="shared" si="44"/>
        <v>0</v>
      </c>
      <c r="AF120" s="42">
        <f t="shared" si="44"/>
        <v>0</v>
      </c>
      <c r="AG120" s="42">
        <f t="shared" si="44"/>
        <v>0</v>
      </c>
      <c r="AH120" s="42">
        <f t="shared" si="44"/>
        <v>-2.1999959280000003</v>
      </c>
      <c r="AI120" s="42">
        <f t="shared" si="44"/>
        <v>0</v>
      </c>
      <c r="AJ120" s="42">
        <f t="shared" si="44"/>
        <v>0</v>
      </c>
      <c r="AK120" s="42">
        <f t="shared" si="44"/>
        <v>0</v>
      </c>
      <c r="AL120" s="42">
        <f t="shared" si="44"/>
        <v>0</v>
      </c>
      <c r="AM120" s="42">
        <f t="shared" si="44"/>
        <v>0</v>
      </c>
      <c r="AN120" s="42">
        <f t="shared" si="44"/>
        <v>0</v>
      </c>
      <c r="AO120" s="42">
        <f t="shared" si="36"/>
        <v>0</v>
      </c>
      <c r="AP120" s="42">
        <f t="shared" si="37"/>
        <v>0</v>
      </c>
      <c r="AQ120" s="42">
        <f t="shared" si="38"/>
        <v>-0.59008759200000005</v>
      </c>
      <c r="AR120" s="51"/>
      <c r="AS120" s="51"/>
      <c r="AT120" s="51"/>
      <c r="AU120" s="51"/>
      <c r="AV120" s="51"/>
      <c r="AW120" s="51"/>
      <c r="AX120" s="55"/>
      <c r="AY120" s="54"/>
      <c r="AZ120" s="22"/>
    </row>
    <row r="121" spans="1:52">
      <c r="A121" s="107" t="str">
        <f t="shared" si="33"/>
        <v>TBKB</v>
      </c>
      <c r="B121" s="135" t="s">
        <v>201</v>
      </c>
      <c r="C121" s="42">
        <f t="shared" ref="C121:AN121" si="45">B75</f>
        <v>0</v>
      </c>
      <c r="D121" s="42">
        <f t="shared" si="45"/>
        <v>0</v>
      </c>
      <c r="E121" s="42">
        <f t="shared" si="45"/>
        <v>0</v>
      </c>
      <c r="F121" s="42">
        <f t="shared" si="45"/>
        <v>0</v>
      </c>
      <c r="G121" s="42">
        <f t="shared" si="45"/>
        <v>0</v>
      </c>
      <c r="H121" s="42">
        <f t="shared" si="45"/>
        <v>0</v>
      </c>
      <c r="I121" s="42">
        <f t="shared" si="45"/>
        <v>0</v>
      </c>
      <c r="J121" s="42">
        <f t="shared" si="45"/>
        <v>0</v>
      </c>
      <c r="K121" s="42">
        <f t="shared" si="45"/>
        <v>0</v>
      </c>
      <c r="L121" s="42">
        <f t="shared" si="45"/>
        <v>0</v>
      </c>
      <c r="M121" s="42">
        <f t="shared" si="45"/>
        <v>0</v>
      </c>
      <c r="N121" s="42">
        <f t="shared" si="45"/>
        <v>0</v>
      </c>
      <c r="O121" s="42">
        <f t="shared" si="35"/>
        <v>0</v>
      </c>
      <c r="P121" s="42">
        <f t="shared" si="35"/>
        <v>0</v>
      </c>
      <c r="Q121" s="42">
        <f t="shared" si="45"/>
        <v>0</v>
      </c>
      <c r="R121" s="42">
        <f t="shared" si="45"/>
        <v>0</v>
      </c>
      <c r="S121" s="42">
        <f t="shared" si="45"/>
        <v>0</v>
      </c>
      <c r="T121" s="42">
        <f t="shared" si="45"/>
        <v>0</v>
      </c>
      <c r="U121" s="42">
        <f t="shared" si="45"/>
        <v>0</v>
      </c>
      <c r="V121" s="42">
        <f t="shared" si="45"/>
        <v>0</v>
      </c>
      <c r="W121" s="42">
        <f t="shared" si="45"/>
        <v>0</v>
      </c>
      <c r="X121" s="42">
        <f t="shared" si="45"/>
        <v>0</v>
      </c>
      <c r="Y121" s="42">
        <f t="shared" si="45"/>
        <v>0</v>
      </c>
      <c r="Z121" s="42">
        <f t="shared" si="45"/>
        <v>0</v>
      </c>
      <c r="AA121" s="42">
        <f t="shared" si="45"/>
        <v>0</v>
      </c>
      <c r="AB121" s="42">
        <f t="shared" si="45"/>
        <v>0</v>
      </c>
      <c r="AC121" s="42">
        <f t="shared" si="45"/>
        <v>0</v>
      </c>
      <c r="AD121" s="42">
        <f t="shared" si="45"/>
        <v>0</v>
      </c>
      <c r="AE121" s="42">
        <f t="shared" si="45"/>
        <v>0</v>
      </c>
      <c r="AF121" s="42">
        <f t="shared" si="45"/>
        <v>0</v>
      </c>
      <c r="AG121" s="42">
        <f t="shared" si="45"/>
        <v>0</v>
      </c>
      <c r="AH121" s="42">
        <f t="shared" si="45"/>
        <v>0</v>
      </c>
      <c r="AI121" s="42">
        <f t="shared" si="45"/>
        <v>0</v>
      </c>
      <c r="AJ121" s="42">
        <f t="shared" si="45"/>
        <v>0</v>
      </c>
      <c r="AK121" s="42">
        <f t="shared" si="45"/>
        <v>0</v>
      </c>
      <c r="AL121" s="42">
        <f t="shared" si="45"/>
        <v>0</v>
      </c>
      <c r="AM121" s="42">
        <f t="shared" si="45"/>
        <v>0</v>
      </c>
      <c r="AN121" s="42">
        <f t="shared" si="45"/>
        <v>0</v>
      </c>
      <c r="AO121" s="42">
        <f t="shared" si="36"/>
        <v>0</v>
      </c>
      <c r="AP121" s="42">
        <f t="shared" si="37"/>
        <v>0</v>
      </c>
      <c r="AQ121" s="42">
        <f t="shared" si="38"/>
        <v>0</v>
      </c>
      <c r="AR121" s="51"/>
      <c r="AS121" s="51"/>
      <c r="AT121" s="51"/>
      <c r="AU121" s="51"/>
      <c r="AV121" s="51"/>
      <c r="AW121" s="51"/>
      <c r="AX121" s="55"/>
      <c r="AY121" s="54"/>
      <c r="AZ121" s="22"/>
    </row>
    <row r="122" spans="1:52">
      <c r="A122" s="136" t="s">
        <v>202</v>
      </c>
      <c r="B122" s="137" t="s">
        <v>203</v>
      </c>
      <c r="C122" s="125">
        <f t="shared" ref="C122:AQ122" si="46">IF(C124=0,C123,C124)</f>
        <v>0</v>
      </c>
      <c r="D122" s="125">
        <f t="shared" si="46"/>
        <v>0</v>
      </c>
      <c r="E122" s="125">
        <f t="shared" si="46"/>
        <v>0</v>
      </c>
      <c r="F122" s="125">
        <f t="shared" si="46"/>
        <v>0</v>
      </c>
      <c r="G122" s="125">
        <f t="shared" si="46"/>
        <v>0</v>
      </c>
      <c r="H122" s="125">
        <f t="shared" si="46"/>
        <v>0</v>
      </c>
      <c r="I122" s="125">
        <f t="shared" si="46"/>
        <v>0</v>
      </c>
      <c r="J122" s="125">
        <f t="shared" si="46"/>
        <v>0</v>
      </c>
      <c r="K122" s="125">
        <f t="shared" si="46"/>
        <v>0</v>
      </c>
      <c r="L122" s="125">
        <f t="shared" si="46"/>
        <v>0</v>
      </c>
      <c r="M122" s="125">
        <f t="shared" si="46"/>
        <v>0</v>
      </c>
      <c r="N122" s="125">
        <f t="shared" si="46"/>
        <v>0</v>
      </c>
      <c r="O122" s="125">
        <f>IF(O124=0,O123,O124)</f>
        <v>0</v>
      </c>
      <c r="P122" s="125">
        <f t="shared" si="46"/>
        <v>0</v>
      </c>
      <c r="Q122" s="125">
        <f t="shared" si="46"/>
        <v>0</v>
      </c>
      <c r="R122" s="125">
        <f t="shared" si="46"/>
        <v>0</v>
      </c>
      <c r="S122" s="125">
        <f t="shared" si="46"/>
        <v>-445.56130753200006</v>
      </c>
      <c r="T122" s="125">
        <f t="shared" si="46"/>
        <v>-31.199740524000003</v>
      </c>
      <c r="U122" s="125">
        <f t="shared" si="46"/>
        <v>-116.184076812</v>
      </c>
      <c r="V122" s="125">
        <f t="shared" si="46"/>
        <v>-1.6830936000000003</v>
      </c>
      <c r="W122" s="125">
        <f t="shared" si="46"/>
        <v>0</v>
      </c>
      <c r="X122" s="125">
        <f t="shared" si="46"/>
        <v>22.274990172000003</v>
      </c>
      <c r="Y122" s="125">
        <f t="shared" si="46"/>
        <v>0</v>
      </c>
      <c r="Z122" s="125">
        <f t="shared" si="46"/>
        <v>11.315999304000002</v>
      </c>
      <c r="AA122" s="125">
        <f t="shared" si="46"/>
        <v>171.20398791600002</v>
      </c>
      <c r="AB122" s="125">
        <f t="shared" si="46"/>
        <v>0</v>
      </c>
      <c r="AC122" s="125">
        <f t="shared" si="46"/>
        <v>0</v>
      </c>
      <c r="AD122" s="125">
        <f t="shared" si="46"/>
        <v>26.230008924000003</v>
      </c>
      <c r="AE122" s="125">
        <f t="shared" si="46"/>
        <v>0</v>
      </c>
      <c r="AF122" s="125">
        <f t="shared" si="46"/>
        <v>271.66018305600005</v>
      </c>
      <c r="AG122" s="125">
        <f t="shared" si="46"/>
        <v>48.360010211999999</v>
      </c>
      <c r="AH122" s="125">
        <f t="shared" si="46"/>
        <v>8.7999837120000013</v>
      </c>
      <c r="AI122" s="125">
        <f t="shared" si="46"/>
        <v>7.629982452000001</v>
      </c>
      <c r="AJ122" s="125">
        <f t="shared" si="46"/>
        <v>10.710001872000001</v>
      </c>
      <c r="AK122" s="125">
        <f t="shared" si="46"/>
        <v>9.9060106680000004</v>
      </c>
      <c r="AL122" s="125">
        <f t="shared" si="46"/>
        <v>0</v>
      </c>
      <c r="AM122" s="125">
        <f t="shared" si="46"/>
        <v>4.0320140040000005</v>
      </c>
      <c r="AN122" s="125">
        <f t="shared" si="46"/>
        <v>4.8800084760000004</v>
      </c>
      <c r="AO122" s="125">
        <f t="shared" si="46"/>
        <v>0</v>
      </c>
      <c r="AP122" s="125">
        <f t="shared" si="46"/>
        <v>0</v>
      </c>
      <c r="AQ122" s="125">
        <f t="shared" si="46"/>
        <v>2.3749623000000004</v>
      </c>
      <c r="AR122" s="51"/>
      <c r="AS122" s="51"/>
      <c r="AT122" s="51"/>
      <c r="AU122" s="51"/>
      <c r="AV122" s="51"/>
      <c r="AW122" s="51"/>
      <c r="AX122" s="55"/>
      <c r="AY122" s="54"/>
    </row>
    <row r="123" spans="1:52">
      <c r="A123" s="107" t="s">
        <v>204</v>
      </c>
      <c r="B123" s="135"/>
      <c r="C123" s="42">
        <f t="shared" ref="C123:AN123" si="47">B76</f>
        <v>0</v>
      </c>
      <c r="D123" s="42">
        <f t="shared" si="47"/>
        <v>0</v>
      </c>
      <c r="E123" s="42">
        <f t="shared" si="47"/>
        <v>0</v>
      </c>
      <c r="F123" s="42">
        <f t="shared" si="47"/>
        <v>0</v>
      </c>
      <c r="G123" s="42">
        <f t="shared" si="47"/>
        <v>0</v>
      </c>
      <c r="H123" s="42">
        <f t="shared" si="47"/>
        <v>0</v>
      </c>
      <c r="I123" s="42">
        <f t="shared" si="47"/>
        <v>0</v>
      </c>
      <c r="J123" s="42">
        <f t="shared" si="47"/>
        <v>0</v>
      </c>
      <c r="K123" s="42">
        <f t="shared" si="47"/>
        <v>0</v>
      </c>
      <c r="L123" s="42">
        <f t="shared" si="47"/>
        <v>0</v>
      </c>
      <c r="M123" s="42">
        <f t="shared" si="47"/>
        <v>0</v>
      </c>
      <c r="N123" s="42">
        <f t="shared" si="47"/>
        <v>0</v>
      </c>
      <c r="O123" s="42">
        <f>N76</f>
        <v>0</v>
      </c>
      <c r="P123" s="42">
        <f>O76</f>
        <v>0</v>
      </c>
      <c r="Q123" s="42">
        <f t="shared" si="47"/>
        <v>0</v>
      </c>
      <c r="R123" s="42">
        <f t="shared" si="47"/>
        <v>0</v>
      </c>
      <c r="S123" s="42">
        <f t="shared" si="47"/>
        <v>-445.56130753200006</v>
      </c>
      <c r="T123" s="42">
        <f t="shared" si="47"/>
        <v>-31.199740524000003</v>
      </c>
      <c r="U123" s="42">
        <f t="shared" si="47"/>
        <v>-116.184076812</v>
      </c>
      <c r="V123" s="42">
        <f t="shared" si="47"/>
        <v>-1.6830936000000003</v>
      </c>
      <c r="W123" s="42">
        <f t="shared" si="47"/>
        <v>0</v>
      </c>
      <c r="X123" s="42">
        <f t="shared" si="47"/>
        <v>22.274990172000003</v>
      </c>
      <c r="Y123" s="42">
        <f t="shared" si="47"/>
        <v>0</v>
      </c>
      <c r="Z123" s="42">
        <f t="shared" si="47"/>
        <v>11.315999304000002</v>
      </c>
      <c r="AA123" s="42">
        <f t="shared" si="47"/>
        <v>171.20398791600002</v>
      </c>
      <c r="AB123" s="42">
        <f t="shared" si="47"/>
        <v>0</v>
      </c>
      <c r="AC123" s="42">
        <f t="shared" si="47"/>
        <v>0</v>
      </c>
      <c r="AD123" s="42">
        <f t="shared" si="47"/>
        <v>26.230008924000003</v>
      </c>
      <c r="AE123" s="42">
        <f t="shared" si="47"/>
        <v>0</v>
      </c>
      <c r="AF123" s="42">
        <f t="shared" si="47"/>
        <v>271.66018305600005</v>
      </c>
      <c r="AG123" s="42">
        <f t="shared" si="47"/>
        <v>48.360010211999999</v>
      </c>
      <c r="AH123" s="42">
        <f t="shared" si="47"/>
        <v>8.7999837120000013</v>
      </c>
      <c r="AI123" s="42">
        <f t="shared" si="47"/>
        <v>7.629982452000001</v>
      </c>
      <c r="AJ123" s="42">
        <f t="shared" si="47"/>
        <v>10.710001872000001</v>
      </c>
      <c r="AK123" s="42">
        <f t="shared" si="47"/>
        <v>9.9060106680000004</v>
      </c>
      <c r="AL123" s="42">
        <f t="shared" si="47"/>
        <v>0</v>
      </c>
      <c r="AM123" s="42">
        <f t="shared" si="47"/>
        <v>4.0320140040000005</v>
      </c>
      <c r="AN123" s="42">
        <f t="shared" si="47"/>
        <v>4.8800084760000004</v>
      </c>
      <c r="AO123" s="42">
        <f>AU76</f>
        <v>0</v>
      </c>
      <c r="AP123" s="42">
        <f>AV76</f>
        <v>0</v>
      </c>
      <c r="AQ123" s="42">
        <f>AW76</f>
        <v>2.3749623000000004</v>
      </c>
      <c r="AR123" s="51"/>
      <c r="AS123" s="51"/>
      <c r="AT123" s="51"/>
      <c r="AU123" s="51"/>
      <c r="AV123" s="51"/>
      <c r="AW123" s="51"/>
      <c r="AX123" s="55"/>
      <c r="AY123" s="54"/>
      <c r="AZ123" s="22"/>
    </row>
    <row r="124" spans="1:52">
      <c r="A124" s="138" t="s">
        <v>205</v>
      </c>
      <c r="B124" s="139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1"/>
      <c r="AS124" s="51"/>
      <c r="AT124" s="51"/>
      <c r="AU124" s="51"/>
      <c r="AV124" s="51"/>
      <c r="AW124" s="51"/>
      <c r="AX124" s="55"/>
      <c r="AY124" s="54"/>
      <c r="AZ124" s="22"/>
    </row>
    <row r="125" spans="1:52">
      <c r="A125" s="107" t="str">
        <f>A77</f>
        <v>LIQUEFAC,ELNG</v>
      </c>
      <c r="B125" s="135" t="s">
        <v>206</v>
      </c>
      <c r="C125" s="42">
        <f t="shared" ref="C125:AN125" si="48">B77</f>
        <v>0</v>
      </c>
      <c r="D125" s="42">
        <f t="shared" si="48"/>
        <v>0</v>
      </c>
      <c r="E125" s="42">
        <f t="shared" si="48"/>
        <v>0</v>
      </c>
      <c r="F125" s="42">
        <f t="shared" si="48"/>
        <v>0</v>
      </c>
      <c r="G125" s="42">
        <f t="shared" si="48"/>
        <v>0</v>
      </c>
      <c r="H125" s="42">
        <f t="shared" si="48"/>
        <v>0</v>
      </c>
      <c r="I125" s="42">
        <f t="shared" si="48"/>
        <v>0</v>
      </c>
      <c r="J125" s="42">
        <f t="shared" si="48"/>
        <v>0</v>
      </c>
      <c r="K125" s="42">
        <f t="shared" si="48"/>
        <v>0</v>
      </c>
      <c r="L125" s="42">
        <f t="shared" si="48"/>
        <v>0</v>
      </c>
      <c r="M125" s="42">
        <f t="shared" si="48"/>
        <v>0</v>
      </c>
      <c r="N125" s="42">
        <f t="shared" si="48"/>
        <v>0</v>
      </c>
      <c r="O125" s="42">
        <f>N77</f>
        <v>0</v>
      </c>
      <c r="P125" s="42">
        <f>O77</f>
        <v>0</v>
      </c>
      <c r="Q125" s="42">
        <f t="shared" si="48"/>
        <v>0</v>
      </c>
      <c r="R125" s="42">
        <f t="shared" si="48"/>
        <v>0</v>
      </c>
      <c r="S125" s="42">
        <f t="shared" si="48"/>
        <v>0</v>
      </c>
      <c r="T125" s="42">
        <f t="shared" si="48"/>
        <v>0</v>
      </c>
      <c r="U125" s="42">
        <f t="shared" si="48"/>
        <v>0</v>
      </c>
      <c r="V125" s="42">
        <f t="shared" si="48"/>
        <v>0</v>
      </c>
      <c r="W125" s="42">
        <f t="shared" si="48"/>
        <v>0</v>
      </c>
      <c r="X125" s="42">
        <f t="shared" si="48"/>
        <v>0</v>
      </c>
      <c r="Y125" s="42">
        <f t="shared" si="48"/>
        <v>0</v>
      </c>
      <c r="Z125" s="42">
        <f t="shared" si="48"/>
        <v>0</v>
      </c>
      <c r="AA125" s="42">
        <f t="shared" si="48"/>
        <v>0</v>
      </c>
      <c r="AB125" s="42">
        <f t="shared" si="48"/>
        <v>0</v>
      </c>
      <c r="AC125" s="42">
        <f t="shared" si="48"/>
        <v>0</v>
      </c>
      <c r="AD125" s="42">
        <f t="shared" si="48"/>
        <v>0</v>
      </c>
      <c r="AE125" s="42">
        <f t="shared" si="48"/>
        <v>0</v>
      </c>
      <c r="AF125" s="42">
        <f t="shared" si="48"/>
        <v>0</v>
      </c>
      <c r="AG125" s="42">
        <f t="shared" si="48"/>
        <v>0</v>
      </c>
      <c r="AH125" s="42">
        <f t="shared" si="48"/>
        <v>0</v>
      </c>
      <c r="AI125" s="42">
        <f t="shared" si="48"/>
        <v>0</v>
      </c>
      <c r="AJ125" s="42">
        <f t="shared" si="48"/>
        <v>0</v>
      </c>
      <c r="AK125" s="42">
        <f t="shared" si="48"/>
        <v>0</v>
      </c>
      <c r="AL125" s="42">
        <f t="shared" si="48"/>
        <v>0</v>
      </c>
      <c r="AM125" s="42">
        <f t="shared" si="48"/>
        <v>0</v>
      </c>
      <c r="AN125" s="42">
        <f t="shared" si="48"/>
        <v>0</v>
      </c>
      <c r="AO125" s="42">
        <f t="shared" ref="AO125:AQ126" si="49">AU77</f>
        <v>0</v>
      </c>
      <c r="AP125" s="42">
        <f t="shared" si="49"/>
        <v>0</v>
      </c>
      <c r="AQ125" s="42">
        <f t="shared" si="49"/>
        <v>0</v>
      </c>
      <c r="AR125" s="51"/>
      <c r="AS125" s="51"/>
      <c r="AT125" s="51"/>
      <c r="AU125" s="51"/>
      <c r="AV125" s="51"/>
      <c r="AW125" s="51"/>
      <c r="AX125" s="55"/>
      <c r="AY125" s="54"/>
      <c r="AZ125" s="22"/>
    </row>
    <row r="126" spans="1:52">
      <c r="A126" s="107" t="str">
        <f>A78</f>
        <v>TNONSPEC,TCHARCOAL</v>
      </c>
      <c r="B126" s="135" t="s">
        <v>207</v>
      </c>
      <c r="C126" s="42">
        <f t="shared" ref="C126:AN126" si="50">B78</f>
        <v>0</v>
      </c>
      <c r="D126" s="42">
        <f t="shared" si="50"/>
        <v>0</v>
      </c>
      <c r="E126" s="42">
        <f t="shared" si="50"/>
        <v>0</v>
      </c>
      <c r="F126" s="42">
        <f t="shared" si="50"/>
        <v>0</v>
      </c>
      <c r="G126" s="42">
        <f t="shared" si="50"/>
        <v>0</v>
      </c>
      <c r="H126" s="42">
        <f t="shared" si="50"/>
        <v>0</v>
      </c>
      <c r="I126" s="42">
        <f t="shared" si="50"/>
        <v>0</v>
      </c>
      <c r="J126" s="42">
        <f t="shared" si="50"/>
        <v>0</v>
      </c>
      <c r="K126" s="42">
        <f t="shared" si="50"/>
        <v>0</v>
      </c>
      <c r="L126" s="42">
        <f t="shared" si="50"/>
        <v>0</v>
      </c>
      <c r="M126" s="42">
        <f t="shared" si="50"/>
        <v>0</v>
      </c>
      <c r="N126" s="42">
        <f t="shared" si="50"/>
        <v>0</v>
      </c>
      <c r="O126" s="42">
        <f>N78</f>
        <v>0</v>
      </c>
      <c r="P126" s="42">
        <f>O78</f>
        <v>0</v>
      </c>
      <c r="Q126" s="42">
        <f t="shared" si="50"/>
        <v>0</v>
      </c>
      <c r="R126" s="42">
        <f t="shared" si="50"/>
        <v>0</v>
      </c>
      <c r="S126" s="42">
        <f t="shared" si="50"/>
        <v>0</v>
      </c>
      <c r="T126" s="42">
        <f t="shared" si="50"/>
        <v>0</v>
      </c>
      <c r="U126" s="42">
        <f t="shared" si="50"/>
        <v>0</v>
      </c>
      <c r="V126" s="42">
        <f t="shared" si="50"/>
        <v>0</v>
      </c>
      <c r="W126" s="42">
        <f t="shared" si="50"/>
        <v>0</v>
      </c>
      <c r="X126" s="42">
        <f t="shared" si="50"/>
        <v>0</v>
      </c>
      <c r="Y126" s="42">
        <f t="shared" si="50"/>
        <v>0</v>
      </c>
      <c r="Z126" s="42">
        <f t="shared" si="50"/>
        <v>0</v>
      </c>
      <c r="AA126" s="42">
        <f t="shared" si="50"/>
        <v>0</v>
      </c>
      <c r="AB126" s="42">
        <f t="shared" si="50"/>
        <v>0</v>
      </c>
      <c r="AC126" s="42">
        <f t="shared" si="50"/>
        <v>0</v>
      </c>
      <c r="AD126" s="42">
        <f t="shared" si="50"/>
        <v>0</v>
      </c>
      <c r="AE126" s="42">
        <f t="shared" si="50"/>
        <v>0</v>
      </c>
      <c r="AF126" s="42">
        <f t="shared" si="50"/>
        <v>0</v>
      </c>
      <c r="AG126" s="42">
        <f t="shared" si="50"/>
        <v>0</v>
      </c>
      <c r="AH126" s="42">
        <f t="shared" si="50"/>
        <v>0</v>
      </c>
      <c r="AI126" s="42">
        <f t="shared" si="50"/>
        <v>0</v>
      </c>
      <c r="AJ126" s="42">
        <f t="shared" si="50"/>
        <v>0</v>
      </c>
      <c r="AK126" s="42">
        <f t="shared" si="50"/>
        <v>0</v>
      </c>
      <c r="AL126" s="42">
        <f t="shared" si="50"/>
        <v>0</v>
      </c>
      <c r="AM126" s="42">
        <f t="shared" si="50"/>
        <v>0</v>
      </c>
      <c r="AN126" s="42">
        <f t="shared" si="50"/>
        <v>0</v>
      </c>
      <c r="AO126" s="42">
        <f t="shared" si="49"/>
        <v>0</v>
      </c>
      <c r="AP126" s="42">
        <f t="shared" si="49"/>
        <v>0</v>
      </c>
      <c r="AQ126" s="42">
        <f t="shared" si="49"/>
        <v>0</v>
      </c>
      <c r="AR126" s="51"/>
      <c r="AS126" s="51"/>
      <c r="AT126" s="51"/>
      <c r="AU126" s="51"/>
      <c r="AV126" s="51"/>
      <c r="AW126" s="51"/>
      <c r="AX126" s="55"/>
      <c r="AY126" s="54"/>
      <c r="AZ126" s="22"/>
    </row>
    <row r="127" spans="1:52">
      <c r="A127" s="14"/>
      <c r="B127" s="14"/>
      <c r="C127" s="49"/>
      <c r="D127" s="14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54"/>
      <c r="AY127" s="54"/>
      <c r="AZ127" s="22"/>
    </row>
    <row r="128" spans="1:52" ht="18">
      <c r="A128" s="47" t="s">
        <v>208</v>
      </c>
      <c r="B128" s="47"/>
      <c r="C128" s="19"/>
      <c r="D128" s="19"/>
      <c r="E128" s="19"/>
      <c r="F128" s="19"/>
      <c r="G128" s="19"/>
      <c r="H128" s="19"/>
      <c r="I128" s="19"/>
      <c r="J128" s="19"/>
      <c r="K128" s="141"/>
      <c r="L128" s="141"/>
      <c r="M128" s="141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48"/>
      <c r="AY128" s="48"/>
      <c r="AZ128" s="22"/>
    </row>
    <row r="129" spans="1:52" ht="33.75">
      <c r="A129" s="142"/>
      <c r="B129" s="142" t="s">
        <v>209</v>
      </c>
      <c r="C129" s="143" t="s">
        <v>210</v>
      </c>
      <c r="D129" s="143" t="s">
        <v>211</v>
      </c>
      <c r="E129" s="143" t="s">
        <v>212</v>
      </c>
      <c r="F129" s="143" t="s">
        <v>213</v>
      </c>
      <c r="G129" s="143" t="s">
        <v>27</v>
      </c>
      <c r="H129" s="143" t="s">
        <v>214</v>
      </c>
      <c r="I129" s="143" t="s">
        <v>215</v>
      </c>
      <c r="J129" s="143" t="s">
        <v>97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70"/>
      <c r="AR129" s="70"/>
      <c r="AS129" s="70"/>
      <c r="AT129" s="70"/>
      <c r="AU129" s="70"/>
      <c r="AV129" s="70"/>
      <c r="AW129" s="70"/>
      <c r="AX129" s="13"/>
      <c r="AY129" s="13"/>
      <c r="AZ129" s="22"/>
    </row>
    <row r="130" spans="1:52" ht="13.5" thickBot="1">
      <c r="A130" s="119"/>
      <c r="B130" s="144"/>
      <c r="C130" s="121" t="s">
        <v>216</v>
      </c>
      <c r="D130" s="121" t="s">
        <v>217</v>
      </c>
      <c r="E130" s="121" t="s">
        <v>218</v>
      </c>
      <c r="F130" s="121" t="s">
        <v>219</v>
      </c>
      <c r="G130" s="121" t="s">
        <v>220</v>
      </c>
      <c r="H130" s="121" t="s">
        <v>221</v>
      </c>
      <c r="I130" s="121" t="s">
        <v>222</v>
      </c>
      <c r="J130" s="121" t="s">
        <v>223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5"/>
      <c r="AR130" s="55"/>
      <c r="AS130" s="55"/>
      <c r="AT130" s="55"/>
      <c r="AU130" s="55"/>
      <c r="AV130" s="55"/>
      <c r="AW130" s="55"/>
      <c r="AX130" s="55"/>
      <c r="AY130" s="55"/>
      <c r="AZ130" s="22"/>
    </row>
    <row r="131" spans="1:52">
      <c r="A131" s="107" t="str">
        <f t="shared" ref="A131:A137" si="51">A81</f>
        <v>MINES</v>
      </c>
      <c r="B131" s="135" t="s">
        <v>224</v>
      </c>
      <c r="C131" s="42">
        <f t="shared" ref="C131:C137" si="52">Q81+F81</f>
        <v>0</v>
      </c>
      <c r="D131" s="42">
        <f t="shared" ref="D131:D137" si="53">B81+C81+D81+E81+G81+H81+I81</f>
        <v>0</v>
      </c>
      <c r="E131" s="42">
        <f t="shared" ref="E131:E137" si="54">R81+S81+T81+U81+V81</f>
        <v>0</v>
      </c>
      <c r="F131" s="42">
        <f t="shared" ref="F131:F137" si="55">Z81+AA81+AB81+AC81+AD81+AE81+AF81+AG81+AH81+AI81+AJ81+AK81+AM81+AL81</f>
        <v>0</v>
      </c>
      <c r="G131" s="42">
        <f t="shared" ref="G131:G137" si="56">W81+X81+Y81</f>
        <v>0</v>
      </c>
      <c r="H131" s="42">
        <f t="shared" ref="H131:H137" si="57">J81+K81+L81+M81+N81+P81</f>
        <v>0</v>
      </c>
      <c r="I131" s="42">
        <f t="shared" ref="I131:J137" si="58">AU81</f>
        <v>0</v>
      </c>
      <c r="J131" s="42">
        <f t="shared" si="58"/>
        <v>0</v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54"/>
      <c r="AY131" s="54"/>
      <c r="AZ131" s="22"/>
    </row>
    <row r="132" spans="1:52">
      <c r="A132" s="107" t="str">
        <f t="shared" si="51"/>
        <v>OILGASEX</v>
      </c>
      <c r="B132" s="135" t="s">
        <v>225</v>
      </c>
      <c r="C132" s="42">
        <f t="shared" si="52"/>
        <v>0</v>
      </c>
      <c r="D132" s="42">
        <f t="shared" si="53"/>
        <v>0</v>
      </c>
      <c r="E132" s="42">
        <f t="shared" si="54"/>
        <v>0</v>
      </c>
      <c r="F132" s="42">
        <f t="shared" si="55"/>
        <v>0</v>
      </c>
      <c r="G132" s="42">
        <f t="shared" si="56"/>
        <v>0</v>
      </c>
      <c r="H132" s="42">
        <f t="shared" si="57"/>
        <v>0</v>
      </c>
      <c r="I132" s="42">
        <f t="shared" si="58"/>
        <v>0</v>
      </c>
      <c r="J132" s="42">
        <f t="shared" si="58"/>
        <v>0</v>
      </c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54"/>
      <c r="AY132" s="54"/>
      <c r="AZ132" s="22"/>
    </row>
    <row r="133" spans="1:52">
      <c r="A133" s="107" t="str">
        <f t="shared" si="51"/>
        <v>EPATFUEL</v>
      </c>
      <c r="B133" s="135" t="s">
        <v>196</v>
      </c>
      <c r="C133" s="42">
        <f t="shared" si="52"/>
        <v>0</v>
      </c>
      <c r="D133" s="42">
        <f t="shared" si="53"/>
        <v>0</v>
      </c>
      <c r="E133" s="42">
        <f t="shared" si="54"/>
        <v>0</v>
      </c>
      <c r="F133" s="42">
        <f t="shared" si="55"/>
        <v>0</v>
      </c>
      <c r="G133" s="42">
        <f t="shared" si="56"/>
        <v>0</v>
      </c>
      <c r="H133" s="42">
        <f t="shared" si="57"/>
        <v>0</v>
      </c>
      <c r="I133" s="42">
        <f t="shared" si="58"/>
        <v>0</v>
      </c>
      <c r="J133" s="42">
        <f t="shared" si="58"/>
        <v>0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54"/>
      <c r="AY133" s="54"/>
      <c r="AZ133" s="22"/>
    </row>
    <row r="134" spans="1:52">
      <c r="A134" s="107" t="str">
        <f t="shared" si="51"/>
        <v>ECOKEOVS</v>
      </c>
      <c r="B134" s="135" t="s">
        <v>197</v>
      </c>
      <c r="C134" s="42">
        <f t="shared" si="52"/>
        <v>0</v>
      </c>
      <c r="D134" s="42">
        <f t="shared" si="53"/>
        <v>-1.7921178720000002</v>
      </c>
      <c r="E134" s="42">
        <f t="shared" si="54"/>
        <v>0</v>
      </c>
      <c r="F134" s="42">
        <f t="shared" si="55"/>
        <v>0</v>
      </c>
      <c r="G134" s="42">
        <f t="shared" si="56"/>
        <v>0</v>
      </c>
      <c r="H134" s="42">
        <f t="shared" si="57"/>
        <v>0</v>
      </c>
      <c r="I134" s="42">
        <f t="shared" si="58"/>
        <v>0</v>
      </c>
      <c r="J134" s="42">
        <f t="shared" si="58"/>
        <v>0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54"/>
      <c r="AY134" s="54"/>
      <c r="AZ134" s="22"/>
    </row>
    <row r="135" spans="1:52">
      <c r="A135" s="107" t="str">
        <f t="shared" si="51"/>
        <v>EGASWKS</v>
      </c>
      <c r="B135" s="135" t="s">
        <v>198</v>
      </c>
      <c r="C135" s="42">
        <f t="shared" si="52"/>
        <v>0</v>
      </c>
      <c r="D135" s="42">
        <f t="shared" si="53"/>
        <v>0</v>
      </c>
      <c r="E135" s="42">
        <f t="shared" si="54"/>
        <v>0</v>
      </c>
      <c r="F135" s="42">
        <f t="shared" si="55"/>
        <v>0</v>
      </c>
      <c r="G135" s="42">
        <f t="shared" si="56"/>
        <v>0</v>
      </c>
      <c r="H135" s="42">
        <f t="shared" si="57"/>
        <v>0</v>
      </c>
      <c r="I135" s="42">
        <f t="shared" si="58"/>
        <v>0</v>
      </c>
      <c r="J135" s="42">
        <f t="shared" si="58"/>
        <v>0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54"/>
      <c r="AY135" s="54"/>
      <c r="AZ135" s="22"/>
    </row>
    <row r="136" spans="1:52">
      <c r="A136" s="107" t="str">
        <f t="shared" si="51"/>
        <v>EBKB</v>
      </c>
      <c r="B136" s="135" t="s">
        <v>201</v>
      </c>
      <c r="C136" s="42">
        <f t="shared" si="52"/>
        <v>0</v>
      </c>
      <c r="D136" s="42">
        <f t="shared" si="53"/>
        <v>0</v>
      </c>
      <c r="E136" s="42">
        <f t="shared" si="54"/>
        <v>0</v>
      </c>
      <c r="F136" s="42">
        <f t="shared" si="55"/>
        <v>0</v>
      </c>
      <c r="G136" s="42">
        <f t="shared" si="56"/>
        <v>0</v>
      </c>
      <c r="H136" s="42">
        <f t="shared" si="57"/>
        <v>0</v>
      </c>
      <c r="I136" s="42">
        <f t="shared" si="58"/>
        <v>0</v>
      </c>
      <c r="J136" s="42">
        <f t="shared" si="58"/>
        <v>0</v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54"/>
      <c r="AY136" s="54"/>
      <c r="AZ136" s="22"/>
    </row>
    <row r="137" spans="1:52">
      <c r="A137" s="107" t="str">
        <f t="shared" si="51"/>
        <v>EREFINER</v>
      </c>
      <c r="B137" s="135" t="s">
        <v>226</v>
      </c>
      <c r="C137" s="42">
        <f t="shared" si="52"/>
        <v>-12.196022796000001</v>
      </c>
      <c r="D137" s="42">
        <f t="shared" si="53"/>
        <v>0</v>
      </c>
      <c r="E137" s="42">
        <f t="shared" si="54"/>
        <v>0</v>
      </c>
      <c r="F137" s="42">
        <f t="shared" si="55"/>
        <v>-6.0720323040000004</v>
      </c>
      <c r="G137" s="42">
        <f t="shared" si="56"/>
        <v>-18.711018540000001</v>
      </c>
      <c r="H137" s="42">
        <f t="shared" si="57"/>
        <v>0</v>
      </c>
      <c r="I137" s="42">
        <f t="shared" si="58"/>
        <v>-4.6484365680000002</v>
      </c>
      <c r="J137" s="42">
        <f t="shared" si="58"/>
        <v>-1.319763096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54"/>
      <c r="AY137" s="54"/>
      <c r="AZ137" s="22"/>
    </row>
    <row r="138" spans="1:52">
      <c r="A138" s="107" t="str">
        <f>A91</f>
        <v>ENONSPEC</v>
      </c>
      <c r="B138" s="135" t="s">
        <v>227</v>
      </c>
      <c r="C138" s="42">
        <f>Q91+F91</f>
        <v>0</v>
      </c>
      <c r="D138" s="42">
        <f>B91+C91+D91+E91+G91+H91+I91</f>
        <v>0</v>
      </c>
      <c r="E138" s="42">
        <f>R91+S91+T91+U91+V91</f>
        <v>0</v>
      </c>
      <c r="F138" s="42">
        <f>Z91+AA91+AB91+AC91+AD91+AE91+AF91+AG91+AH91+AI91+AJ91+AK91+AM91+AL91</f>
        <v>0</v>
      </c>
      <c r="G138" s="42">
        <f>W91+X91+Y91</f>
        <v>0</v>
      </c>
      <c r="H138" s="42">
        <f>J91+K91+L91+M91+N91+P91</f>
        <v>0</v>
      </c>
      <c r="I138" s="42">
        <f>AU91</f>
        <v>0</v>
      </c>
      <c r="J138" s="42">
        <f>AV91</f>
        <v>0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54"/>
      <c r="AY138" s="54"/>
      <c r="AZ138" s="22"/>
    </row>
    <row r="139" spans="1:52">
      <c r="A139" s="107" t="s">
        <v>141</v>
      </c>
      <c r="B139" s="135" t="s">
        <v>228</v>
      </c>
      <c r="C139" s="42">
        <f>Q92+F92+AQ94</f>
        <v>3.8688962760000008E-2</v>
      </c>
      <c r="D139" s="42">
        <f>B92+C92+D92+E92+G92+H92+I92</f>
        <v>-1.5747810840000001</v>
      </c>
      <c r="E139" s="42">
        <f>R92+S92+T92+U92+V92</f>
        <v>0</v>
      </c>
      <c r="F139" s="42">
        <f>Z92+AA92+AB92+AC92+AD92+AE92+AF92+AG92+AH92+AI92+AJ92+AK92+AM92+AL92</f>
        <v>0</v>
      </c>
      <c r="G139" s="42">
        <f>W92+X92+Y92</f>
        <v>-0.39598754400000002</v>
      </c>
      <c r="H139" s="42">
        <f>J92+K92+L92+M92+N92+P92</f>
        <v>0</v>
      </c>
      <c r="I139" s="42">
        <f>AU92</f>
        <v>-9.9593923680000014</v>
      </c>
      <c r="J139" s="42">
        <f>AV92</f>
        <v>-12.431614032000001</v>
      </c>
      <c r="K139" s="49"/>
      <c r="L139" s="49" t="s">
        <v>229</v>
      </c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54"/>
      <c r="AY139" s="54"/>
      <c r="AZ139" s="22"/>
    </row>
    <row r="140" spans="1:52">
      <c r="A140" s="107" t="str">
        <f>A94</f>
        <v>PIPELINE</v>
      </c>
      <c r="B140" s="135" t="s">
        <v>230</v>
      </c>
      <c r="C140" s="42">
        <f>-(Q94+F94-MAX(0,C139))</f>
        <v>-0.35721484524000002</v>
      </c>
      <c r="D140" s="42">
        <f>B94+C94+D94+E94+G94+H94+I94</f>
        <v>0</v>
      </c>
      <c r="E140" s="42">
        <f>-(R94+S94+T94+U94+V94)</f>
        <v>0</v>
      </c>
      <c r="F140" s="42">
        <f>-(Z94+AA94+AB94+AC94+AD94+AE94+AF94+AG94+AH94+AI94+AJ94+AK94+AM94+AL94)</f>
        <v>0</v>
      </c>
      <c r="G140" s="42">
        <f>W94+X94+Y94</f>
        <v>0</v>
      </c>
      <c r="H140" s="42">
        <f>-(J94+K94+L94+M94+N94+P94)</f>
        <v>0</v>
      </c>
      <c r="I140" s="42">
        <f>-AU94</f>
        <v>0</v>
      </c>
      <c r="J140" s="42">
        <f>-AV94</f>
        <v>0</v>
      </c>
      <c r="K140" s="49"/>
      <c r="L140" s="145">
        <f>SUM(MIN(0,Q54+Q55),Q62:Q67,Q80,Q92,-Q93)</f>
        <v>-160.51420828800002</v>
      </c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54"/>
      <c r="AY140" s="54"/>
      <c r="AZ140" s="22"/>
    </row>
    <row r="141" spans="1:52">
      <c r="A141" s="107" t="s">
        <v>25</v>
      </c>
      <c r="B141" s="107" t="s">
        <v>25</v>
      </c>
      <c r="C141" s="42">
        <f>SUM(C131:C138)</f>
        <v>-12.196022796000001</v>
      </c>
      <c r="D141" s="42">
        <f t="shared" ref="D141:J141" si="59">SUM(D131:D138)</f>
        <v>-1.7921178720000002</v>
      </c>
      <c r="E141" s="42">
        <f t="shared" si="59"/>
        <v>0</v>
      </c>
      <c r="F141" s="42">
        <f t="shared" si="59"/>
        <v>-6.0720323040000004</v>
      </c>
      <c r="G141" s="42">
        <f t="shared" si="59"/>
        <v>-18.711018540000001</v>
      </c>
      <c r="H141" s="42">
        <f t="shared" si="59"/>
        <v>0</v>
      </c>
      <c r="I141" s="42">
        <f t="shared" si="59"/>
        <v>-4.6484365680000002</v>
      </c>
      <c r="J141" s="42">
        <f t="shared" si="59"/>
        <v>-1.319763096</v>
      </c>
      <c r="K141" s="49"/>
      <c r="L141" s="49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48"/>
      <c r="AY141" s="48"/>
      <c r="AZ141" s="22"/>
    </row>
    <row r="142" spans="1:52">
      <c r="A142" s="22"/>
      <c r="B142" s="22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48"/>
      <c r="AY142" s="48"/>
      <c r="AZ142" s="22"/>
    </row>
    <row r="143" spans="1:52" ht="18">
      <c r="A143" s="47" t="s">
        <v>231</v>
      </c>
      <c r="B143" s="4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48"/>
      <c r="AY143" s="48"/>
      <c r="AZ143" s="22"/>
    </row>
    <row r="144" spans="1:52" ht="33.75">
      <c r="A144" s="142"/>
      <c r="B144" s="142" t="s">
        <v>209</v>
      </c>
      <c r="C144" s="143" t="s">
        <v>210</v>
      </c>
      <c r="D144" s="143" t="s">
        <v>211</v>
      </c>
      <c r="E144" s="143" t="s">
        <v>212</v>
      </c>
      <c r="F144" s="143" t="s">
        <v>213</v>
      </c>
      <c r="G144" s="143" t="s">
        <v>27</v>
      </c>
      <c r="H144" s="143" t="s">
        <v>214</v>
      </c>
      <c r="I144" s="143" t="s">
        <v>215</v>
      </c>
      <c r="J144" s="143" t="s">
        <v>97</v>
      </c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48"/>
      <c r="AY144" s="48"/>
      <c r="AZ144" s="22"/>
    </row>
    <row r="145" spans="1:52" ht="13.5" thickBot="1">
      <c r="A145" s="119"/>
      <c r="B145" s="144"/>
      <c r="C145" s="133" t="str">
        <f t="shared" ref="C145:J145" si="60">C130</f>
        <v>UPNNGA</v>
      </c>
      <c r="D145" s="133" t="str">
        <f t="shared" si="60"/>
        <v>UPNCOA</v>
      </c>
      <c r="E145" s="133" t="str">
        <f t="shared" si="60"/>
        <v>UPNCRD</v>
      </c>
      <c r="F145" s="133" t="str">
        <f t="shared" si="60"/>
        <v>UPNRPP</v>
      </c>
      <c r="G145" s="133" t="str">
        <f t="shared" si="60"/>
        <v>UPNRPG</v>
      </c>
      <c r="H145" s="133" t="str">
        <f t="shared" si="60"/>
        <v>UPNREN</v>
      </c>
      <c r="I145" s="133" t="str">
        <f t="shared" si="60"/>
        <v>UPNELC</v>
      </c>
      <c r="J145" s="133" t="str">
        <f t="shared" si="60"/>
        <v>UPNSTM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48"/>
      <c r="AY145" s="48"/>
      <c r="AZ145" s="22"/>
    </row>
    <row r="146" spans="1:52">
      <c r="A146" s="107" t="str">
        <f>A131</f>
        <v>MINES</v>
      </c>
      <c r="B146" s="135" t="s">
        <v>224</v>
      </c>
      <c r="C146" s="42">
        <f t="shared" ref="C146:J146" si="61">C131</f>
        <v>0</v>
      </c>
      <c r="D146" s="42">
        <f t="shared" si="61"/>
        <v>0</v>
      </c>
      <c r="E146" s="42">
        <f t="shared" si="61"/>
        <v>0</v>
      </c>
      <c r="F146" s="42">
        <f t="shared" si="61"/>
        <v>0</v>
      </c>
      <c r="G146" s="42">
        <f t="shared" si="61"/>
        <v>0</v>
      </c>
      <c r="H146" s="42">
        <f t="shared" si="61"/>
        <v>0</v>
      </c>
      <c r="I146" s="42">
        <f t="shared" si="61"/>
        <v>0</v>
      </c>
      <c r="J146" s="42">
        <f t="shared" si="61"/>
        <v>0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54"/>
      <c r="AY146" s="54"/>
      <c r="AZ146" s="22"/>
    </row>
    <row r="147" spans="1:52">
      <c r="A147" s="79" t="str">
        <f>B30</f>
        <v>Hardcoal mines</v>
      </c>
      <c r="B147" s="135" t="s">
        <v>18</v>
      </c>
      <c r="C147" s="42">
        <f>C30*C146</f>
        <v>0</v>
      </c>
      <c r="D147" s="42">
        <f>C30*D146</f>
        <v>0</v>
      </c>
      <c r="E147" s="42">
        <f>C30*E146</f>
        <v>0</v>
      </c>
      <c r="F147" s="42">
        <f>C30*F146</f>
        <v>0</v>
      </c>
      <c r="G147" s="42">
        <f>C30*G146</f>
        <v>0</v>
      </c>
      <c r="H147" s="42">
        <f>C30*H146</f>
        <v>0</v>
      </c>
      <c r="I147" s="42">
        <f>C30*I146</f>
        <v>0</v>
      </c>
      <c r="J147" s="42">
        <f>C30*J146</f>
        <v>0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54"/>
      <c r="AY147" s="54"/>
      <c r="AZ147" s="22"/>
    </row>
    <row r="148" spans="1:52">
      <c r="A148" s="87" t="str">
        <f>B31</f>
        <v>Browncoal mines</v>
      </c>
      <c r="B148" s="146" t="s">
        <v>18</v>
      </c>
      <c r="C148" s="52">
        <f>C31*C146</f>
        <v>0</v>
      </c>
      <c r="D148" s="52">
        <f>C31*D146</f>
        <v>0</v>
      </c>
      <c r="E148" s="52">
        <f>C31*E146</f>
        <v>0</v>
      </c>
      <c r="F148" s="52">
        <f>C31*F146</f>
        <v>0</v>
      </c>
      <c r="G148" s="52">
        <f>C31*G146</f>
        <v>0</v>
      </c>
      <c r="H148" s="52">
        <f>C31*H146</f>
        <v>0</v>
      </c>
      <c r="I148" s="52">
        <f>C31*I146</f>
        <v>0</v>
      </c>
      <c r="J148" s="52">
        <f>C31*J146</f>
        <v>0</v>
      </c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54"/>
      <c r="AY148" s="54"/>
      <c r="AZ148" s="22"/>
    </row>
    <row r="149" spans="1:52">
      <c r="A149" s="107" t="str">
        <f>A132</f>
        <v>OILGASEX</v>
      </c>
      <c r="B149" s="135" t="s">
        <v>225</v>
      </c>
      <c r="C149" s="42">
        <f t="shared" ref="C149:J149" si="62">C132</f>
        <v>0</v>
      </c>
      <c r="D149" s="42">
        <f t="shared" si="62"/>
        <v>0</v>
      </c>
      <c r="E149" s="42">
        <f t="shared" si="62"/>
        <v>0</v>
      </c>
      <c r="F149" s="42">
        <f t="shared" si="62"/>
        <v>0</v>
      </c>
      <c r="G149" s="42">
        <f t="shared" si="62"/>
        <v>0</v>
      </c>
      <c r="H149" s="42">
        <f t="shared" si="62"/>
        <v>0</v>
      </c>
      <c r="I149" s="42">
        <f t="shared" si="62"/>
        <v>0</v>
      </c>
      <c r="J149" s="42">
        <f t="shared" si="62"/>
        <v>0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54"/>
      <c r="AY149" s="54"/>
      <c r="AZ149" s="22"/>
    </row>
    <row r="150" spans="1:52">
      <c r="A150" s="79" t="s">
        <v>232</v>
      </c>
      <c r="B150" s="135" t="s">
        <v>18</v>
      </c>
      <c r="C150" s="42">
        <f t="shared" ref="C150:J150" si="63">C37*C$149</f>
        <v>0</v>
      </c>
      <c r="D150" s="42">
        <f t="shared" si="63"/>
        <v>0</v>
      </c>
      <c r="E150" s="42">
        <f t="shared" si="63"/>
        <v>0</v>
      </c>
      <c r="F150" s="42">
        <f t="shared" si="63"/>
        <v>0</v>
      </c>
      <c r="G150" s="42">
        <f t="shared" si="63"/>
        <v>0</v>
      </c>
      <c r="H150" s="42">
        <f t="shared" si="63"/>
        <v>0</v>
      </c>
      <c r="I150" s="42">
        <f t="shared" si="63"/>
        <v>0</v>
      </c>
      <c r="J150" s="42">
        <f t="shared" si="63"/>
        <v>0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54"/>
      <c r="AY150" s="54"/>
      <c r="AZ150" s="22"/>
    </row>
    <row r="151" spans="1:52">
      <c r="A151" s="79" t="s">
        <v>45</v>
      </c>
      <c r="B151" s="135" t="s">
        <v>18</v>
      </c>
      <c r="C151" s="42">
        <f t="shared" ref="C151:J151" si="64">C38*C40*C$149</f>
        <v>0</v>
      </c>
      <c r="D151" s="42">
        <f t="shared" si="64"/>
        <v>0</v>
      </c>
      <c r="E151" s="42">
        <f t="shared" si="64"/>
        <v>0</v>
      </c>
      <c r="F151" s="42">
        <f t="shared" si="64"/>
        <v>0</v>
      </c>
      <c r="G151" s="42">
        <f t="shared" si="64"/>
        <v>0</v>
      </c>
      <c r="H151" s="42">
        <f t="shared" si="64"/>
        <v>0</v>
      </c>
      <c r="I151" s="42">
        <f t="shared" si="64"/>
        <v>0</v>
      </c>
      <c r="J151" s="42">
        <f t="shared" si="64"/>
        <v>0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54"/>
      <c r="AY151" s="54"/>
      <c r="AZ151" s="22"/>
    </row>
    <row r="152" spans="1:52">
      <c r="A152" s="79" t="s">
        <v>47</v>
      </c>
      <c r="B152" s="135" t="s">
        <v>18</v>
      </c>
      <c r="C152" s="42">
        <f t="shared" ref="C152:J152" si="65">C38*C41*C$149</f>
        <v>0</v>
      </c>
      <c r="D152" s="42">
        <f t="shared" si="65"/>
        <v>0</v>
      </c>
      <c r="E152" s="42">
        <f t="shared" si="65"/>
        <v>0</v>
      </c>
      <c r="F152" s="42">
        <f t="shared" si="65"/>
        <v>0</v>
      </c>
      <c r="G152" s="42">
        <f t="shared" si="65"/>
        <v>0</v>
      </c>
      <c r="H152" s="42">
        <f t="shared" si="65"/>
        <v>0</v>
      </c>
      <c r="I152" s="42">
        <f t="shared" si="65"/>
        <v>0</v>
      </c>
      <c r="J152" s="42">
        <f t="shared" si="65"/>
        <v>0</v>
      </c>
      <c r="K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54"/>
      <c r="AY152" s="54"/>
      <c r="AZ152" s="22"/>
    </row>
    <row r="153" spans="1:52">
      <c r="A153" s="79" t="s">
        <v>19</v>
      </c>
      <c r="B153" s="135" t="s">
        <v>18</v>
      </c>
      <c r="C153" s="42">
        <f t="shared" ref="C153:J153" si="66">C38*C42*C$149</f>
        <v>0</v>
      </c>
      <c r="D153" s="42">
        <f t="shared" si="66"/>
        <v>0</v>
      </c>
      <c r="E153" s="42">
        <f t="shared" si="66"/>
        <v>0</v>
      </c>
      <c r="F153" s="42">
        <f t="shared" si="66"/>
        <v>0</v>
      </c>
      <c r="G153" s="42">
        <f t="shared" si="66"/>
        <v>0</v>
      </c>
      <c r="H153" s="42">
        <f t="shared" si="66"/>
        <v>0</v>
      </c>
      <c r="I153" s="42">
        <f t="shared" si="66"/>
        <v>0</v>
      </c>
      <c r="J153" s="42">
        <f t="shared" si="66"/>
        <v>0</v>
      </c>
      <c r="K153" s="57"/>
      <c r="L153" s="14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54"/>
      <c r="AY153" s="54"/>
      <c r="AZ153" s="22"/>
    </row>
    <row r="154" spans="1:52">
      <c r="A154" s="79" t="s">
        <v>21</v>
      </c>
      <c r="B154" s="135" t="s">
        <v>18</v>
      </c>
      <c r="C154" s="42">
        <f t="shared" ref="C154:J155" si="67">C38*C43*C$149</f>
        <v>0</v>
      </c>
      <c r="D154" s="42">
        <f t="shared" si="67"/>
        <v>0</v>
      </c>
      <c r="E154" s="42">
        <f t="shared" si="67"/>
        <v>0</v>
      </c>
      <c r="F154" s="42">
        <f t="shared" si="67"/>
        <v>0</v>
      </c>
      <c r="G154" s="42">
        <f t="shared" si="67"/>
        <v>0</v>
      </c>
      <c r="H154" s="42">
        <f t="shared" si="67"/>
        <v>0</v>
      </c>
      <c r="I154" s="42">
        <f t="shared" si="67"/>
        <v>0</v>
      </c>
      <c r="J154" s="42">
        <f t="shared" si="67"/>
        <v>0</v>
      </c>
      <c r="K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54"/>
      <c r="AY154" s="54"/>
      <c r="AZ154" s="22"/>
    </row>
    <row r="155" spans="1:52">
      <c r="A155" s="79" t="s">
        <v>17</v>
      </c>
      <c r="B155" s="135" t="s">
        <v>18</v>
      </c>
      <c r="C155" s="42">
        <f t="shared" si="67"/>
        <v>0</v>
      </c>
      <c r="D155" s="42">
        <f t="shared" si="67"/>
        <v>0</v>
      </c>
      <c r="E155" s="42">
        <f t="shared" si="67"/>
        <v>0</v>
      </c>
      <c r="F155" s="42">
        <f t="shared" si="67"/>
        <v>0</v>
      </c>
      <c r="G155" s="42">
        <f t="shared" si="67"/>
        <v>0</v>
      </c>
      <c r="H155" s="42">
        <f t="shared" si="67"/>
        <v>0</v>
      </c>
      <c r="I155" s="42">
        <f t="shared" si="67"/>
        <v>0</v>
      </c>
      <c r="J155" s="42">
        <f t="shared" si="67"/>
        <v>0</v>
      </c>
      <c r="K155" s="57"/>
      <c r="L155" s="14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54"/>
      <c r="AY155" s="54"/>
      <c r="AZ155" s="22"/>
    </row>
    <row r="156" spans="1:52">
      <c r="A156" s="87" t="s">
        <v>23</v>
      </c>
      <c r="B156" s="146" t="s">
        <v>18</v>
      </c>
      <c r="C156" s="52">
        <f t="shared" ref="C156:J156" si="68">C38*C45*C$149</f>
        <v>0</v>
      </c>
      <c r="D156" s="52">
        <f t="shared" si="68"/>
        <v>0</v>
      </c>
      <c r="E156" s="52">
        <f t="shared" si="68"/>
        <v>0</v>
      </c>
      <c r="F156" s="52">
        <f t="shared" si="68"/>
        <v>0</v>
      </c>
      <c r="G156" s="52">
        <f t="shared" si="68"/>
        <v>0</v>
      </c>
      <c r="H156" s="52">
        <f t="shared" si="68"/>
        <v>0</v>
      </c>
      <c r="I156" s="52">
        <f t="shared" si="68"/>
        <v>0</v>
      </c>
      <c r="J156" s="52">
        <f t="shared" si="68"/>
        <v>0</v>
      </c>
      <c r="K156" s="49"/>
      <c r="L156" s="49"/>
      <c r="M156" s="49"/>
      <c r="N156" s="49"/>
      <c r="O156" s="49"/>
      <c r="P156" s="49"/>
      <c r="Q156" s="49"/>
      <c r="R156" s="49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54"/>
      <c r="AY156" s="54"/>
      <c r="AZ156" s="22"/>
    </row>
    <row r="157" spans="1:52">
      <c r="A157" s="107" t="str">
        <f t="shared" ref="A157:A162" si="69">A133</f>
        <v>EPATFUEL</v>
      </c>
      <c r="B157" s="135" t="s">
        <v>196</v>
      </c>
      <c r="C157" s="42">
        <f t="shared" ref="C157:J160" si="70">C133</f>
        <v>0</v>
      </c>
      <c r="D157" s="42">
        <f t="shared" si="70"/>
        <v>0</v>
      </c>
      <c r="E157" s="42">
        <f t="shared" si="70"/>
        <v>0</v>
      </c>
      <c r="F157" s="42">
        <f t="shared" si="70"/>
        <v>0</v>
      </c>
      <c r="G157" s="42">
        <f t="shared" si="70"/>
        <v>0</v>
      </c>
      <c r="H157" s="42">
        <f t="shared" si="70"/>
        <v>0</v>
      </c>
      <c r="I157" s="42">
        <f t="shared" si="70"/>
        <v>0</v>
      </c>
      <c r="J157" s="42">
        <f t="shared" si="70"/>
        <v>0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54"/>
      <c r="AY157" s="54"/>
      <c r="AZ157" s="22"/>
    </row>
    <row r="158" spans="1:52">
      <c r="A158" s="107" t="str">
        <f t="shared" si="69"/>
        <v>ECOKEOVS</v>
      </c>
      <c r="B158" s="135" t="s">
        <v>197</v>
      </c>
      <c r="C158" s="42">
        <f t="shared" si="70"/>
        <v>0</v>
      </c>
      <c r="D158" s="42">
        <f t="shared" si="70"/>
        <v>-1.7921178720000002</v>
      </c>
      <c r="E158" s="42">
        <f t="shared" si="70"/>
        <v>0</v>
      </c>
      <c r="F158" s="42">
        <f t="shared" si="70"/>
        <v>0</v>
      </c>
      <c r="G158" s="42">
        <f t="shared" si="70"/>
        <v>0</v>
      </c>
      <c r="H158" s="42">
        <f t="shared" si="70"/>
        <v>0</v>
      </c>
      <c r="I158" s="42">
        <f t="shared" si="70"/>
        <v>0</v>
      </c>
      <c r="J158" s="42">
        <f t="shared" si="70"/>
        <v>0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54"/>
      <c r="AY158" s="54"/>
      <c r="AZ158" s="22"/>
    </row>
    <row r="159" spans="1:52">
      <c r="A159" s="107" t="str">
        <f t="shared" si="69"/>
        <v>EGASWKS</v>
      </c>
      <c r="B159" s="135" t="s">
        <v>198</v>
      </c>
      <c r="C159" s="42">
        <f t="shared" si="70"/>
        <v>0</v>
      </c>
      <c r="D159" s="42">
        <f t="shared" si="70"/>
        <v>0</v>
      </c>
      <c r="E159" s="42">
        <f t="shared" si="70"/>
        <v>0</v>
      </c>
      <c r="F159" s="42">
        <f t="shared" si="70"/>
        <v>0</v>
      </c>
      <c r="G159" s="42">
        <f t="shared" si="70"/>
        <v>0</v>
      </c>
      <c r="H159" s="42">
        <f t="shared" si="70"/>
        <v>0</v>
      </c>
      <c r="I159" s="42">
        <f t="shared" si="70"/>
        <v>0</v>
      </c>
      <c r="J159" s="42">
        <f t="shared" si="70"/>
        <v>0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54"/>
      <c r="AY159" s="54"/>
      <c r="AZ159" s="22"/>
    </row>
    <row r="160" spans="1:52">
      <c r="A160" s="107" t="str">
        <f t="shared" si="69"/>
        <v>EBKB</v>
      </c>
      <c r="B160" s="135" t="s">
        <v>201</v>
      </c>
      <c r="C160" s="42">
        <f t="shared" si="70"/>
        <v>0</v>
      </c>
      <c r="D160" s="42">
        <f t="shared" si="70"/>
        <v>0</v>
      </c>
      <c r="E160" s="42">
        <f t="shared" si="70"/>
        <v>0</v>
      </c>
      <c r="F160" s="42">
        <f t="shared" si="70"/>
        <v>0</v>
      </c>
      <c r="G160" s="42">
        <f t="shared" si="70"/>
        <v>0</v>
      </c>
      <c r="H160" s="42">
        <f t="shared" si="70"/>
        <v>0</v>
      </c>
      <c r="I160" s="42">
        <f t="shared" si="70"/>
        <v>0</v>
      </c>
      <c r="J160" s="42">
        <f t="shared" si="70"/>
        <v>0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54"/>
      <c r="AY160" s="54"/>
      <c r="AZ160" s="22"/>
    </row>
    <row r="161" spans="1:52">
      <c r="A161" s="147" t="str">
        <f t="shared" si="69"/>
        <v>EREFINER</v>
      </c>
      <c r="B161" s="148" t="s">
        <v>226</v>
      </c>
      <c r="C161" s="149">
        <f>C137+S180</f>
        <v>-11.370113606328713</v>
      </c>
      <c r="D161" s="149">
        <f>D137+S183</f>
        <v>0</v>
      </c>
      <c r="E161" s="149">
        <f>E137</f>
        <v>0</v>
      </c>
      <c r="F161" s="149">
        <f>F137+S181</f>
        <v>-5.6608370017495568</v>
      </c>
      <c r="G161" s="149">
        <f>G137+S182</f>
        <v>-17.44391676274158</v>
      </c>
      <c r="H161" s="149">
        <f>H137</f>
        <v>0</v>
      </c>
      <c r="I161" s="149">
        <f>I137</f>
        <v>-4.6484365680000002</v>
      </c>
      <c r="J161" s="149">
        <f>J137-O174</f>
        <v>-3.7914427871136001</v>
      </c>
      <c r="K161" s="150" t="s">
        <v>233</v>
      </c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54"/>
      <c r="AY161" s="54"/>
      <c r="AZ161" s="22"/>
    </row>
    <row r="162" spans="1:52">
      <c r="A162" s="106" t="str">
        <f t="shared" si="69"/>
        <v>ENONSPEC</v>
      </c>
      <c r="B162" s="146" t="s">
        <v>227</v>
      </c>
      <c r="C162" s="52">
        <f>C138</f>
        <v>0</v>
      </c>
      <c r="D162" s="52">
        <f>D138</f>
        <v>0</v>
      </c>
      <c r="E162" s="52">
        <f>E138</f>
        <v>0</v>
      </c>
      <c r="F162" s="52">
        <f>F138</f>
        <v>0</v>
      </c>
      <c r="G162" s="52">
        <f>G138</f>
        <v>0</v>
      </c>
      <c r="H162" s="52">
        <f>H138</f>
        <v>0</v>
      </c>
      <c r="I162" s="52">
        <f>I138</f>
        <v>0</v>
      </c>
      <c r="J162" s="52">
        <f>J138</f>
        <v>0</v>
      </c>
      <c r="K162" s="150" t="s">
        <v>234</v>
      </c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54"/>
      <c r="AY162" s="54"/>
      <c r="AZ162" s="22"/>
    </row>
    <row r="163" spans="1:52">
      <c r="A163" s="107" t="str">
        <f>A140</f>
        <v>PIPELINE</v>
      </c>
      <c r="B163" s="135" t="s">
        <v>230</v>
      </c>
      <c r="C163" s="42">
        <f t="shared" ref="C163:J163" si="71">C140</f>
        <v>-0.35721484524000002</v>
      </c>
      <c r="D163" s="42">
        <f t="shared" si="71"/>
        <v>0</v>
      </c>
      <c r="E163" s="42">
        <f t="shared" si="71"/>
        <v>0</v>
      </c>
      <c r="F163" s="42">
        <f t="shared" si="71"/>
        <v>0</v>
      </c>
      <c r="G163" s="42">
        <f t="shared" si="71"/>
        <v>0</v>
      </c>
      <c r="H163" s="42">
        <f t="shared" si="71"/>
        <v>0</v>
      </c>
      <c r="I163" s="42">
        <f t="shared" si="71"/>
        <v>0</v>
      </c>
      <c r="J163" s="42">
        <f t="shared" si="71"/>
        <v>0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54"/>
      <c r="AY163" s="54"/>
      <c r="AZ163" s="22"/>
    </row>
    <row r="164" spans="1:52">
      <c r="A164" s="79" t="str">
        <f>B24</f>
        <v>Oil pipelines</v>
      </c>
      <c r="B164" s="135" t="s">
        <v>18</v>
      </c>
      <c r="C164" s="42">
        <f t="shared" ref="C164:J164" si="72">C24*C163</f>
        <v>-0.10716445357200001</v>
      </c>
      <c r="D164" s="42">
        <f t="shared" si="72"/>
        <v>0</v>
      </c>
      <c r="E164" s="42">
        <f t="shared" si="72"/>
        <v>0</v>
      </c>
      <c r="F164" s="42">
        <f t="shared" si="72"/>
        <v>0</v>
      </c>
      <c r="G164" s="42">
        <f t="shared" si="72"/>
        <v>0</v>
      </c>
      <c r="H164" s="42">
        <f t="shared" si="72"/>
        <v>0</v>
      </c>
      <c r="I164" s="42">
        <f t="shared" si="72"/>
        <v>0</v>
      </c>
      <c r="J164" s="42">
        <f t="shared" si="72"/>
        <v>0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54"/>
      <c r="AY164" s="54"/>
      <c r="AZ164" s="22"/>
    </row>
    <row r="165" spans="1:52">
      <c r="A165" s="79" t="str">
        <f>B25</f>
        <v>Gas pipelines</v>
      </c>
      <c r="B165" s="135" t="s">
        <v>18</v>
      </c>
      <c r="C165" s="42">
        <f t="shared" ref="C165:J165" si="73">C25*C163</f>
        <v>-0.142885938096</v>
      </c>
      <c r="D165" s="42">
        <f t="shared" si="73"/>
        <v>0</v>
      </c>
      <c r="E165" s="42">
        <f t="shared" si="73"/>
        <v>0</v>
      </c>
      <c r="F165" s="42">
        <f t="shared" si="73"/>
        <v>0</v>
      </c>
      <c r="G165" s="42">
        <f t="shared" si="73"/>
        <v>0</v>
      </c>
      <c r="H165" s="42">
        <f t="shared" si="73"/>
        <v>0</v>
      </c>
      <c r="I165" s="42">
        <f t="shared" si="73"/>
        <v>0</v>
      </c>
      <c r="J165" s="42">
        <f t="shared" si="73"/>
        <v>0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54"/>
      <c r="AY165" s="54"/>
      <c r="AZ165" s="22"/>
    </row>
    <row r="166" spans="1:52">
      <c r="A166" s="79" t="str">
        <f>B26</f>
        <v>Rpp pipelines</v>
      </c>
      <c r="B166" s="135" t="s">
        <v>18</v>
      </c>
      <c r="C166" s="42">
        <f t="shared" ref="C166:J166" si="74">C26*C163</f>
        <v>-0.10716445357200001</v>
      </c>
      <c r="D166" s="42">
        <f t="shared" si="74"/>
        <v>0</v>
      </c>
      <c r="E166" s="42">
        <f t="shared" si="74"/>
        <v>0</v>
      </c>
      <c r="F166" s="42">
        <f t="shared" si="74"/>
        <v>0</v>
      </c>
      <c r="G166" s="42">
        <f t="shared" si="74"/>
        <v>0</v>
      </c>
      <c r="H166" s="42">
        <f t="shared" si="74"/>
        <v>0</v>
      </c>
      <c r="I166" s="42">
        <f t="shared" si="74"/>
        <v>0</v>
      </c>
      <c r="J166" s="42">
        <f t="shared" si="74"/>
        <v>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54"/>
      <c r="AY166" s="54"/>
      <c r="AZ166" s="22"/>
    </row>
    <row r="167" spans="1:52">
      <c r="A167" s="22"/>
      <c r="B167" s="151"/>
      <c r="C167" s="49"/>
      <c r="D167" s="49"/>
      <c r="E167" s="49"/>
      <c r="F167" s="49"/>
      <c r="G167" s="49"/>
      <c r="H167" s="49"/>
      <c r="I167" s="49"/>
      <c r="J167" s="57"/>
      <c r="K167" s="57"/>
      <c r="L167" s="57"/>
      <c r="M167" s="57"/>
      <c r="N167" s="22"/>
      <c r="O167" s="22"/>
      <c r="P167" s="22"/>
      <c r="Q167" s="22"/>
      <c r="R167" s="22"/>
      <c r="S167" s="22"/>
      <c r="T167" s="22"/>
      <c r="U167" s="22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54"/>
      <c r="AY167" s="54"/>
      <c r="AZ167" s="22"/>
    </row>
    <row r="168" spans="1:52" ht="18">
      <c r="A168" s="152" t="s">
        <v>235</v>
      </c>
      <c r="B168" s="153"/>
      <c r="C168" s="154"/>
      <c r="D168" s="155"/>
      <c r="E168" s="36"/>
      <c r="F168" s="22"/>
      <c r="G168" s="22"/>
      <c r="H168" s="152" t="s">
        <v>236</v>
      </c>
      <c r="I168" s="153"/>
      <c r="J168" s="154"/>
      <c r="K168" s="155"/>
      <c r="L168" s="36"/>
      <c r="M168" s="22"/>
      <c r="N168" s="22"/>
      <c r="O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>
      <c r="A169" s="156" t="s">
        <v>237</v>
      </c>
      <c r="B169" s="157">
        <v>4.9124076698678909E-2</v>
      </c>
      <c r="C169" s="158" t="s">
        <v>238</v>
      </c>
      <c r="D169" s="158" t="s">
        <v>239</v>
      </c>
      <c r="E169" s="158" t="s">
        <v>240</v>
      </c>
      <c r="F169" s="22"/>
      <c r="G169" s="22"/>
      <c r="H169" s="159" t="s">
        <v>241</v>
      </c>
      <c r="I169" s="159"/>
      <c r="J169" s="160">
        <f>B169</f>
        <v>4.9124076698678909E-2</v>
      </c>
      <c r="K169" s="161" t="s">
        <v>242</v>
      </c>
      <c r="L169" s="16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>
      <c r="A170" s="163"/>
      <c r="B170" s="164"/>
      <c r="C170" s="165">
        <v>-4.1868000000000002E-2</v>
      </c>
      <c r="D170" s="166">
        <v>3.5999999999999999E-3</v>
      </c>
      <c r="E170" s="166">
        <v>1E-3</v>
      </c>
      <c r="F170" s="22"/>
      <c r="G170" s="22"/>
      <c r="H170" s="161"/>
      <c r="I170" s="161"/>
      <c r="J170" s="161"/>
      <c r="K170" s="161"/>
      <c r="L170" s="16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ht="13.5" thickBot="1">
      <c r="A171" s="167"/>
      <c r="B171" s="168" t="s">
        <v>243</v>
      </c>
      <c r="C171" s="169" t="s">
        <v>244</v>
      </c>
      <c r="D171" s="169" t="s">
        <v>245</v>
      </c>
      <c r="E171" s="169" t="s">
        <v>246</v>
      </c>
      <c r="F171" s="22"/>
      <c r="G171" s="22"/>
      <c r="H171" s="170"/>
      <c r="I171" s="171" t="s">
        <v>238</v>
      </c>
      <c r="J171" s="171" t="s">
        <v>239</v>
      </c>
      <c r="K171" s="171" t="s">
        <v>240</v>
      </c>
      <c r="L171" s="172" t="s">
        <v>247</v>
      </c>
      <c r="M171" s="172"/>
      <c r="O171" s="173">
        <v>4.4000000000000004</v>
      </c>
      <c r="P171" t="s">
        <v>248</v>
      </c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>
      <c r="A172" s="174" t="s">
        <v>249</v>
      </c>
      <c r="B172" s="175" t="s">
        <v>56</v>
      </c>
      <c r="C172" s="176">
        <v>0</v>
      </c>
      <c r="D172" s="177">
        <v>0</v>
      </c>
      <c r="E172" s="177">
        <v>0</v>
      </c>
      <c r="F172" s="22"/>
      <c r="G172" s="22"/>
      <c r="H172" s="178" t="s">
        <v>250</v>
      </c>
      <c r="I172" s="179">
        <f>C172+C176</f>
        <v>18.268842949173631</v>
      </c>
      <c r="J172" s="179">
        <f>D172+D176</f>
        <v>9.6407555459471759</v>
      </c>
      <c r="K172" s="179">
        <f>E172+E176</f>
        <v>5.8704448731582133</v>
      </c>
      <c r="L172" s="180">
        <f t="shared" ref="L172:L187" si="75">IF(I172=0,0,J172/I172)</f>
        <v>0.52771571646704996</v>
      </c>
      <c r="M172" s="180">
        <f t="shared" ref="M172:M186" si="76">IF(K172=0,0,J172/K172)</f>
        <v>1.6422529730290425</v>
      </c>
      <c r="O172" s="181">
        <v>1.6</v>
      </c>
      <c r="P172" t="s">
        <v>251</v>
      </c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>
      <c r="A173" s="174" t="s">
        <v>252</v>
      </c>
      <c r="B173" s="175" t="s">
        <v>58</v>
      </c>
      <c r="C173" s="176">
        <v>0.30396168000000007</v>
      </c>
      <c r="D173" s="177">
        <v>0.15479999999999999</v>
      </c>
      <c r="E173" s="177">
        <v>9.3993660000000007E-2</v>
      </c>
      <c r="F173" s="22"/>
      <c r="G173" s="22"/>
      <c r="H173" s="178" t="s">
        <v>74</v>
      </c>
      <c r="I173" s="179">
        <f>C178</f>
        <v>0</v>
      </c>
      <c r="J173" s="179">
        <f>D178</f>
        <v>1.0800000000000001E-2</v>
      </c>
      <c r="K173" s="179">
        <f>E178</f>
        <v>1.0048320000000002E-3</v>
      </c>
      <c r="L173" s="180">
        <f t="shared" si="75"/>
        <v>0</v>
      </c>
      <c r="M173" s="180">
        <f t="shared" si="76"/>
        <v>10.748065348237315</v>
      </c>
      <c r="O173" s="182">
        <f>-SUM(R76,T76,V76)</f>
        <v>561.74538434400006</v>
      </c>
      <c r="P173" t="s">
        <v>253</v>
      </c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>
      <c r="A174" s="174" t="s">
        <v>254</v>
      </c>
      <c r="B174" s="175" t="s">
        <v>57</v>
      </c>
      <c r="C174" s="176">
        <v>3.2405832000000002E-2</v>
      </c>
      <c r="D174" s="177">
        <v>1.7999999999999999E-2</v>
      </c>
      <c r="E174" s="177">
        <v>1.1011284000000001E-2</v>
      </c>
      <c r="F174" s="22"/>
      <c r="G174" s="22"/>
      <c r="H174" s="178" t="s">
        <v>17</v>
      </c>
      <c r="I174" s="179">
        <f>C185</f>
        <v>0</v>
      </c>
      <c r="J174" s="179">
        <f>D185</f>
        <v>0</v>
      </c>
      <c r="K174" s="179">
        <f>E185</f>
        <v>0</v>
      </c>
      <c r="L174" s="180">
        <f t="shared" si="75"/>
        <v>0</v>
      </c>
      <c r="M174" s="180">
        <f t="shared" si="76"/>
        <v>0</v>
      </c>
      <c r="O174" s="183">
        <f>O173*O171/1000</f>
        <v>2.4716796911136001</v>
      </c>
      <c r="P174" t="s">
        <v>255</v>
      </c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>
      <c r="A175" s="174" t="s">
        <v>256</v>
      </c>
      <c r="B175" s="175" t="s">
        <v>59</v>
      </c>
      <c r="C175" s="176">
        <v>0</v>
      </c>
      <c r="D175" s="177">
        <v>0</v>
      </c>
      <c r="E175" s="177">
        <v>0</v>
      </c>
      <c r="F175" s="22"/>
      <c r="G175" s="22"/>
      <c r="H175" s="178" t="s">
        <v>257</v>
      </c>
      <c r="I175" s="179">
        <f>C197+C198</f>
        <v>20.215890122537509</v>
      </c>
      <c r="J175" s="179">
        <f>D197+D198</f>
        <v>3.61341323642025</v>
      </c>
      <c r="K175" s="179">
        <f>E197+E198</f>
        <v>13.30405668142221</v>
      </c>
      <c r="L175" s="180">
        <f t="shared" si="75"/>
        <v>0.17874123842767961</v>
      </c>
      <c r="M175" s="180">
        <f t="shared" si="76"/>
        <v>0.27160236332020604</v>
      </c>
      <c r="O175" s="183">
        <f>O174/O172</f>
        <v>1.5447998069460001</v>
      </c>
      <c r="P175" t="s">
        <v>258</v>
      </c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>
      <c r="A176" s="174" t="s">
        <v>229</v>
      </c>
      <c r="B176" s="175" t="s">
        <v>67</v>
      </c>
      <c r="C176" s="176">
        <v>18.268842949173631</v>
      </c>
      <c r="D176" s="177">
        <v>9.6407555459471759</v>
      </c>
      <c r="E176" s="177">
        <v>5.8704448731582133</v>
      </c>
      <c r="F176" s="22"/>
      <c r="G176" s="22"/>
      <c r="H176" s="178" t="s">
        <v>259</v>
      </c>
      <c r="I176" s="179">
        <f>C199</f>
        <v>4.4858115441926347E-3</v>
      </c>
      <c r="J176" s="179">
        <f>D199</f>
        <v>2.2820945987792485E-4</v>
      </c>
      <c r="K176" s="179">
        <f>E199</f>
        <v>3.9223185959513032E-3</v>
      </c>
      <c r="L176" s="180">
        <f t="shared" si="75"/>
        <v>5.087361732201312E-2</v>
      </c>
      <c r="M176" s="180">
        <f t="shared" si="76"/>
        <v>5.818228537413745E-2</v>
      </c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>
      <c r="A177" s="174" t="s">
        <v>260</v>
      </c>
      <c r="B177" s="175" t="s">
        <v>72</v>
      </c>
      <c r="C177" s="176">
        <v>9.901782000000002E-2</v>
      </c>
      <c r="D177" s="177">
        <v>4.6800000000000001E-2</v>
      </c>
      <c r="E177" s="177">
        <v>6.3011339999999999E-2</v>
      </c>
      <c r="F177" s="22"/>
      <c r="G177" s="22"/>
      <c r="H177" s="178" t="s">
        <v>261</v>
      </c>
      <c r="I177" s="179">
        <f>C174</f>
        <v>3.2405832000000002E-2</v>
      </c>
      <c r="J177" s="179">
        <f>D174</f>
        <v>1.7999999999999999E-2</v>
      </c>
      <c r="K177" s="179">
        <f>E174</f>
        <v>1.1011284000000001E-2</v>
      </c>
      <c r="L177" s="180">
        <f t="shared" si="75"/>
        <v>0.55545557355231601</v>
      </c>
      <c r="M177" s="180">
        <f t="shared" si="76"/>
        <v>1.6346867449790594</v>
      </c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ht="18">
      <c r="A178" s="174" t="s">
        <v>262</v>
      </c>
      <c r="B178" s="175" t="s">
        <v>74</v>
      </c>
      <c r="C178" s="176">
        <v>0</v>
      </c>
      <c r="D178" s="177">
        <v>1.0800000000000001E-2</v>
      </c>
      <c r="E178" s="177">
        <v>1.0048320000000002E-3</v>
      </c>
      <c r="F178" s="22"/>
      <c r="G178" s="22"/>
      <c r="H178" s="178" t="s">
        <v>263</v>
      </c>
      <c r="I178" s="179">
        <f>C173</f>
        <v>0.30396168000000007</v>
      </c>
      <c r="J178" s="179">
        <f>D173</f>
        <v>0.15479999999999999</v>
      </c>
      <c r="K178" s="179">
        <f>E173</f>
        <v>9.3993660000000007E-2</v>
      </c>
      <c r="L178" s="180">
        <f t="shared" si="75"/>
        <v>0.5092747217346606</v>
      </c>
      <c r="M178" s="180">
        <f t="shared" si="76"/>
        <v>1.6469195901085241</v>
      </c>
      <c r="P178" s="152" t="s">
        <v>264</v>
      </c>
      <c r="Q178" s="154"/>
      <c r="R178" s="155"/>
      <c r="S178" s="154"/>
      <c r="T178" s="48"/>
      <c r="U178" s="22"/>
      <c r="V178" s="22"/>
      <c r="W178" s="22"/>
      <c r="X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ht="13.5" thickBot="1">
      <c r="A179" s="184" t="s">
        <v>265</v>
      </c>
      <c r="B179" s="185" t="s">
        <v>73</v>
      </c>
      <c r="C179" s="186">
        <v>0</v>
      </c>
      <c r="D179" s="186">
        <v>0</v>
      </c>
      <c r="E179" s="186">
        <v>0</v>
      </c>
      <c r="F179" s="22"/>
      <c r="G179" s="22"/>
      <c r="H179" s="178" t="s">
        <v>266</v>
      </c>
      <c r="I179" s="179">
        <f>C175</f>
        <v>0</v>
      </c>
      <c r="J179" s="179">
        <f>D175</f>
        <v>0</v>
      </c>
      <c r="K179" s="179">
        <f>E175</f>
        <v>0</v>
      </c>
      <c r="L179" s="180">
        <f t="shared" si="75"/>
        <v>0</v>
      </c>
      <c r="M179" s="180">
        <f t="shared" si="76"/>
        <v>0</v>
      </c>
      <c r="P179" s="187" t="s">
        <v>267</v>
      </c>
      <c r="Q179" s="187" t="s">
        <v>268</v>
      </c>
      <c r="R179" s="187" t="s">
        <v>269</v>
      </c>
      <c r="S179" s="188" t="s">
        <v>238</v>
      </c>
      <c r="U179" s="22"/>
      <c r="V179" s="22"/>
      <c r="W179" s="22"/>
      <c r="X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>
      <c r="A180" s="189" t="s">
        <v>270</v>
      </c>
      <c r="B180" s="190" t="s">
        <v>270</v>
      </c>
      <c r="C180" s="191">
        <v>18.704228281173631</v>
      </c>
      <c r="D180" s="192">
        <v>9.8711555459471754</v>
      </c>
      <c r="E180" s="192">
        <v>6.039465989158213</v>
      </c>
      <c r="F180" s="22"/>
      <c r="G180" s="22"/>
      <c r="H180" s="178" t="s">
        <v>271</v>
      </c>
      <c r="I180" s="179">
        <f>C189+C181+C186+C187</f>
        <v>3.1122944072938807E-2</v>
      </c>
      <c r="J180" s="179">
        <f>D189+D181+D186+D187</f>
        <v>0.49744822113621801</v>
      </c>
      <c r="K180" s="179">
        <f>E189+E181+E186+E187</f>
        <v>-0.44627880945213177</v>
      </c>
      <c r="L180" s="180">
        <f t="shared" si="75"/>
        <v>15.98332792586759</v>
      </c>
      <c r="M180" s="180">
        <f t="shared" si="76"/>
        <v>-1.1146579461097508</v>
      </c>
      <c r="O180" s="193" t="s">
        <v>216</v>
      </c>
      <c r="P180" s="194">
        <f>-C137</f>
        <v>12.196022796000001</v>
      </c>
      <c r="Q180" s="195">
        <v>0.8</v>
      </c>
      <c r="R180" s="194">
        <f>IF(P$184&gt;0,P180*Q180*N$206/Q$184,0)</f>
        <v>0.6607273517370299</v>
      </c>
      <c r="S180" s="196">
        <f>R180/Q180</f>
        <v>0.82590918967128735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>
      <c r="A181" s="174" t="s">
        <v>272</v>
      </c>
      <c r="B181" s="175" t="s">
        <v>68</v>
      </c>
      <c r="C181" s="176">
        <v>0</v>
      </c>
      <c r="D181" s="177">
        <v>0</v>
      </c>
      <c r="E181" s="177">
        <v>0</v>
      </c>
      <c r="F181" s="22"/>
      <c r="G181" s="22"/>
      <c r="H181" s="178" t="s">
        <v>273</v>
      </c>
      <c r="I181" s="179">
        <f>C182+C183+C188</f>
        <v>9.6441765283047376E-3</v>
      </c>
      <c r="J181" s="179">
        <f>D182+D183+D188</f>
        <v>7.2382390579907186E-3</v>
      </c>
      <c r="K181" s="179">
        <f>E182+E183+E188</f>
        <v>-2.5275766813898301E-2</v>
      </c>
      <c r="L181" s="180">
        <f t="shared" si="75"/>
        <v>0.75052950728838053</v>
      </c>
      <c r="M181" s="180">
        <f t="shared" si="76"/>
        <v>-0.2863707008885148</v>
      </c>
      <c r="O181" s="193" t="s">
        <v>219</v>
      </c>
      <c r="P181" s="194">
        <f>-F137</f>
        <v>6.0720323040000004</v>
      </c>
      <c r="Q181" s="195">
        <v>0.8</v>
      </c>
      <c r="R181" s="194">
        <f>IF(P$184&gt;0,P181*Q181*N$206/Q$184,0)</f>
        <v>0.32895624180035488</v>
      </c>
      <c r="S181" s="196">
        <f>R181/Q181</f>
        <v>0.4111953022504436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>
      <c r="A182" s="174" t="s">
        <v>274</v>
      </c>
      <c r="B182" s="175" t="s">
        <v>80</v>
      </c>
      <c r="C182" s="176">
        <v>9.6441765283047376E-3</v>
      </c>
      <c r="D182" s="177">
        <v>7.2382390579907186E-3</v>
      </c>
      <c r="E182" s="177">
        <v>-2.5275766813898301E-2</v>
      </c>
      <c r="F182" s="22"/>
      <c r="G182" s="22"/>
      <c r="H182" s="178" t="s">
        <v>275</v>
      </c>
      <c r="I182" s="179">
        <f>C177+C179</f>
        <v>9.901782000000002E-2</v>
      </c>
      <c r="J182" s="179">
        <f>D177+D179</f>
        <v>4.6800000000000001E-2</v>
      </c>
      <c r="K182" s="179">
        <f>E177+E179</f>
        <v>6.3011339999999999E-2</v>
      </c>
      <c r="L182" s="180">
        <f t="shared" si="75"/>
        <v>0.4726421971317889</v>
      </c>
      <c r="M182" s="180">
        <f t="shared" si="76"/>
        <v>0.74272345263566852</v>
      </c>
      <c r="O182" s="193" t="s">
        <v>220</v>
      </c>
      <c r="P182" s="194">
        <f>-G137</f>
        <v>18.711018540000001</v>
      </c>
      <c r="Q182" s="195">
        <v>0.8</v>
      </c>
      <c r="R182" s="194">
        <f>IF(P$184&gt;0,P182*Q182*N$206/Q$184,0)</f>
        <v>1.013681421806738</v>
      </c>
      <c r="S182" s="196">
        <f>R182/Q182</f>
        <v>1.2671017772584225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>
      <c r="A183" s="174" t="s">
        <v>276</v>
      </c>
      <c r="B183" s="175" t="s">
        <v>75</v>
      </c>
      <c r="C183" s="176">
        <v>0</v>
      </c>
      <c r="D183" s="177">
        <v>0</v>
      </c>
      <c r="E183" s="177">
        <v>0</v>
      </c>
      <c r="F183" s="22"/>
      <c r="G183" s="22"/>
      <c r="H183" s="178" t="s">
        <v>277</v>
      </c>
      <c r="I183" s="179">
        <f>C184</f>
        <v>0</v>
      </c>
      <c r="J183" s="179">
        <f>D184</f>
        <v>0</v>
      </c>
      <c r="K183" s="179">
        <f>E184</f>
        <v>0</v>
      </c>
      <c r="L183" s="180">
        <f t="shared" si="75"/>
        <v>0</v>
      </c>
      <c r="M183" s="180">
        <f t="shared" si="76"/>
        <v>0</v>
      </c>
      <c r="O183" s="193" t="s">
        <v>217</v>
      </c>
      <c r="P183" s="194">
        <f>-D137</f>
        <v>0</v>
      </c>
      <c r="Q183" s="195">
        <v>0.8</v>
      </c>
      <c r="R183" s="194">
        <f>IF(P$184&gt;0,P183*Q183*N$206/Q$184,0)</f>
        <v>0</v>
      </c>
      <c r="S183" s="196">
        <f>R183/Q183</f>
        <v>0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>
      <c r="A184" s="174" t="s">
        <v>278</v>
      </c>
      <c r="B184" s="175" t="s">
        <v>82</v>
      </c>
      <c r="C184" s="176">
        <v>0</v>
      </c>
      <c r="D184" s="177">
        <v>0</v>
      </c>
      <c r="E184" s="177">
        <v>0</v>
      </c>
      <c r="F184" s="22"/>
      <c r="G184" s="22"/>
      <c r="H184" s="178" t="s">
        <v>279</v>
      </c>
      <c r="I184" s="179">
        <f>C200</f>
        <v>0</v>
      </c>
      <c r="J184" s="179">
        <f>D200</f>
        <v>0</v>
      </c>
      <c r="K184" s="179">
        <f>E200</f>
        <v>0</v>
      </c>
      <c r="L184" s="180">
        <f t="shared" si="75"/>
        <v>0</v>
      </c>
      <c r="M184" s="180">
        <f t="shared" si="76"/>
        <v>0</v>
      </c>
      <c r="P184" s="197">
        <f>SUM(P180:P183)</f>
        <v>36.979073640000003</v>
      </c>
      <c r="Q184" s="113">
        <f>MAX(N206,SUMPRODUCT(P180:P183,Q180:Q183))</f>
        <v>29.583258912000005</v>
      </c>
      <c r="R184" s="197">
        <f>SUM(R180:R183)</f>
        <v>2.0033650153441229</v>
      </c>
      <c r="S184" s="197">
        <f>SUM(S180:S183)</f>
        <v>2.5042062691801537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>
      <c r="A185" s="174" t="s">
        <v>280</v>
      </c>
      <c r="B185" s="175" t="s">
        <v>17</v>
      </c>
      <c r="C185" s="176">
        <v>0</v>
      </c>
      <c r="D185" s="177">
        <v>0</v>
      </c>
      <c r="E185" s="177">
        <v>0</v>
      </c>
      <c r="F185" s="22"/>
      <c r="G185" s="22"/>
      <c r="H185" s="178" t="s">
        <v>281</v>
      </c>
      <c r="I185" s="179">
        <f>SUM(C191:C195)</f>
        <v>75.761083503799156</v>
      </c>
      <c r="J185" s="179">
        <f>SUM(D191:D195)</f>
        <v>24.613786307280442</v>
      </c>
      <c r="K185" s="179">
        <f>SUM(E191:E195)</f>
        <v>38.039140611089671</v>
      </c>
      <c r="L185" s="180">
        <f t="shared" si="75"/>
        <v>0.32488693625990905</v>
      </c>
      <c r="M185" s="180">
        <f t="shared" si="76"/>
        <v>0.64706473153351696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197"/>
      <c r="Z185" s="22"/>
      <c r="AA185" s="197"/>
      <c r="AB185" s="197"/>
      <c r="AC185" s="198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>
      <c r="A186" s="174" t="s">
        <v>282</v>
      </c>
      <c r="B186" s="175" t="s">
        <v>71</v>
      </c>
      <c r="C186" s="176">
        <v>0</v>
      </c>
      <c r="D186" s="177">
        <v>0</v>
      </c>
      <c r="E186" s="177">
        <v>0</v>
      </c>
      <c r="F186" s="22"/>
      <c r="G186" s="22"/>
      <c r="H186" s="178" t="s">
        <v>283</v>
      </c>
      <c r="I186" s="179">
        <f>C204</f>
        <v>0</v>
      </c>
      <c r="J186" s="179">
        <f>D204</f>
        <v>0</v>
      </c>
      <c r="K186" s="179">
        <f>E204</f>
        <v>0</v>
      </c>
      <c r="L186" s="180">
        <f t="shared" si="75"/>
        <v>0</v>
      </c>
      <c r="M186" s="180">
        <f t="shared" si="76"/>
        <v>0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>
      <c r="A187" s="174" t="s">
        <v>284</v>
      </c>
      <c r="B187" s="175" t="s">
        <v>88</v>
      </c>
      <c r="C187" s="176">
        <v>0</v>
      </c>
      <c r="D187" s="177">
        <v>-1.1872536473364276E-3</v>
      </c>
      <c r="E187" s="177">
        <v>4.1818848101795123E-3</v>
      </c>
      <c r="F187" s="22"/>
      <c r="G187" s="22"/>
      <c r="H187" s="25" t="s">
        <v>285</v>
      </c>
      <c r="I187" s="199">
        <f>SUM(I172:I186)</f>
        <v>114.72645483965573</v>
      </c>
      <c r="J187" s="199">
        <f>SUM(J172:J186)</f>
        <v>38.603269759301952</v>
      </c>
      <c r="K187" s="199">
        <f>SUM(K172:K186)</f>
        <v>56.915031024000015</v>
      </c>
      <c r="L187" s="199">
        <f t="shared" si="75"/>
        <v>0.33648097828225187</v>
      </c>
      <c r="M187" s="199">
        <f>IF(K187=0,0,J187/K187)</f>
        <v>0.67826141995817713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>
      <c r="A188" s="174" t="s">
        <v>286</v>
      </c>
      <c r="B188" s="175" t="s">
        <v>79</v>
      </c>
      <c r="C188" s="176">
        <v>0</v>
      </c>
      <c r="D188" s="177">
        <v>0</v>
      </c>
      <c r="E188" s="177">
        <v>0</v>
      </c>
      <c r="F188" s="22"/>
      <c r="G188" s="22"/>
      <c r="J188" s="200">
        <f t="array" ref="J188">MAX(0.01,SUM(IF($I172:$I186&gt;0,J172:J186,0)))</f>
        <v>38.592469759301956</v>
      </c>
      <c r="K188" s="200">
        <f t="array" ref="K188">MAX(0.01,SUM(IF($I172:$I186&gt;0,K172:K186,0)))</f>
        <v>56.914026192000009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ht="13.5" thickBot="1">
      <c r="A189" s="174" t="s">
        <v>287</v>
      </c>
      <c r="B189" s="175" t="s">
        <v>81</v>
      </c>
      <c r="C189" s="176">
        <v>3.1122944072938807E-2</v>
      </c>
      <c r="D189" s="177">
        <v>0.49863547478355441</v>
      </c>
      <c r="E189" s="177">
        <v>-0.45046069426231128</v>
      </c>
      <c r="F189" s="22"/>
      <c r="G189" s="22"/>
      <c r="H189" s="171"/>
      <c r="I189" s="172" t="s">
        <v>288</v>
      </c>
      <c r="J189" s="172" t="s">
        <v>289</v>
      </c>
      <c r="K189" s="172" t="s">
        <v>290</v>
      </c>
      <c r="L189" s="172" t="s">
        <v>291</v>
      </c>
      <c r="M189" s="172" t="s">
        <v>292</v>
      </c>
      <c r="N189" s="201">
        <f>SUMPRODUCT(I172:I186,J190:J204,M190:M204)</f>
        <v>1.0068170686406732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>
      <c r="A190" s="189" t="s">
        <v>270</v>
      </c>
      <c r="B190" s="190" t="s">
        <v>270</v>
      </c>
      <c r="C190" s="191">
        <v>4.0767120601243545E-2</v>
      </c>
      <c r="D190" s="192">
        <v>0.50468646019420871</v>
      </c>
      <c r="E190" s="192">
        <v>-0.47155457626603009</v>
      </c>
      <c r="F190" s="22"/>
      <c r="G190" s="22"/>
      <c r="H190" s="178" t="s">
        <v>250</v>
      </c>
      <c r="I190" s="202">
        <v>0.82</v>
      </c>
      <c r="J190" s="203">
        <f>MAX(0.15,L172*J$187/J$188*(1-J$169))</f>
        <v>0.50193259433990967</v>
      </c>
      <c r="K190" s="180">
        <f t="shared" ref="K190:K204" ca="1" si="77">MAX(0.01,(MAX(I190,MIN(1,J190+K172/(I172+Tiny)*K$187/K$188))-J190)/J190)</f>
        <v>0.64020968619863472</v>
      </c>
      <c r="L190" s="204">
        <f>J190*K190*I172</f>
        <v>5.8705485170746368</v>
      </c>
      <c r="M190" s="196">
        <v>0.1</v>
      </c>
      <c r="N190" s="204">
        <f t="shared" ref="N190:N204" ca="1" si="78">J190*I172*M190*$O$175/($N$189+Tiny)*K190</f>
        <v>0.90074180199195775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>
      <c r="A191" s="174" t="s">
        <v>293</v>
      </c>
      <c r="B191" s="175" t="s">
        <v>294</v>
      </c>
      <c r="C191" s="176">
        <v>8.0168414362490475E-2</v>
      </c>
      <c r="D191" s="177">
        <v>2.9006714485655422E-2</v>
      </c>
      <c r="E191" s="177">
        <v>1.7977858940486906E-2</v>
      </c>
      <c r="F191" s="22"/>
      <c r="G191" s="22"/>
      <c r="H191" s="178" t="s">
        <v>74</v>
      </c>
      <c r="I191" s="202">
        <v>0.82</v>
      </c>
      <c r="J191" s="203">
        <f t="shared" ref="J191:J204" si="79">MAX(0.15,L173*J$187/J$188*(1-J$169))</f>
        <v>0.15</v>
      </c>
      <c r="K191" s="180">
        <f t="shared" ca="1" si="77"/>
        <v>5.666666666666667</v>
      </c>
      <c r="L191" s="204">
        <f t="shared" ref="L191:L204" si="80">J191*K191*I173</f>
        <v>0</v>
      </c>
      <c r="M191" s="196">
        <v>0.1</v>
      </c>
      <c r="N191" s="204">
        <f t="shared" ca="1" si="78"/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>
      <c r="A192" s="174" t="s">
        <v>295</v>
      </c>
      <c r="B192" s="175" t="s">
        <v>62</v>
      </c>
      <c r="C192" s="176">
        <v>0.34495045200000013</v>
      </c>
      <c r="D192" s="177">
        <v>5.4000000000000006E-2</v>
      </c>
      <c r="E192" s="177">
        <v>0.198998604</v>
      </c>
      <c r="F192" s="22"/>
      <c r="G192" s="22"/>
      <c r="H192" s="178" t="s">
        <v>17</v>
      </c>
      <c r="I192" s="202">
        <v>0.82</v>
      </c>
      <c r="J192" s="203">
        <f t="shared" si="79"/>
        <v>0.15</v>
      </c>
      <c r="K192" s="180">
        <f t="shared" ca="1" si="77"/>
        <v>4.4666666666666668</v>
      </c>
      <c r="L192" s="204">
        <f t="shared" si="80"/>
        <v>0</v>
      </c>
      <c r="M192" s="196">
        <v>0.1</v>
      </c>
      <c r="N192" s="204">
        <f t="shared" ca="1" si="78"/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>
      <c r="A193" s="174" t="s">
        <v>296</v>
      </c>
      <c r="B193" s="175" t="s">
        <v>297</v>
      </c>
      <c r="C193" s="176">
        <v>2.0739553629900702</v>
      </c>
      <c r="D193" s="177">
        <v>0.41587661064916603</v>
      </c>
      <c r="E193" s="177">
        <v>1.17989215363355</v>
      </c>
      <c r="F193" s="22"/>
      <c r="G193" s="22"/>
      <c r="H193" s="178" t="s">
        <v>257</v>
      </c>
      <c r="I193" s="205">
        <v>0.78</v>
      </c>
      <c r="J193" s="203">
        <f t="shared" si="79"/>
        <v>0.1700083031829418</v>
      </c>
      <c r="K193" s="180">
        <f t="shared" ca="1" si="77"/>
        <v>3.871049749621315</v>
      </c>
      <c r="L193" s="204">
        <f t="shared" si="80"/>
        <v>13.304291567360213</v>
      </c>
      <c r="M193" s="196">
        <v>0</v>
      </c>
      <c r="N193" s="204">
        <f t="shared" ca="1" si="78"/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>
      <c r="A194" s="174" t="s">
        <v>298</v>
      </c>
      <c r="B194" s="175" t="s">
        <v>61</v>
      </c>
      <c r="C194" s="176">
        <v>73.262009274446598</v>
      </c>
      <c r="D194" s="177">
        <v>24.114902982145619</v>
      </c>
      <c r="E194" s="177">
        <v>36.642271994515632</v>
      </c>
      <c r="F194" s="22"/>
      <c r="G194" s="22"/>
      <c r="H194" s="178" t="s">
        <v>259</v>
      </c>
      <c r="I194" s="205">
        <v>0.78</v>
      </c>
      <c r="J194" s="203">
        <f t="shared" si="79"/>
        <v>0.15</v>
      </c>
      <c r="K194" s="180">
        <f t="shared" ca="1" si="77"/>
        <v>5.666666666666667</v>
      </c>
      <c r="L194" s="204">
        <f t="shared" si="80"/>
        <v>3.8129398125637394E-3</v>
      </c>
      <c r="M194" s="196">
        <v>0.1</v>
      </c>
      <c r="N194" s="204">
        <f t="shared" ca="1" si="78"/>
        <v>5.8503464670571872E-4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>
      <c r="A195" s="174" t="s">
        <v>159</v>
      </c>
      <c r="B195" s="175" t="s">
        <v>66</v>
      </c>
      <c r="C195" s="176">
        <v>0</v>
      </c>
      <c r="D195" s="177">
        <v>0</v>
      </c>
      <c r="E195" s="177">
        <v>0</v>
      </c>
      <c r="F195" s="22"/>
      <c r="G195" s="22"/>
      <c r="H195" s="178" t="s">
        <v>261</v>
      </c>
      <c r="I195" s="205">
        <v>0.78</v>
      </c>
      <c r="J195" s="203">
        <f t="shared" si="79"/>
        <v>0.52831713813678804</v>
      </c>
      <c r="K195" s="180">
        <f t="shared" ca="1" si="77"/>
        <v>0.64317290842678565</v>
      </c>
      <c r="L195" s="204">
        <f t="shared" si="80"/>
        <v>1.1011478067296217E-2</v>
      </c>
      <c r="M195" s="196">
        <v>0.1</v>
      </c>
      <c r="N195" s="204">
        <f t="shared" ca="1" si="78"/>
        <v>1.6895352398644036E-3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>
      <c r="A196" s="189" t="s">
        <v>270</v>
      </c>
      <c r="B196" s="190" t="s">
        <v>270</v>
      </c>
      <c r="C196" s="191">
        <v>75.761083503799156</v>
      </c>
      <c r="D196" s="192">
        <v>24.613786307280442</v>
      </c>
      <c r="E196" s="192">
        <v>38.039140611089671</v>
      </c>
      <c r="F196" s="22"/>
      <c r="G196" s="22"/>
      <c r="H196" s="178" t="s">
        <v>263</v>
      </c>
      <c r="I196" s="205">
        <v>0.78</v>
      </c>
      <c r="J196" s="203">
        <f t="shared" si="79"/>
        <v>0.48439258929665496</v>
      </c>
      <c r="K196" s="180">
        <f t="shared" ca="1" si="77"/>
        <v>0.63839562261265259</v>
      </c>
      <c r="L196" s="204">
        <f t="shared" si="80"/>
        <v>9.3995319173387062E-2</v>
      </c>
      <c r="M196" s="196">
        <v>0</v>
      </c>
      <c r="N196" s="204">
        <f t="shared" ca="1" si="78"/>
        <v>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>
      <c r="A197" s="206" t="s">
        <v>299</v>
      </c>
      <c r="B197" s="175" t="s">
        <v>300</v>
      </c>
      <c r="C197" s="176">
        <v>15.446896592508374</v>
      </c>
      <c r="D197" s="177">
        <v>2.9382101104989982</v>
      </c>
      <c r="E197" s="177">
        <v>9.9967490888672081</v>
      </c>
      <c r="F197" s="22"/>
      <c r="G197" s="22"/>
      <c r="H197" s="178" t="s">
        <v>266</v>
      </c>
      <c r="I197" s="205">
        <v>0.78</v>
      </c>
      <c r="J197" s="203">
        <f t="shared" si="79"/>
        <v>0.15</v>
      </c>
      <c r="K197" s="180">
        <f t="shared" ca="1" si="77"/>
        <v>4.2</v>
      </c>
      <c r="L197" s="204">
        <f t="shared" si="80"/>
        <v>0</v>
      </c>
      <c r="M197" s="196">
        <v>0</v>
      </c>
      <c r="N197" s="204">
        <f t="shared" ca="1" si="78"/>
        <v>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>
      <c r="A198" s="206" t="s">
        <v>301</v>
      </c>
      <c r="B198" s="175" t="s">
        <v>302</v>
      </c>
      <c r="C198" s="176">
        <v>4.7689935300291353</v>
      </c>
      <c r="D198" s="177">
        <v>0.67520312592125187</v>
      </c>
      <c r="E198" s="177">
        <v>3.3073075925550022</v>
      </c>
      <c r="F198" s="22"/>
      <c r="G198" s="22"/>
      <c r="H198" s="178" t="s">
        <v>271</v>
      </c>
      <c r="I198" s="205">
        <v>0.78</v>
      </c>
      <c r="J198" s="203">
        <f t="shared" si="79"/>
        <v>15.20241486405904</v>
      </c>
      <c r="K198" s="180">
        <f t="shared" ca="1" si="77"/>
        <v>0.01</v>
      </c>
      <c r="L198" s="204">
        <f t="shared" si="80"/>
        <v>4.7314390758772312E-3</v>
      </c>
      <c r="M198" s="196">
        <v>0.1</v>
      </c>
      <c r="N198" s="204">
        <f t="shared" ca="1" si="78"/>
        <v>7.2596367218927748E-4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>
      <c r="A199" s="206" t="s">
        <v>303</v>
      </c>
      <c r="B199" s="175" t="s">
        <v>54</v>
      </c>
      <c r="C199" s="176">
        <v>4.4858115441926347E-3</v>
      </c>
      <c r="D199" s="177">
        <v>2.2820945987792485E-4</v>
      </c>
      <c r="E199" s="177">
        <v>3.9223185959513032E-3</v>
      </c>
      <c r="F199" s="22"/>
      <c r="G199" s="22"/>
      <c r="H199" s="178" t="s">
        <v>273</v>
      </c>
      <c r="I199" s="205">
        <v>0.78</v>
      </c>
      <c r="J199" s="203">
        <f t="shared" si="79"/>
        <v>0.71386015418290594</v>
      </c>
      <c r="K199" s="180">
        <f t="shared" ca="1" si="77"/>
        <v>9.2650984131196754E-2</v>
      </c>
      <c r="L199" s="204">
        <f t="shared" si="80"/>
        <v>6.3786434861491312E-4</v>
      </c>
      <c r="M199" s="196">
        <v>0.1</v>
      </c>
      <c r="N199" s="204">
        <f t="shared" ca="1" si="78"/>
        <v>9.7870085074116503E-5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>
      <c r="A200" s="174" t="s">
        <v>304</v>
      </c>
      <c r="B200" s="175" t="s">
        <v>87</v>
      </c>
      <c r="C200" s="176">
        <v>0</v>
      </c>
      <c r="D200" s="177">
        <v>0</v>
      </c>
      <c r="E200" s="177">
        <v>0</v>
      </c>
      <c r="F200" s="22"/>
      <c r="G200" s="22"/>
      <c r="H200" s="178" t="s">
        <v>275</v>
      </c>
      <c r="I200" s="205">
        <v>0.78</v>
      </c>
      <c r="J200" s="203">
        <f t="shared" si="79"/>
        <v>0.4495498557236669</v>
      </c>
      <c r="K200" s="180">
        <f t="shared" ca="1" si="77"/>
        <v>1.2244473827941531</v>
      </c>
      <c r="L200" s="204">
        <f t="shared" si="80"/>
        <v>5.4504373304927994E-2</v>
      </c>
      <c r="M200" s="196">
        <v>0.9</v>
      </c>
      <c r="N200" s="204">
        <f t="shared" ca="1" si="78"/>
        <v>7.5265421205357397E-2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>
      <c r="A201" s="189" t="s">
        <v>270</v>
      </c>
      <c r="B201" s="190" t="s">
        <v>270</v>
      </c>
      <c r="C201" s="191">
        <v>20.220375934081702</v>
      </c>
      <c r="D201" s="192">
        <v>3.6136414458801278</v>
      </c>
      <c r="E201" s="192">
        <v>13.307979000018161</v>
      </c>
      <c r="F201" s="22"/>
      <c r="G201" s="22"/>
      <c r="H201" s="178" t="s">
        <v>277</v>
      </c>
      <c r="I201" s="205">
        <v>0.78</v>
      </c>
      <c r="J201" s="203">
        <f t="shared" si="79"/>
        <v>0.15</v>
      </c>
      <c r="K201" s="180">
        <f t="shared" ca="1" si="77"/>
        <v>4.2</v>
      </c>
      <c r="L201" s="204">
        <f t="shared" si="80"/>
        <v>0</v>
      </c>
      <c r="M201" s="196">
        <v>0.1</v>
      </c>
      <c r="N201" s="204">
        <f t="shared" ca="1" si="78"/>
        <v>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>
      <c r="A202" s="207" t="s">
        <v>305</v>
      </c>
      <c r="B202" s="175" t="s">
        <v>89</v>
      </c>
      <c r="C202" s="176">
        <v>0</v>
      </c>
      <c r="D202" s="177">
        <v>0</v>
      </c>
      <c r="E202" s="177">
        <v>0</v>
      </c>
      <c r="F202" s="22"/>
      <c r="G202" s="22"/>
      <c r="H202" s="178" t="s">
        <v>279</v>
      </c>
      <c r="I202" s="205">
        <v>0.78</v>
      </c>
      <c r="J202" s="203">
        <f t="shared" si="79"/>
        <v>0.15</v>
      </c>
      <c r="K202" s="180">
        <f t="shared" ca="1" si="77"/>
        <v>4.2</v>
      </c>
      <c r="L202" s="204">
        <f t="shared" si="80"/>
        <v>0</v>
      </c>
      <c r="M202" s="196">
        <v>0.1</v>
      </c>
      <c r="N202" s="204">
        <f t="shared" ca="1" si="78"/>
        <v>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>
      <c r="A203" s="207" t="s">
        <v>306</v>
      </c>
      <c r="B203" s="175" t="s">
        <v>90</v>
      </c>
      <c r="C203" s="176">
        <v>0</v>
      </c>
      <c r="D203" s="177">
        <v>0</v>
      </c>
      <c r="E203" s="177">
        <v>0</v>
      </c>
      <c r="F203" s="22"/>
      <c r="G203" s="22"/>
      <c r="H203" s="178" t="s">
        <v>281</v>
      </c>
      <c r="I203" s="205">
        <v>0.78</v>
      </c>
      <c r="J203" s="203">
        <f t="shared" si="79"/>
        <v>0.3090136179301437</v>
      </c>
      <c r="K203" s="180">
        <f t="shared" ca="1" si="77"/>
        <v>1.6248548395979312</v>
      </c>
      <c r="L203" s="204">
        <f t="shared" si="80"/>
        <v>38.039812201551975</v>
      </c>
      <c r="M203" s="196">
        <v>0</v>
      </c>
      <c r="N203" s="204">
        <f t="shared" ca="1" si="78"/>
        <v>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>
      <c r="A204" s="207" t="s">
        <v>307</v>
      </c>
      <c r="B204" s="175" t="s">
        <v>91</v>
      </c>
      <c r="C204" s="176">
        <v>0</v>
      </c>
      <c r="D204" s="177">
        <v>0</v>
      </c>
      <c r="E204" s="177">
        <v>0</v>
      </c>
      <c r="F204" s="22"/>
      <c r="G204" s="22"/>
      <c r="H204" s="178" t="s">
        <v>283</v>
      </c>
      <c r="I204" s="205">
        <v>0.8</v>
      </c>
      <c r="J204" s="203">
        <f t="shared" si="79"/>
        <v>0.15</v>
      </c>
      <c r="K204" s="180">
        <f t="shared" ca="1" si="77"/>
        <v>4.3333333333333339</v>
      </c>
      <c r="L204" s="204">
        <f t="shared" si="80"/>
        <v>0</v>
      </c>
      <c r="M204" s="196">
        <v>0.1</v>
      </c>
      <c r="N204" s="204">
        <f t="shared" ca="1" si="78"/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>
      <c r="A205" s="207" t="s">
        <v>308</v>
      </c>
      <c r="B205" s="175" t="s">
        <v>92</v>
      </c>
      <c r="C205" s="176">
        <v>0</v>
      </c>
      <c r="D205" s="177">
        <v>0</v>
      </c>
      <c r="E205" s="177">
        <v>0</v>
      </c>
      <c r="F205" s="22"/>
      <c r="G205" s="22"/>
      <c r="H205" t="s">
        <v>309</v>
      </c>
      <c r="J205" s="208">
        <f>SUMPRODUCT(J190:J204,I172:I186)</f>
        <v>36.707375586950413</v>
      </c>
      <c r="L205" s="208">
        <f>SUM(L190:L204)</f>
        <v>57.383345699769492</v>
      </c>
      <c r="M205" s="6" t="s">
        <v>310</v>
      </c>
      <c r="N205" s="208">
        <f>MIN(MAX(0,L205-K187),SUM(N190:N204))</f>
        <v>0.46831467576947716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>
      <c r="A206" s="207" t="s">
        <v>311</v>
      </c>
      <c r="B206" s="175" t="s">
        <v>93</v>
      </c>
      <c r="C206" s="176">
        <v>0</v>
      </c>
      <c r="D206" s="177">
        <v>0</v>
      </c>
      <c r="E206" s="177">
        <v>0</v>
      </c>
      <c r="F206" s="22"/>
      <c r="G206" s="22"/>
      <c r="J206" t="s">
        <v>312</v>
      </c>
      <c r="L206" s="208">
        <f>SUM(K172:K186)</f>
        <v>56.915031024000015</v>
      </c>
      <c r="M206" s="6" t="s">
        <v>313</v>
      </c>
      <c r="N206" s="208">
        <f>MAX(0,O174-N205)</f>
        <v>2.0033650153441229</v>
      </c>
      <c r="P206" s="200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>
      <c r="A207" s="209" t="s">
        <v>314</v>
      </c>
      <c r="B207" s="190" t="s">
        <v>94</v>
      </c>
      <c r="C207" s="191">
        <v>0</v>
      </c>
      <c r="D207" s="192">
        <v>0</v>
      </c>
      <c r="E207" s="192">
        <v>0</v>
      </c>
      <c r="F207" s="22"/>
      <c r="G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>
      <c r="A208" s="210"/>
      <c r="B208" s="190" t="s">
        <v>315</v>
      </c>
      <c r="C208" s="191">
        <f>SUM(C202:C207)+C201+C196+C190+C180</f>
        <v>114.72645483965573</v>
      </c>
      <c r="D208" s="192">
        <f>SUM(D202:D207)+D201+D196+D190+D180</f>
        <v>38.603269759301952</v>
      </c>
      <c r="E208" s="192">
        <f>SUM(E202:E207)+E201+E196+E190+E180</f>
        <v>56.915031024000015</v>
      </c>
      <c r="F208" s="22"/>
      <c r="G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Z208"/>
  <sheetViews>
    <sheetView zoomScale="85" workbookViewId="0">
      <selection activeCell="G1" sqref="G1"/>
    </sheetView>
  </sheetViews>
  <sheetFormatPr defaultRowHeight="12.75"/>
  <sheetData>
    <row r="1" spans="1:49">
      <c r="A1" s="1" t="s">
        <v>316</v>
      </c>
      <c r="B1" s="211">
        <v>2017</v>
      </c>
      <c r="F1" t="s">
        <v>1</v>
      </c>
      <c r="G1" t="s">
        <v>46</v>
      </c>
      <c r="H1" t="s">
        <v>2</v>
      </c>
      <c r="I1">
        <v>1.0000000000000001E-9</v>
      </c>
    </row>
    <row r="2" spans="1:49">
      <c r="A2" t="s">
        <v>317</v>
      </c>
      <c r="B2" t="s">
        <v>318</v>
      </c>
    </row>
    <row r="4" spans="1:49">
      <c r="A4" t="s">
        <v>319</v>
      </c>
    </row>
    <row r="6" spans="1:49" ht="18">
      <c r="B6" s="17" t="s">
        <v>7</v>
      </c>
      <c r="C6" s="18"/>
      <c r="D6" s="19"/>
      <c r="E6" s="19"/>
      <c r="F6" s="20"/>
      <c r="G6" s="20"/>
      <c r="H6" s="20"/>
      <c r="I6" s="20"/>
      <c r="J6" s="21"/>
    </row>
    <row r="7" spans="1:49" ht="13.5" thickBot="1">
      <c r="A7" s="39"/>
      <c r="B7" s="23"/>
      <c r="C7" s="24" t="s">
        <v>8</v>
      </c>
      <c r="D7" s="25"/>
      <c r="E7" s="14"/>
      <c r="F7" s="26"/>
      <c r="G7" s="26"/>
      <c r="H7" s="26"/>
      <c r="I7" s="26"/>
      <c r="J7" s="26"/>
      <c r="K7" s="22"/>
      <c r="L7" s="22"/>
      <c r="M7" s="22"/>
      <c r="N7" s="22"/>
      <c r="O7" s="22"/>
      <c r="P7" s="22"/>
      <c r="Q7" s="22"/>
      <c r="R7" s="22"/>
      <c r="S7" s="22"/>
      <c r="T7" s="22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spans="1:49">
      <c r="A8" s="39"/>
      <c r="B8" s="30" t="s">
        <v>10</v>
      </c>
      <c r="C8" s="31">
        <v>0</v>
      </c>
      <c r="D8" s="22" t="s">
        <v>11</v>
      </c>
      <c r="E8" s="26"/>
      <c r="F8" s="26"/>
      <c r="G8" s="26"/>
      <c r="H8" s="26"/>
      <c r="I8" s="26"/>
      <c r="J8" s="26"/>
      <c r="K8" s="22"/>
      <c r="L8" s="22"/>
      <c r="M8" s="22"/>
      <c r="N8" s="22"/>
      <c r="O8" s="22"/>
      <c r="P8" s="22"/>
      <c r="Q8" s="22"/>
      <c r="R8" s="22"/>
      <c r="S8" s="22"/>
      <c r="T8" s="22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spans="1:49">
      <c r="A9" s="39"/>
      <c r="B9" s="30" t="s">
        <v>13</v>
      </c>
      <c r="C9" s="31">
        <v>1</v>
      </c>
      <c r="D9" s="25"/>
      <c r="E9" s="26"/>
      <c r="F9" s="26"/>
      <c r="G9" s="26"/>
      <c r="H9" s="26"/>
      <c r="I9" s="22"/>
      <c r="J9" s="26"/>
      <c r="K9" s="22"/>
      <c r="L9" s="22"/>
      <c r="M9" s="22"/>
      <c r="N9" s="22"/>
      <c r="O9" s="22"/>
      <c r="P9" s="22"/>
      <c r="Q9" s="22"/>
      <c r="R9" s="22"/>
      <c r="S9" s="22"/>
      <c r="T9" s="22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spans="1:49">
      <c r="A10" s="39"/>
      <c r="K10" s="22"/>
      <c r="M10" s="22"/>
      <c r="N10" s="22"/>
      <c r="O10" s="22"/>
      <c r="P10" s="22"/>
      <c r="Q10" s="22"/>
      <c r="R10" s="22"/>
      <c r="S10" s="22"/>
      <c r="T10" s="22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spans="1:49" ht="18">
      <c r="A11" s="39"/>
      <c r="B11" s="17" t="s">
        <v>14</v>
      </c>
      <c r="C11" s="18"/>
      <c r="D11" s="19"/>
      <c r="E11" s="19"/>
      <c r="F11" s="20"/>
      <c r="G11" s="20"/>
      <c r="H11" s="20"/>
      <c r="I11" s="20"/>
      <c r="J11" s="35"/>
      <c r="K11" s="36"/>
      <c r="L11" s="22"/>
      <c r="M11" s="25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spans="1:49" ht="13.5" thickBot="1">
      <c r="A12" s="39"/>
      <c r="B12" s="23"/>
      <c r="C12" s="24" t="s">
        <v>8</v>
      </c>
      <c r="D12" s="25"/>
      <c r="E12" s="22"/>
      <c r="F12" s="26"/>
      <c r="G12" s="26"/>
      <c r="H12" s="26"/>
      <c r="I12" s="26"/>
      <c r="J12" s="26"/>
      <c r="K12" s="22"/>
      <c r="L12" s="22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spans="1:49">
      <c r="A13" s="39"/>
      <c r="B13" s="30" t="s">
        <v>15</v>
      </c>
      <c r="C13" s="31">
        <f>IF(V52+S52+R52=0,0,R52/(R52+S52+V52))</f>
        <v>0</v>
      </c>
      <c r="D13" s="25"/>
      <c r="E13" s="26"/>
      <c r="F13" s="40">
        <v>1</v>
      </c>
      <c r="G13" s="41" t="s">
        <v>16</v>
      </c>
      <c r="H13" s="42"/>
      <c r="I13" s="26"/>
      <c r="J13" s="43"/>
      <c r="K13" s="22"/>
      <c r="L13" s="22"/>
      <c r="M13" s="25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spans="1:49">
      <c r="A14" s="39"/>
      <c r="B14" s="30" t="s">
        <v>17</v>
      </c>
      <c r="C14" s="31">
        <f>IF(V52+S52+R52=0,0,S52/(R52+S52+V52))</f>
        <v>0</v>
      </c>
      <c r="D14" s="25"/>
      <c r="E14" s="26"/>
      <c r="F14" s="40" t="s">
        <v>18</v>
      </c>
      <c r="G14" s="41" t="s">
        <v>18</v>
      </c>
      <c r="H14" s="42"/>
      <c r="I14" s="26"/>
      <c r="J14" s="26"/>
      <c r="K14" s="22"/>
      <c r="L14" s="22"/>
      <c r="M14" s="25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spans="1:49">
      <c r="A15" s="39"/>
      <c r="B15" s="30" t="s">
        <v>19</v>
      </c>
      <c r="C15" s="31">
        <f>IF(V52+S52+R52=0,0,V52*F15/(V52+S52+R52))</f>
        <v>0</v>
      </c>
      <c r="D15" s="25"/>
      <c r="E15" s="26"/>
      <c r="F15" s="44">
        <v>0</v>
      </c>
      <c r="G15" s="41" t="s">
        <v>20</v>
      </c>
      <c r="H15" s="42"/>
      <c r="I15" s="14"/>
      <c r="J15" s="26"/>
      <c r="K15" s="22"/>
      <c r="M15" s="25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spans="1:49">
      <c r="A16" s="39"/>
      <c r="B16" s="30" t="s">
        <v>21</v>
      </c>
      <c r="C16" s="31">
        <f>IF(V52+S52+R52=0,0,V52*F16/(V52+S52+R52))</f>
        <v>0</v>
      </c>
      <c r="D16" s="25"/>
      <c r="E16" s="26"/>
      <c r="F16" s="44">
        <v>1</v>
      </c>
      <c r="G16" s="41" t="s">
        <v>22</v>
      </c>
      <c r="H16" s="42"/>
      <c r="I16" s="14"/>
      <c r="J16" s="26"/>
      <c r="K16" s="22"/>
      <c r="L16" s="14"/>
      <c r="M16" s="25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spans="1:49">
      <c r="A17" s="39"/>
      <c r="B17" s="45" t="s">
        <v>23</v>
      </c>
      <c r="C17" s="46">
        <f>IF(V52+S52+R52=0,0,V52*F17/(V52+S52+R52))</f>
        <v>0</v>
      </c>
      <c r="D17" s="25"/>
      <c r="E17" s="26"/>
      <c r="F17" s="44">
        <v>0</v>
      </c>
      <c r="G17" s="41" t="s">
        <v>24</v>
      </c>
      <c r="H17" s="42"/>
      <c r="I17" s="14"/>
      <c r="J17" s="26"/>
      <c r="K17" s="22"/>
      <c r="L17" s="22"/>
      <c r="M17" s="25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</row>
    <row r="18" spans="1:49">
      <c r="A18" s="39"/>
      <c r="B18" s="30" t="s">
        <v>25</v>
      </c>
      <c r="C18" s="31">
        <f>SUM(C13:C17)</f>
        <v>0</v>
      </c>
      <c r="D18" s="25"/>
      <c r="E18" s="26"/>
      <c r="F18" s="26"/>
      <c r="G18" s="26"/>
      <c r="H18" s="26"/>
      <c r="I18" s="14"/>
      <c r="J18" s="26"/>
      <c r="K18" s="22"/>
      <c r="L18" s="22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</row>
    <row r="19" spans="1:49">
      <c r="A19" s="22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</row>
    <row r="20" spans="1:49">
      <c r="A20" s="14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</row>
    <row r="21" spans="1:49" ht="18">
      <c r="A21" s="22"/>
      <c r="B21" s="47" t="s">
        <v>26</v>
      </c>
      <c r="C21" s="18"/>
      <c r="D21" s="18"/>
      <c r="E21" s="18"/>
      <c r="F21" s="19"/>
      <c r="G21" s="19"/>
      <c r="H21" s="20"/>
      <c r="I21" s="48"/>
      <c r="J21" s="48"/>
      <c r="K21" s="49"/>
      <c r="L21" s="49"/>
      <c r="M21" s="49"/>
      <c r="N21" s="49"/>
      <c r="O21" s="49"/>
      <c r="P21" s="49"/>
      <c r="Q21" s="49"/>
      <c r="R21" s="49"/>
      <c r="S21" s="57"/>
      <c r="T21" s="49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</row>
    <row r="22" spans="1:49" ht="34.5" thickBot="1">
      <c r="A22" s="22"/>
      <c r="B22" s="23"/>
      <c r="C22" s="50" t="str">
        <f>C129</f>
        <v>GAS</v>
      </c>
      <c r="D22" s="50" t="str">
        <f>D129</f>
        <v>COAL</v>
      </c>
      <c r="E22" s="50" t="str">
        <f>E129</f>
        <v>CRUDE OIL</v>
      </c>
      <c r="F22" s="50" t="str">
        <f>F129</f>
        <v>OIL PRODUCTS</v>
      </c>
      <c r="G22" s="50" t="s">
        <v>27</v>
      </c>
      <c r="H22" s="50" t="str">
        <f>H129</f>
        <v>RENEWABLES</v>
      </c>
      <c r="I22" s="50" t="str">
        <f>I129</f>
        <v>ELECTRICITY</v>
      </c>
      <c r="J22" s="50" t="str">
        <f>J129</f>
        <v>HEAT</v>
      </c>
      <c r="K22" s="49"/>
      <c r="L22" s="49"/>
      <c r="M22" s="49"/>
      <c r="N22" s="49"/>
      <c r="O22" s="49"/>
      <c r="P22" s="49"/>
      <c r="Q22" s="49"/>
      <c r="R22" s="49"/>
      <c r="S22" s="57"/>
      <c r="T22" s="49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</row>
    <row r="23" spans="1:49">
      <c r="A23" s="22"/>
      <c r="B23" s="45" t="s">
        <v>28</v>
      </c>
      <c r="C23" s="52">
        <f>C24+C25+C26</f>
        <v>1</v>
      </c>
      <c r="D23" s="52" t="s">
        <v>29</v>
      </c>
      <c r="E23" s="52">
        <f>E24+E25+E26</f>
        <v>1</v>
      </c>
      <c r="F23" s="52">
        <f>E23</f>
        <v>1</v>
      </c>
      <c r="G23" s="52" t="s">
        <v>29</v>
      </c>
      <c r="H23" s="52" t="s">
        <v>29</v>
      </c>
      <c r="I23" s="52">
        <f>I24+I25+I26</f>
        <v>1</v>
      </c>
      <c r="J23" s="52">
        <f>J24+J25+J26</f>
        <v>1</v>
      </c>
      <c r="K23" s="49"/>
      <c r="L23" s="49"/>
      <c r="M23" s="49"/>
      <c r="N23" s="49"/>
      <c r="O23" s="49"/>
      <c r="P23" s="49"/>
      <c r="Q23" s="49"/>
      <c r="R23" s="49"/>
      <c r="S23" s="57"/>
      <c r="T23" s="49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</row>
    <row r="24" spans="1:49">
      <c r="A24" s="22"/>
      <c r="B24" s="30" t="s">
        <v>30</v>
      </c>
      <c r="C24" s="53">
        <v>0.3</v>
      </c>
      <c r="D24" s="42">
        <v>0</v>
      </c>
      <c r="E24" s="53">
        <v>0.2</v>
      </c>
      <c r="F24" s="42">
        <f>E24</f>
        <v>0.2</v>
      </c>
      <c r="G24" s="42">
        <v>0</v>
      </c>
      <c r="H24" s="42">
        <v>0</v>
      </c>
      <c r="I24" s="53">
        <v>0.3</v>
      </c>
      <c r="J24" s="53">
        <v>0.3</v>
      </c>
      <c r="K24" s="49"/>
      <c r="L24" s="49"/>
      <c r="M24" s="49"/>
      <c r="N24" s="49"/>
      <c r="O24" s="49"/>
      <c r="P24" s="49"/>
      <c r="Q24" s="49"/>
      <c r="R24" s="49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</row>
    <row r="25" spans="1:49">
      <c r="A25" s="22"/>
      <c r="B25" s="30" t="s">
        <v>31</v>
      </c>
      <c r="C25" s="53">
        <v>0.4</v>
      </c>
      <c r="D25" s="42">
        <v>0</v>
      </c>
      <c r="E25" s="53">
        <v>0.5</v>
      </c>
      <c r="F25" s="42">
        <f>E25</f>
        <v>0.5</v>
      </c>
      <c r="G25" s="42">
        <v>0</v>
      </c>
      <c r="H25" s="42">
        <v>0</v>
      </c>
      <c r="I25" s="53">
        <v>0.4</v>
      </c>
      <c r="J25" s="53">
        <v>0.4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</row>
    <row r="26" spans="1:49">
      <c r="A26" s="61"/>
      <c r="B26" s="30" t="s">
        <v>32</v>
      </c>
      <c r="C26" s="53">
        <v>0.3</v>
      </c>
      <c r="D26" s="42">
        <v>0</v>
      </c>
      <c r="E26" s="53">
        <v>0.3</v>
      </c>
      <c r="F26" s="42">
        <f>E26</f>
        <v>0.3</v>
      </c>
      <c r="G26" s="42">
        <v>0</v>
      </c>
      <c r="H26" s="42">
        <v>0</v>
      </c>
      <c r="I26" s="53">
        <v>0.3</v>
      </c>
      <c r="J26" s="53">
        <v>0.3</v>
      </c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2"/>
      <c r="AW26" s="62"/>
    </row>
    <row r="27" spans="1:49">
      <c r="A27" s="64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</row>
    <row r="28" spans="1:49" ht="18">
      <c r="A28" s="22"/>
      <c r="B28" s="56" t="s">
        <v>33</v>
      </c>
      <c r="C28" s="18"/>
      <c r="D28" s="18"/>
      <c r="E28" s="18"/>
      <c r="F28" s="18"/>
      <c r="G28" s="19"/>
      <c r="H28" s="19"/>
      <c r="I28" s="19"/>
      <c r="J28" s="48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</row>
    <row r="29" spans="1:49" ht="13.5" thickBot="1">
      <c r="B29" s="58"/>
      <c r="C29" s="59" t="s">
        <v>34</v>
      </c>
      <c r="D29" s="22"/>
      <c r="E29" s="14" t="s">
        <v>35</v>
      </c>
      <c r="F29" s="22"/>
      <c r="G29" s="22"/>
      <c r="H29" s="22"/>
      <c r="I29" s="22"/>
      <c r="J29" s="22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</row>
    <row r="30" spans="1:49">
      <c r="B30" s="30" t="s">
        <v>36</v>
      </c>
      <c r="C30" s="42">
        <f>B52/MAX(0.001,(B52+C52))</f>
        <v>0</v>
      </c>
      <c r="D30" s="22"/>
      <c r="E30" s="22"/>
      <c r="F30" s="22"/>
      <c r="G30" s="22"/>
      <c r="H30" s="22"/>
      <c r="I30" s="22"/>
      <c r="J30" s="2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</row>
    <row r="31" spans="1:49">
      <c r="B31" s="30" t="s">
        <v>37</v>
      </c>
      <c r="C31" s="42">
        <f>1-C30</f>
        <v>1</v>
      </c>
      <c r="D31" s="22"/>
      <c r="E31" s="22"/>
      <c r="F31" s="22"/>
      <c r="G31" s="22"/>
      <c r="H31" s="22"/>
      <c r="I31" s="22"/>
      <c r="J31" s="22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</row>
    <row r="32" spans="1:49"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</row>
    <row r="33" spans="1:49"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</row>
    <row r="34" spans="1:49" ht="18">
      <c r="A34" s="22"/>
      <c r="B34" s="56" t="s">
        <v>38</v>
      </c>
      <c r="C34" s="18"/>
      <c r="D34" s="18"/>
      <c r="E34" s="18"/>
      <c r="F34" s="18"/>
      <c r="G34" s="18"/>
      <c r="H34" s="65"/>
      <c r="I34" s="18"/>
      <c r="J34" s="66"/>
      <c r="K34" s="66"/>
      <c r="L34" s="49"/>
      <c r="M34" s="49"/>
      <c r="N34" s="49"/>
      <c r="O34" s="49"/>
      <c r="P34" s="49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</row>
    <row r="35" spans="1:49" ht="34.5" thickBot="1">
      <c r="A35" s="67"/>
      <c r="B35" s="58"/>
      <c r="C35" s="50" t="str">
        <f>C129</f>
        <v>GAS</v>
      </c>
      <c r="D35" s="50" t="str">
        <f>D129</f>
        <v>COAL</v>
      </c>
      <c r="E35" s="50" t="str">
        <f>E129</f>
        <v>CRUDE OIL</v>
      </c>
      <c r="F35" s="50" t="str">
        <f>F129</f>
        <v>OIL PRODUCTS</v>
      </c>
      <c r="G35" s="50" t="s">
        <v>27</v>
      </c>
      <c r="H35" s="50" t="str">
        <f>H129</f>
        <v>RENEWABLES</v>
      </c>
      <c r="I35" s="50" t="str">
        <f>I129</f>
        <v>ELECTRICITY</v>
      </c>
      <c r="J35" s="50" t="str">
        <f>J129</f>
        <v>HEAT</v>
      </c>
      <c r="K35" s="62"/>
      <c r="L35" s="62"/>
      <c r="M35" s="62"/>
      <c r="N35" s="62"/>
      <c r="O35" s="62"/>
      <c r="P35" s="62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</row>
    <row r="36" spans="1:49">
      <c r="A36" s="22"/>
      <c r="B36" s="45" t="s">
        <v>39</v>
      </c>
      <c r="C36" s="52">
        <f>C37+C38</f>
        <v>1</v>
      </c>
      <c r="D36" s="52">
        <f>D37+D38</f>
        <v>1</v>
      </c>
      <c r="E36" s="52">
        <f>E37+E38</f>
        <v>1</v>
      </c>
      <c r="F36" s="52">
        <f t="shared" ref="F36:G38" si="0">E36</f>
        <v>1</v>
      </c>
      <c r="G36" s="52">
        <f t="shared" si="0"/>
        <v>1</v>
      </c>
      <c r="H36" s="52" t="s">
        <v>29</v>
      </c>
      <c r="I36" s="52">
        <f>I37+I38</f>
        <v>1</v>
      </c>
      <c r="J36" s="52">
        <f>J37+J38</f>
        <v>1</v>
      </c>
      <c r="K36" s="57"/>
      <c r="L36" s="57"/>
      <c r="M36" s="62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</row>
    <row r="37" spans="1:49">
      <c r="A37" s="22"/>
      <c r="B37" s="45" t="s">
        <v>40</v>
      </c>
      <c r="C37" s="68">
        <v>0.5</v>
      </c>
      <c r="D37" s="68">
        <v>0.5</v>
      </c>
      <c r="E37" s="68">
        <v>0.5</v>
      </c>
      <c r="F37" s="52">
        <f>E37</f>
        <v>0.5</v>
      </c>
      <c r="G37" s="52">
        <f>F37</f>
        <v>0.5</v>
      </c>
      <c r="H37" s="52">
        <v>0</v>
      </c>
      <c r="I37" s="69">
        <v>0.5</v>
      </c>
      <c r="J37" s="69">
        <v>0.5</v>
      </c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</row>
    <row r="38" spans="1:49">
      <c r="A38" s="14"/>
      <c r="B38" s="71" t="s">
        <v>41</v>
      </c>
      <c r="C38" s="72">
        <v>0.5</v>
      </c>
      <c r="D38" s="72">
        <v>0.5</v>
      </c>
      <c r="E38" s="72">
        <v>0.5</v>
      </c>
      <c r="F38" s="73">
        <f t="shared" si="0"/>
        <v>0.5</v>
      </c>
      <c r="G38" s="73">
        <f t="shared" si="0"/>
        <v>0.5</v>
      </c>
      <c r="H38" s="73">
        <v>0</v>
      </c>
      <c r="I38" s="74">
        <v>0.5</v>
      </c>
      <c r="J38" s="74">
        <v>0.5</v>
      </c>
      <c r="K38" s="57"/>
      <c r="M38" s="57"/>
      <c r="N38" s="75"/>
      <c r="O38" s="76" t="s">
        <v>42</v>
      </c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</row>
    <row r="39" spans="1:49">
      <c r="A39" s="14"/>
      <c r="B39" s="30" t="s">
        <v>43</v>
      </c>
      <c r="C39" s="42">
        <f t="shared" ref="C39:J39" si="1">SUM(C40:C45)</f>
        <v>0.83333333333333337</v>
      </c>
      <c r="D39" s="42">
        <f t="shared" si="1"/>
        <v>0.83333333333333337</v>
      </c>
      <c r="E39" s="42">
        <f t="shared" si="1"/>
        <v>0.83333333333333337</v>
      </c>
      <c r="F39" s="42">
        <f t="shared" si="1"/>
        <v>0.83333333333333337</v>
      </c>
      <c r="G39" s="42">
        <f t="shared" si="1"/>
        <v>0.83333333333333337</v>
      </c>
      <c r="H39" s="42">
        <f t="shared" si="1"/>
        <v>0.83333333333333337</v>
      </c>
      <c r="I39" s="42">
        <f t="shared" si="1"/>
        <v>0.83333333333333337</v>
      </c>
      <c r="J39" s="42">
        <f t="shared" si="1"/>
        <v>0.83333333333333337</v>
      </c>
      <c r="K39" s="57"/>
      <c r="L39" s="14"/>
      <c r="M39" s="57"/>
      <c r="N39" s="77" t="s">
        <v>44</v>
      </c>
      <c r="O39" s="78">
        <v>2.5760000000000001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</row>
    <row r="40" spans="1:49">
      <c r="A40" s="22"/>
      <c r="B40" s="79" t="s">
        <v>45</v>
      </c>
      <c r="C40" s="80">
        <f t="shared" ref="C40:J40" si="2">$C$8*$F$13/1.2</f>
        <v>0</v>
      </c>
      <c r="D40" s="80">
        <f t="shared" si="2"/>
        <v>0</v>
      </c>
      <c r="E40" s="80">
        <f t="shared" si="2"/>
        <v>0</v>
      </c>
      <c r="F40" s="80">
        <f t="shared" si="2"/>
        <v>0</v>
      </c>
      <c r="G40" s="80">
        <f t="shared" si="2"/>
        <v>0</v>
      </c>
      <c r="H40" s="80">
        <f t="shared" si="2"/>
        <v>0</v>
      </c>
      <c r="I40" s="80">
        <f t="shared" si="2"/>
        <v>0</v>
      </c>
      <c r="J40" s="80">
        <f t="shared" si="2"/>
        <v>0</v>
      </c>
      <c r="K40" s="57"/>
      <c r="L40" s="57"/>
      <c r="M40" s="57"/>
      <c r="N40" s="81" t="s">
        <v>46</v>
      </c>
      <c r="O40" s="82">
        <v>0</v>
      </c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</row>
    <row r="41" spans="1:49">
      <c r="A41" s="22"/>
      <c r="B41" s="79" t="s">
        <v>47</v>
      </c>
      <c r="C41" s="80">
        <f t="shared" ref="C41:J41" si="3">$C$9*$F$13/1.2</f>
        <v>0.83333333333333337</v>
      </c>
      <c r="D41" s="80">
        <f t="shared" si="3"/>
        <v>0.83333333333333337</v>
      </c>
      <c r="E41" s="80">
        <f t="shared" si="3"/>
        <v>0.83333333333333337</v>
      </c>
      <c r="F41" s="80">
        <f t="shared" si="3"/>
        <v>0.83333333333333337</v>
      </c>
      <c r="G41" s="80">
        <f t="shared" si="3"/>
        <v>0.83333333333333337</v>
      </c>
      <c r="H41" s="80">
        <f t="shared" si="3"/>
        <v>0.83333333333333337</v>
      </c>
      <c r="I41" s="80">
        <f t="shared" si="3"/>
        <v>0.83333333333333337</v>
      </c>
      <c r="J41" s="80">
        <f t="shared" si="3"/>
        <v>0.83333333333333337</v>
      </c>
      <c r="K41" s="57"/>
      <c r="M41" s="57"/>
      <c r="N41" s="81" t="s">
        <v>48</v>
      </c>
      <c r="O41" s="82">
        <v>0.12</v>
      </c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</row>
    <row r="42" spans="1:49">
      <c r="A42" s="22"/>
      <c r="B42" s="79" t="s">
        <v>19</v>
      </c>
      <c r="C42" s="80">
        <f t="shared" ref="C42:J42" si="4">$C$15*3</f>
        <v>0</v>
      </c>
      <c r="D42" s="80">
        <f t="shared" si="4"/>
        <v>0</v>
      </c>
      <c r="E42" s="80">
        <f t="shared" si="4"/>
        <v>0</v>
      </c>
      <c r="F42" s="80">
        <f t="shared" si="4"/>
        <v>0</v>
      </c>
      <c r="G42" s="80">
        <f t="shared" si="4"/>
        <v>0</v>
      </c>
      <c r="H42" s="80">
        <f t="shared" si="4"/>
        <v>0</v>
      </c>
      <c r="I42" s="80">
        <f t="shared" si="4"/>
        <v>0</v>
      </c>
      <c r="J42" s="80">
        <f t="shared" si="4"/>
        <v>0</v>
      </c>
      <c r="K42" s="57"/>
      <c r="L42" s="14"/>
      <c r="M42" s="57"/>
      <c r="N42" s="83" t="s">
        <v>49</v>
      </c>
      <c r="O42" s="84">
        <v>0.2944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</row>
    <row r="43" spans="1:49">
      <c r="A43" s="22"/>
      <c r="B43" s="79" t="s">
        <v>21</v>
      </c>
      <c r="C43" s="80">
        <f t="shared" ref="C43:J43" si="5">$C$16*2</f>
        <v>0</v>
      </c>
      <c r="D43" s="80">
        <f t="shared" si="5"/>
        <v>0</v>
      </c>
      <c r="E43" s="80">
        <f t="shared" si="5"/>
        <v>0</v>
      </c>
      <c r="F43" s="80">
        <f t="shared" si="5"/>
        <v>0</v>
      </c>
      <c r="G43" s="80">
        <f t="shared" si="5"/>
        <v>0</v>
      </c>
      <c r="H43" s="80">
        <f t="shared" si="5"/>
        <v>0</v>
      </c>
      <c r="I43" s="80">
        <f t="shared" si="5"/>
        <v>0</v>
      </c>
      <c r="J43" s="80">
        <f t="shared" si="5"/>
        <v>0</v>
      </c>
      <c r="K43" s="57"/>
      <c r="M43" s="57"/>
      <c r="N43" s="85" t="str">
        <f>IF(ISNA(MATCH(Region,$N$39:$N$42,0)),NA(),Region)</f>
        <v>FIM</v>
      </c>
      <c r="O43" s="86">
        <f ca="1">IF(ISNA(N43),0,OFFSET($O$38,RegIndex,0))</f>
        <v>0.12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</row>
    <row r="44" spans="1:49">
      <c r="A44" s="22"/>
      <c r="B44" s="79" t="s">
        <v>17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57"/>
      <c r="L44" s="14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</row>
    <row r="45" spans="1:49">
      <c r="A45" s="22"/>
      <c r="B45" s="87" t="s">
        <v>23</v>
      </c>
      <c r="C45" s="80">
        <f t="shared" ref="C45:J45" si="6">$C$17*5</f>
        <v>0</v>
      </c>
      <c r="D45" s="80">
        <f t="shared" si="6"/>
        <v>0</v>
      </c>
      <c r="E45" s="80">
        <f t="shared" si="6"/>
        <v>0</v>
      </c>
      <c r="F45" s="80">
        <f t="shared" si="6"/>
        <v>0</v>
      </c>
      <c r="G45" s="80">
        <f t="shared" si="6"/>
        <v>0</v>
      </c>
      <c r="H45" s="80">
        <f t="shared" si="6"/>
        <v>0</v>
      </c>
      <c r="I45" s="80">
        <f t="shared" si="6"/>
        <v>0</v>
      </c>
      <c r="J45" s="80">
        <f t="shared" si="6"/>
        <v>0</v>
      </c>
      <c r="K45" s="57"/>
      <c r="L45" s="14"/>
      <c r="M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</row>
    <row r="46" spans="1:49">
      <c r="A46" s="22"/>
      <c r="B46" s="14"/>
      <c r="C46" s="14"/>
      <c r="D46" s="14"/>
      <c r="E46" s="14"/>
      <c r="F46" s="14"/>
      <c r="G46" s="14"/>
      <c r="H46" s="14"/>
      <c r="I46" s="14"/>
      <c r="J46" s="14"/>
      <c r="K46" s="57"/>
      <c r="L46" s="14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</row>
    <row r="47" spans="1:49">
      <c r="A47" s="22"/>
      <c r="B47" s="14"/>
      <c r="C47" s="14"/>
      <c r="D47" s="14"/>
      <c r="E47" s="14"/>
      <c r="F47" s="14"/>
      <c r="G47" s="14"/>
      <c r="H47" s="14"/>
      <c r="I47" s="14"/>
      <c r="J47" s="14"/>
      <c r="K47" s="57"/>
      <c r="L47" s="14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</row>
    <row r="48" spans="1:49">
      <c r="A48" s="88"/>
      <c r="B48" s="89"/>
      <c r="C48" s="26"/>
      <c r="D48" s="26"/>
      <c r="E48" s="26"/>
      <c r="F48" s="26"/>
      <c r="G48" s="26"/>
      <c r="H48" s="26"/>
      <c r="I48" s="26"/>
      <c r="J48" s="26"/>
      <c r="K48" s="48"/>
      <c r="L48" s="90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</row>
    <row r="49" spans="1:52" ht="18">
      <c r="A49" s="25"/>
      <c r="B49" s="47" t="s">
        <v>50</v>
      </c>
      <c r="C49" s="91"/>
      <c r="D49" s="36"/>
      <c r="E49" s="25"/>
      <c r="F49" s="92"/>
      <c r="G49" s="92"/>
      <c r="H49" s="55"/>
      <c r="I49" s="55"/>
      <c r="J49" s="55"/>
      <c r="K49" s="55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</row>
    <row r="50" spans="1:52">
      <c r="A50" s="93"/>
      <c r="B50" s="94">
        <f>0.041868</f>
        <v>4.1868000000000002E-2</v>
      </c>
      <c r="C50" s="95">
        <f t="shared" ref="C50:AW50" si="7">$B$50</f>
        <v>4.1868000000000002E-2</v>
      </c>
      <c r="D50" s="95">
        <f t="shared" si="7"/>
        <v>4.1868000000000002E-2</v>
      </c>
      <c r="E50" s="95">
        <f t="shared" si="7"/>
        <v>4.1868000000000002E-2</v>
      </c>
      <c r="F50" s="95">
        <f t="shared" si="7"/>
        <v>4.1868000000000002E-2</v>
      </c>
      <c r="G50" s="95">
        <f t="shared" si="7"/>
        <v>4.1868000000000002E-2</v>
      </c>
      <c r="H50" s="95">
        <f t="shared" si="7"/>
        <v>4.1868000000000002E-2</v>
      </c>
      <c r="I50" s="95">
        <f t="shared" si="7"/>
        <v>4.1868000000000002E-2</v>
      </c>
      <c r="J50" s="95">
        <f t="shared" si="7"/>
        <v>4.1868000000000002E-2</v>
      </c>
      <c r="K50" s="95">
        <f t="shared" si="7"/>
        <v>4.1868000000000002E-2</v>
      </c>
      <c r="L50" s="95">
        <f t="shared" si="7"/>
        <v>4.1868000000000002E-2</v>
      </c>
      <c r="M50" s="95">
        <f t="shared" si="7"/>
        <v>4.1868000000000002E-2</v>
      </c>
      <c r="N50" s="95">
        <f t="shared" si="7"/>
        <v>4.1868000000000002E-2</v>
      </c>
      <c r="O50" s="95">
        <f t="shared" si="7"/>
        <v>4.1868000000000002E-2</v>
      </c>
      <c r="P50" s="95">
        <f t="shared" si="7"/>
        <v>4.1868000000000002E-2</v>
      </c>
      <c r="Q50" s="95">
        <f t="shared" si="7"/>
        <v>4.1868000000000002E-2</v>
      </c>
      <c r="R50" s="95">
        <f t="shared" si="7"/>
        <v>4.1868000000000002E-2</v>
      </c>
      <c r="S50" s="95">
        <f t="shared" si="7"/>
        <v>4.1868000000000002E-2</v>
      </c>
      <c r="T50" s="95">
        <f t="shared" si="7"/>
        <v>4.1868000000000002E-2</v>
      </c>
      <c r="U50" s="95">
        <f t="shared" si="7"/>
        <v>4.1868000000000002E-2</v>
      </c>
      <c r="V50" s="95">
        <f t="shared" si="7"/>
        <v>4.1868000000000002E-2</v>
      </c>
      <c r="W50" s="95">
        <f t="shared" si="7"/>
        <v>4.1868000000000002E-2</v>
      </c>
      <c r="X50" s="95">
        <f t="shared" si="7"/>
        <v>4.1868000000000002E-2</v>
      </c>
      <c r="Y50" s="95">
        <f t="shared" si="7"/>
        <v>4.1868000000000002E-2</v>
      </c>
      <c r="Z50" s="95">
        <f t="shared" si="7"/>
        <v>4.1868000000000002E-2</v>
      </c>
      <c r="AA50" s="95">
        <f t="shared" si="7"/>
        <v>4.1868000000000002E-2</v>
      </c>
      <c r="AB50" s="95">
        <f t="shared" si="7"/>
        <v>4.1868000000000002E-2</v>
      </c>
      <c r="AC50" s="95">
        <f t="shared" si="7"/>
        <v>4.1868000000000002E-2</v>
      </c>
      <c r="AD50" s="95">
        <f t="shared" si="7"/>
        <v>4.1868000000000002E-2</v>
      </c>
      <c r="AE50" s="95">
        <f t="shared" si="7"/>
        <v>4.1868000000000002E-2</v>
      </c>
      <c r="AF50" s="95">
        <f t="shared" si="7"/>
        <v>4.1868000000000002E-2</v>
      </c>
      <c r="AG50" s="95">
        <f t="shared" si="7"/>
        <v>4.1868000000000002E-2</v>
      </c>
      <c r="AH50" s="95">
        <f t="shared" si="7"/>
        <v>4.1868000000000002E-2</v>
      </c>
      <c r="AI50" s="95">
        <f t="shared" si="7"/>
        <v>4.1868000000000002E-2</v>
      </c>
      <c r="AJ50" s="95">
        <f t="shared" si="7"/>
        <v>4.1868000000000002E-2</v>
      </c>
      <c r="AK50" s="95">
        <f t="shared" si="7"/>
        <v>4.1868000000000002E-2</v>
      </c>
      <c r="AL50" s="95">
        <f t="shared" si="7"/>
        <v>4.1868000000000002E-2</v>
      </c>
      <c r="AM50" s="95">
        <f t="shared" si="7"/>
        <v>4.1868000000000002E-2</v>
      </c>
      <c r="AN50" s="95">
        <f t="shared" si="7"/>
        <v>4.1868000000000002E-2</v>
      </c>
      <c r="AO50" s="95">
        <f t="shared" si="7"/>
        <v>4.1868000000000002E-2</v>
      </c>
      <c r="AP50" s="95">
        <f t="shared" si="7"/>
        <v>4.1868000000000002E-2</v>
      </c>
      <c r="AQ50" s="95">
        <f t="shared" si="7"/>
        <v>4.1868000000000002E-2</v>
      </c>
      <c r="AR50" s="95">
        <f t="shared" si="7"/>
        <v>4.1868000000000002E-2</v>
      </c>
      <c r="AS50" s="95">
        <f t="shared" si="7"/>
        <v>4.1868000000000002E-2</v>
      </c>
      <c r="AT50" s="95">
        <f t="shared" si="7"/>
        <v>4.1868000000000002E-2</v>
      </c>
      <c r="AU50" s="95">
        <f t="shared" si="7"/>
        <v>4.1868000000000002E-2</v>
      </c>
      <c r="AV50" s="95">
        <f t="shared" si="7"/>
        <v>4.1868000000000002E-2</v>
      </c>
      <c r="AW50" s="95">
        <f t="shared" si="7"/>
        <v>4.1868000000000002E-2</v>
      </c>
    </row>
    <row r="51" spans="1:52" ht="45.75" thickBot="1">
      <c r="A51" s="96" t="s">
        <v>51</v>
      </c>
      <c r="B51" s="97" t="s">
        <v>52</v>
      </c>
      <c r="C51" s="50" t="s">
        <v>53</v>
      </c>
      <c r="D51" s="98" t="s">
        <v>54</v>
      </c>
      <c r="E51" s="98" t="s">
        <v>55</v>
      </c>
      <c r="F51" s="98" t="s">
        <v>56</v>
      </c>
      <c r="G51" s="98" t="s">
        <v>57</v>
      </c>
      <c r="H51" s="98" t="s">
        <v>58</v>
      </c>
      <c r="I51" s="98" t="s">
        <v>59</v>
      </c>
      <c r="J51" s="98" t="s">
        <v>60</v>
      </c>
      <c r="K51" s="98" t="s">
        <v>61</v>
      </c>
      <c r="L51" s="98" t="s">
        <v>62</v>
      </c>
      <c r="M51" s="99" t="s">
        <v>63</v>
      </c>
      <c r="N51" s="50" t="s">
        <v>64</v>
      </c>
      <c r="O51" s="50" t="s">
        <v>65</v>
      </c>
      <c r="P51" s="98" t="s">
        <v>66</v>
      </c>
      <c r="Q51" s="98" t="s">
        <v>67</v>
      </c>
      <c r="R51" s="98" t="s">
        <v>68</v>
      </c>
      <c r="S51" s="98" t="s">
        <v>17</v>
      </c>
      <c r="T51" s="98" t="s">
        <v>69</v>
      </c>
      <c r="U51" s="98" t="s">
        <v>70</v>
      </c>
      <c r="V51" s="98" t="s">
        <v>71</v>
      </c>
      <c r="W51" s="98" t="s">
        <v>72</v>
      </c>
      <c r="X51" s="98" t="s">
        <v>73</v>
      </c>
      <c r="Y51" s="98" t="s">
        <v>74</v>
      </c>
      <c r="Z51" s="98" t="s">
        <v>75</v>
      </c>
      <c r="AA51" s="98" t="s">
        <v>76</v>
      </c>
      <c r="AB51" s="98" t="s">
        <v>77</v>
      </c>
      <c r="AC51" s="98" t="s">
        <v>78</v>
      </c>
      <c r="AD51" s="98" t="s">
        <v>79</v>
      </c>
      <c r="AE51" s="98" t="s">
        <v>80</v>
      </c>
      <c r="AF51" s="98" t="s">
        <v>81</v>
      </c>
      <c r="AG51" s="98" t="s">
        <v>82</v>
      </c>
      <c r="AH51" s="98" t="s">
        <v>83</v>
      </c>
      <c r="AI51" s="98" t="s">
        <v>84</v>
      </c>
      <c r="AJ51" s="98" t="s">
        <v>85</v>
      </c>
      <c r="AK51" s="98" t="s">
        <v>86</v>
      </c>
      <c r="AL51" s="98" t="s">
        <v>87</v>
      </c>
      <c r="AM51" s="98" t="s">
        <v>88</v>
      </c>
      <c r="AN51" s="98" t="s">
        <v>89</v>
      </c>
      <c r="AO51" s="98" t="s">
        <v>90</v>
      </c>
      <c r="AP51" s="98" t="s">
        <v>91</v>
      </c>
      <c r="AQ51" s="50" t="s">
        <v>92</v>
      </c>
      <c r="AR51" s="98" t="s">
        <v>93</v>
      </c>
      <c r="AS51" s="98" t="s">
        <v>94</v>
      </c>
      <c r="AT51" s="98" t="s">
        <v>95</v>
      </c>
      <c r="AU51" s="98" t="s">
        <v>96</v>
      </c>
      <c r="AV51" s="98" t="s">
        <v>97</v>
      </c>
      <c r="AW51" s="98" t="s">
        <v>98</v>
      </c>
      <c r="AY51" t="s">
        <v>99</v>
      </c>
      <c r="AZ51" t="s">
        <v>100</v>
      </c>
    </row>
    <row r="52" spans="1:52">
      <c r="A52" s="79" t="s">
        <v>101</v>
      </c>
      <c r="B52" s="101">
        <v>0</v>
      </c>
      <c r="C52" s="102">
        <v>91.065579552000003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284.99120546400002</v>
      </c>
      <c r="L52" s="102">
        <v>2.19158046</v>
      </c>
      <c r="M52" s="102">
        <v>6.5857526640000001</v>
      </c>
      <c r="N52" s="102">
        <v>1.7456443920000002</v>
      </c>
      <c r="O52" s="102">
        <v>0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3.7179202680000003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253.91116555200003</v>
      </c>
      <c r="AO52" s="102">
        <v>49.631332032000003</v>
      </c>
      <c r="AP52" s="102">
        <v>0</v>
      </c>
      <c r="AQ52" s="102">
        <v>3.0814848000000002E-2</v>
      </c>
      <c r="AR52" s="102">
        <v>0</v>
      </c>
      <c r="AS52" s="102">
        <v>0.61211015999999996</v>
      </c>
      <c r="AT52" s="102">
        <v>0</v>
      </c>
      <c r="AU52" s="102">
        <v>0</v>
      </c>
      <c r="AV52" s="102">
        <v>3.0587923440000004</v>
      </c>
      <c r="AW52" s="102">
        <v>697.54189773600001</v>
      </c>
    </row>
    <row r="53" spans="1:52">
      <c r="A53" s="79" t="s">
        <v>102</v>
      </c>
      <c r="B53" s="101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</row>
    <row r="54" spans="1:52">
      <c r="A54" s="103" t="s">
        <v>103</v>
      </c>
      <c r="B54" s="101">
        <v>125.76029324400001</v>
      </c>
      <c r="C54" s="102">
        <v>0</v>
      </c>
      <c r="D54" s="102">
        <v>14.796486144000001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4.019328E-3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>
        <v>150.599949624</v>
      </c>
      <c r="R54" s="102">
        <v>400.31309455200005</v>
      </c>
      <c r="S54" s="102">
        <v>46.754372412000002</v>
      </c>
      <c r="T54" s="102">
        <v>0</v>
      </c>
      <c r="U54" s="102">
        <v>3.6174370680000001</v>
      </c>
      <c r="V54" s="102">
        <v>0</v>
      </c>
      <c r="W54" s="102">
        <v>0</v>
      </c>
      <c r="X54" s="102">
        <v>0</v>
      </c>
      <c r="Y54" s="102">
        <v>10.073985084</v>
      </c>
      <c r="Z54" s="102">
        <v>14.740006212000003</v>
      </c>
      <c r="AA54" s="102">
        <v>0.39598754400000002</v>
      </c>
      <c r="AB54" s="102">
        <v>0</v>
      </c>
      <c r="AC54" s="102">
        <v>2.7089852040000002</v>
      </c>
      <c r="AD54" s="102">
        <v>1.7199793080000003</v>
      </c>
      <c r="AE54" s="102">
        <v>106.15920289200001</v>
      </c>
      <c r="AF54" s="102">
        <v>32.119999163999999</v>
      </c>
      <c r="AG54" s="102">
        <v>11.308002516</v>
      </c>
      <c r="AH54" s="102">
        <v>1.5260048640000001</v>
      </c>
      <c r="AI54" s="102">
        <v>7.1400012480000008</v>
      </c>
      <c r="AJ54" s="102">
        <v>5.9280063839999997</v>
      </c>
      <c r="AK54" s="102">
        <v>0.23998737600000003</v>
      </c>
      <c r="AL54" s="102">
        <v>2.7840126600000001</v>
      </c>
      <c r="AM54" s="102">
        <v>14.919996744000001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02">
        <v>0</v>
      </c>
      <c r="AU54" s="102">
        <v>64.624430304000001</v>
      </c>
      <c r="AV54" s="102">
        <v>0</v>
      </c>
      <c r="AW54" s="102">
        <v>1018.2342398760001</v>
      </c>
      <c r="AY54">
        <v>34725.749184359993</v>
      </c>
    </row>
    <row r="55" spans="1:52">
      <c r="A55" s="103" t="s">
        <v>104</v>
      </c>
      <c r="B55" s="101">
        <v>0</v>
      </c>
      <c r="C55" s="102">
        <v>-0.40800365999999999</v>
      </c>
      <c r="D55" s="102">
        <v>0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-3.269388384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-104.85200019600002</v>
      </c>
      <c r="AA55" s="102">
        <v>-4.4003267999999998E-2</v>
      </c>
      <c r="AB55" s="102">
        <v>0</v>
      </c>
      <c r="AC55" s="102">
        <v>-1.89201492</v>
      </c>
      <c r="AD55" s="102">
        <v>-4.7299954320000008</v>
      </c>
      <c r="AE55" s="102">
        <v>-78.341391936000008</v>
      </c>
      <c r="AF55" s="102">
        <v>-2.6800125480000001</v>
      </c>
      <c r="AG55" s="102">
        <v>-1.4080208400000003</v>
      </c>
      <c r="AH55" s="102">
        <v>-2.3979897000000001</v>
      </c>
      <c r="AI55" s="102">
        <v>-13.6500147</v>
      </c>
      <c r="AJ55" s="102">
        <v>-3.4709828040000006</v>
      </c>
      <c r="AK55" s="102">
        <v>0</v>
      </c>
      <c r="AL55" s="102">
        <v>0</v>
      </c>
      <c r="AM55" s="102">
        <v>-1.799989056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-3.359404584</v>
      </c>
      <c r="AV55" s="102">
        <v>0</v>
      </c>
      <c r="AW55" s="102">
        <v>-222.30321202800002</v>
      </c>
      <c r="AZ55">
        <v>-12494.933520480001</v>
      </c>
    </row>
    <row r="56" spans="1:52">
      <c r="A56" s="79" t="s">
        <v>105</v>
      </c>
      <c r="B56" s="101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0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-2.0874128760000001</v>
      </c>
      <c r="AF56" s="102">
        <v>-18.7600041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-20.847416976000002</v>
      </c>
    </row>
    <row r="57" spans="1:52">
      <c r="A57" s="87" t="s">
        <v>106</v>
      </c>
      <c r="B57" s="104">
        <v>-3.1874945760000002</v>
      </c>
      <c r="C57" s="105">
        <v>-21.899392344000002</v>
      </c>
      <c r="D57" s="105">
        <v>0.49810359600000004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0</v>
      </c>
      <c r="P57" s="105">
        <v>0</v>
      </c>
      <c r="Q57" s="105">
        <v>0</v>
      </c>
      <c r="R57" s="105">
        <v>11.29410234</v>
      </c>
      <c r="S57" s="105">
        <v>0</v>
      </c>
      <c r="T57" s="105">
        <v>-4.3345940400000007</v>
      </c>
      <c r="U57" s="105">
        <v>0</v>
      </c>
      <c r="V57" s="105">
        <v>0</v>
      </c>
      <c r="W57" s="105">
        <v>0</v>
      </c>
      <c r="X57" s="105">
        <v>0</v>
      </c>
      <c r="Y57" s="105">
        <v>-2.5760124360000001</v>
      </c>
      <c r="Z57" s="105">
        <v>-0.22001634</v>
      </c>
      <c r="AA57" s="105">
        <v>0</v>
      </c>
      <c r="AB57" s="105">
        <v>0</v>
      </c>
      <c r="AC57" s="105">
        <v>0.25799061600000001</v>
      </c>
      <c r="AD57" s="105">
        <v>0</v>
      </c>
      <c r="AE57" s="105">
        <v>-4.3026068880000006</v>
      </c>
      <c r="AF57" s="105">
        <v>-3.2799809880000002</v>
      </c>
      <c r="AG57" s="105">
        <v>-0.39598754400000002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0.40000687200000001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-27.745881732000001</v>
      </c>
    </row>
    <row r="58" spans="1:52">
      <c r="A58" s="106" t="s">
        <v>107</v>
      </c>
      <c r="B58" s="104">
        <v>122.57279866800002</v>
      </c>
      <c r="C58" s="105">
        <v>68.758183548000005</v>
      </c>
      <c r="D58" s="105">
        <v>15.294589740000001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281.72583640800002</v>
      </c>
      <c r="L58" s="105">
        <v>2.19158046</v>
      </c>
      <c r="M58" s="105">
        <v>6.5857526640000001</v>
      </c>
      <c r="N58" s="105">
        <v>1.7456443920000002</v>
      </c>
      <c r="O58" s="105">
        <v>0</v>
      </c>
      <c r="P58" s="105">
        <v>0</v>
      </c>
      <c r="Q58" s="105">
        <v>150.599949624</v>
      </c>
      <c r="R58" s="105">
        <v>411.60719689199999</v>
      </c>
      <c r="S58" s="105">
        <v>46.754372412000002</v>
      </c>
      <c r="T58" s="105">
        <v>-4.3345940400000007</v>
      </c>
      <c r="U58" s="105">
        <v>7.3353154680000001</v>
      </c>
      <c r="V58" s="105">
        <v>0</v>
      </c>
      <c r="W58" s="105">
        <v>0</v>
      </c>
      <c r="X58" s="105">
        <v>0</v>
      </c>
      <c r="Y58" s="105">
        <v>7.4980145159999996</v>
      </c>
      <c r="Z58" s="105">
        <v>-90.332010324000009</v>
      </c>
      <c r="AA58" s="105">
        <v>0.35198427600000004</v>
      </c>
      <c r="AB58" s="105">
        <v>0</v>
      </c>
      <c r="AC58" s="105">
        <v>-16.425988704000002</v>
      </c>
      <c r="AD58" s="105">
        <v>-3.0100161240000003</v>
      </c>
      <c r="AE58" s="105">
        <v>21.427791192000001</v>
      </c>
      <c r="AF58" s="105">
        <v>7.4000015280000007</v>
      </c>
      <c r="AG58" s="105">
        <v>9.5039941320000008</v>
      </c>
      <c r="AH58" s="105">
        <v>-0.8719848360000001</v>
      </c>
      <c r="AI58" s="105">
        <v>-6.5100134520000008</v>
      </c>
      <c r="AJ58" s="105">
        <v>2.4569817120000002</v>
      </c>
      <c r="AK58" s="105">
        <v>0.23998737600000003</v>
      </c>
      <c r="AL58" s="105">
        <v>2.7840126600000001</v>
      </c>
      <c r="AM58" s="105">
        <v>13.520014560000002</v>
      </c>
      <c r="AN58" s="105">
        <v>253.91116555200003</v>
      </c>
      <c r="AO58" s="105">
        <v>49.631332032000003</v>
      </c>
      <c r="AP58" s="105">
        <v>0</v>
      </c>
      <c r="AQ58" s="105">
        <v>3.0814848000000002E-2</v>
      </c>
      <c r="AR58" s="105">
        <v>0</v>
      </c>
      <c r="AS58" s="105">
        <v>0.61211015999999996</v>
      </c>
      <c r="AT58" s="105">
        <v>0</v>
      </c>
      <c r="AU58" s="105">
        <v>61.265025720000004</v>
      </c>
      <c r="AV58" s="105">
        <v>3.0587923440000004</v>
      </c>
      <c r="AW58" s="105">
        <v>1427.3786354040003</v>
      </c>
    </row>
    <row r="59" spans="1:52">
      <c r="A59" s="106" t="s">
        <v>108</v>
      </c>
      <c r="B59" s="104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67.101173712000005</v>
      </c>
      <c r="U59" s="105">
        <v>-2.0096639999999999</v>
      </c>
      <c r="V59" s="105">
        <v>0</v>
      </c>
      <c r="W59" s="105">
        <v>0</v>
      </c>
      <c r="X59" s="105">
        <v>0</v>
      </c>
      <c r="Y59" s="105">
        <v>-4.5080112960000003</v>
      </c>
      <c r="Z59" s="105">
        <v>1.936018188</v>
      </c>
      <c r="AA59" s="105">
        <v>0</v>
      </c>
      <c r="AB59" s="105">
        <v>0</v>
      </c>
      <c r="AC59" s="105">
        <v>0</v>
      </c>
      <c r="AD59" s="105">
        <v>0</v>
      </c>
      <c r="AE59" s="105">
        <v>-56.019007188000003</v>
      </c>
      <c r="AF59" s="105">
        <v>-3.3200067959999999</v>
      </c>
      <c r="AG59" s="105">
        <v>-0.87998162400000013</v>
      </c>
      <c r="AH59" s="105">
        <v>0</v>
      </c>
      <c r="AI59" s="105">
        <v>0</v>
      </c>
      <c r="AJ59" s="105">
        <v>0</v>
      </c>
      <c r="AK59" s="105">
        <v>0</v>
      </c>
      <c r="AL59" s="105">
        <v>0</v>
      </c>
      <c r="AM59" s="105">
        <v>0</v>
      </c>
      <c r="AN59" s="105">
        <v>0</v>
      </c>
      <c r="AO59" s="105">
        <v>0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2.3005209960000004</v>
      </c>
    </row>
    <row r="60" spans="1:52">
      <c r="A60" s="106" t="s">
        <v>109</v>
      </c>
      <c r="B60" s="104">
        <v>-4.4929388160000006</v>
      </c>
      <c r="C60" s="105">
        <v>6.0959808000000004E-2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0</v>
      </c>
      <c r="O60" s="105">
        <v>0</v>
      </c>
      <c r="P60" s="105">
        <v>0</v>
      </c>
      <c r="Q60" s="105">
        <v>0.32301162</v>
      </c>
      <c r="R60" s="105">
        <v>5.9398550280000011</v>
      </c>
      <c r="S60" s="105">
        <v>-9.0434880000000009E-2</v>
      </c>
      <c r="T60" s="105">
        <v>0</v>
      </c>
      <c r="U60" s="105">
        <v>0</v>
      </c>
      <c r="V60" s="105">
        <v>0</v>
      </c>
      <c r="W60" s="105">
        <v>0</v>
      </c>
      <c r="X60" s="105">
        <v>0</v>
      </c>
      <c r="Y60" s="105">
        <v>0.22998092400000003</v>
      </c>
      <c r="Z60" s="105">
        <v>-7.7439890159999996</v>
      </c>
      <c r="AA60" s="105">
        <v>-0.13200980400000001</v>
      </c>
      <c r="AB60" s="105">
        <v>0</v>
      </c>
      <c r="AC60" s="105">
        <v>-2.8810208159999999</v>
      </c>
      <c r="AD60" s="105">
        <v>3.0100161240000003</v>
      </c>
      <c r="AE60" s="105">
        <v>0.97979493600000012</v>
      </c>
      <c r="AF60" s="105">
        <v>4.2400142280000006</v>
      </c>
      <c r="AG60" s="105">
        <v>-4.3999918560000006</v>
      </c>
      <c r="AH60" s="105">
        <v>-2.4852007440000001</v>
      </c>
      <c r="AI60" s="105">
        <v>0.96602036400000002</v>
      </c>
      <c r="AJ60" s="105">
        <v>-0.39000042000000001</v>
      </c>
      <c r="AK60" s="105">
        <v>0</v>
      </c>
      <c r="AL60" s="105">
        <v>-1.5679984680000001</v>
      </c>
      <c r="AM60" s="105">
        <v>-8.9999871480000007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0</v>
      </c>
      <c r="AV60" s="105">
        <v>0</v>
      </c>
      <c r="AW60" s="105">
        <v>-17.423912484000002</v>
      </c>
    </row>
    <row r="61" spans="1:52">
      <c r="A61" s="30" t="s">
        <v>110</v>
      </c>
      <c r="B61" s="102">
        <v>-110.86336576800001</v>
      </c>
      <c r="C61" s="102">
        <v>-57.884729004000008</v>
      </c>
      <c r="D61" s="102">
        <v>-6.5339200800000006</v>
      </c>
      <c r="E61" s="102">
        <v>0</v>
      </c>
      <c r="F61" s="102">
        <v>0</v>
      </c>
      <c r="G61" s="102">
        <v>6.410660688000001</v>
      </c>
      <c r="H61" s="102">
        <v>9.8121007440000003</v>
      </c>
      <c r="I61" s="102">
        <v>0</v>
      </c>
      <c r="J61" s="102">
        <v>0</v>
      </c>
      <c r="K61" s="102">
        <v>-88.234046712000008</v>
      </c>
      <c r="L61" s="102">
        <v>-1.2877340760000002</v>
      </c>
      <c r="M61" s="102">
        <v>-5.3459574480000001</v>
      </c>
      <c r="N61" s="102">
        <v>-1.1457596880000001</v>
      </c>
      <c r="O61" s="102">
        <v>0</v>
      </c>
      <c r="P61" s="102">
        <v>0</v>
      </c>
      <c r="Q61" s="102">
        <v>-104.13358718400001</v>
      </c>
      <c r="R61" s="102">
        <v>-417.54705192000006</v>
      </c>
      <c r="S61" s="102">
        <v>-46.663937531999998</v>
      </c>
      <c r="T61" s="102">
        <v>-62.766579672000006</v>
      </c>
      <c r="U61" s="102">
        <v>-5.3256514680000002</v>
      </c>
      <c r="V61" s="102">
        <v>0</v>
      </c>
      <c r="W61" s="102">
        <v>22.769995536</v>
      </c>
      <c r="X61" s="102">
        <v>0</v>
      </c>
      <c r="Y61" s="102">
        <v>12.098009808000002</v>
      </c>
      <c r="Z61" s="102">
        <v>178.68399919200002</v>
      </c>
      <c r="AA61" s="102">
        <v>0</v>
      </c>
      <c r="AB61" s="102">
        <v>0</v>
      </c>
      <c r="AC61" s="102">
        <v>25.455995208000001</v>
      </c>
      <c r="AD61" s="102">
        <v>0</v>
      </c>
      <c r="AE61" s="102">
        <v>210.44401729200001</v>
      </c>
      <c r="AF61" s="102">
        <v>24.080003388000002</v>
      </c>
      <c r="AG61" s="102">
        <v>6.7760008560000013</v>
      </c>
      <c r="AH61" s="102">
        <v>6.4091953080000001</v>
      </c>
      <c r="AI61" s="102">
        <v>8.8619902200000009</v>
      </c>
      <c r="AJ61" s="102">
        <v>12.128992128000002</v>
      </c>
      <c r="AK61" s="102">
        <v>0</v>
      </c>
      <c r="AL61" s="102">
        <v>4.0959883080000008</v>
      </c>
      <c r="AM61" s="102">
        <v>2.6800125480000001</v>
      </c>
      <c r="AN61" s="102">
        <v>-253.91116555200003</v>
      </c>
      <c r="AO61" s="102">
        <v>-49.631332032000003</v>
      </c>
      <c r="AP61" s="102">
        <v>0</v>
      </c>
      <c r="AQ61" s="102">
        <v>-1.0801944000000001E-2</v>
      </c>
      <c r="AR61" s="102">
        <v>0</v>
      </c>
      <c r="AS61" s="102">
        <v>-0.61211015999999996</v>
      </c>
      <c r="AT61" s="102">
        <v>0</v>
      </c>
      <c r="AU61" s="102">
        <v>253.95730408800003</v>
      </c>
      <c r="AV61" s="102">
        <v>158.35616409600001</v>
      </c>
      <c r="AW61" s="102">
        <v>-268.85029597200003</v>
      </c>
    </row>
    <row r="62" spans="1:52">
      <c r="A62" s="79" t="s">
        <v>111</v>
      </c>
      <c r="B62" s="101">
        <v>-20.231664300000002</v>
      </c>
      <c r="C62" s="102">
        <v>-12.009291516000001</v>
      </c>
      <c r="D62" s="102">
        <v>0</v>
      </c>
      <c r="E62" s="102">
        <v>0</v>
      </c>
      <c r="F62" s="102">
        <v>0</v>
      </c>
      <c r="G62" s="102">
        <v>0</v>
      </c>
      <c r="H62" s="102">
        <v>0</v>
      </c>
      <c r="I62" s="102">
        <v>0</v>
      </c>
      <c r="J62" s="102">
        <v>0</v>
      </c>
      <c r="K62" s="102">
        <v>-8.6773523400000006</v>
      </c>
      <c r="L62" s="102">
        <v>0</v>
      </c>
      <c r="M62" s="102">
        <v>-0.77786557200000006</v>
      </c>
      <c r="N62" s="102">
        <v>-6.9919560000000006E-3</v>
      </c>
      <c r="O62" s="102">
        <v>0</v>
      </c>
      <c r="P62" s="102">
        <v>0</v>
      </c>
      <c r="Q62" s="102">
        <v>-2.1863888280000001</v>
      </c>
      <c r="R62" s="102">
        <v>0</v>
      </c>
      <c r="S62" s="102">
        <v>0</v>
      </c>
      <c r="T62" s="102">
        <v>0</v>
      </c>
      <c r="U62" s="102">
        <v>0</v>
      </c>
      <c r="V62" s="102">
        <v>0</v>
      </c>
      <c r="W62" s="102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2">
        <v>-4.2579755999999996E-2</v>
      </c>
      <c r="AF62" s="102">
        <v>-0.48001662</v>
      </c>
      <c r="AG62" s="102">
        <v>0</v>
      </c>
      <c r="AH62" s="102">
        <v>0</v>
      </c>
      <c r="AI62" s="102">
        <v>0</v>
      </c>
      <c r="AJ62" s="102">
        <v>0</v>
      </c>
      <c r="AK62" s="102">
        <v>0</v>
      </c>
      <c r="AL62" s="102">
        <v>0</v>
      </c>
      <c r="AM62" s="102">
        <v>0</v>
      </c>
      <c r="AN62" s="102">
        <v>-253.91116555200003</v>
      </c>
      <c r="AO62" s="102">
        <v>-49.631332032000003</v>
      </c>
      <c r="AP62" s="102">
        <v>0</v>
      </c>
      <c r="AQ62" s="102">
        <v>-1.0801944000000001E-2</v>
      </c>
      <c r="AR62" s="102">
        <v>0</v>
      </c>
      <c r="AS62" s="102">
        <v>-0.61211015999999996</v>
      </c>
      <c r="AT62" s="102">
        <v>0</v>
      </c>
      <c r="AU62" s="102">
        <v>151.29202766399999</v>
      </c>
      <c r="AV62" s="102">
        <v>0</v>
      </c>
      <c r="AW62" s="102">
        <v>-197.28553291200001</v>
      </c>
    </row>
    <row r="63" spans="1:52">
      <c r="A63" s="79" t="s">
        <v>112</v>
      </c>
      <c r="B63" s="101">
        <v>0</v>
      </c>
      <c r="C63" s="102">
        <v>-1.1011284000000001E-2</v>
      </c>
      <c r="D63" s="102">
        <v>0</v>
      </c>
      <c r="E63" s="102">
        <v>0</v>
      </c>
      <c r="F63" s="102">
        <v>0</v>
      </c>
      <c r="G63" s="102">
        <v>-0.25191975600000005</v>
      </c>
      <c r="H63" s="102">
        <v>-7.3755924840000011</v>
      </c>
      <c r="I63" s="102">
        <v>0</v>
      </c>
      <c r="J63" s="102">
        <v>0</v>
      </c>
      <c r="K63" s="102">
        <v>-2.7634554720000004</v>
      </c>
      <c r="L63" s="102">
        <v>-1.2016116E-2</v>
      </c>
      <c r="M63" s="102">
        <v>0</v>
      </c>
      <c r="N63" s="102">
        <v>0</v>
      </c>
      <c r="O63" s="102">
        <v>0</v>
      </c>
      <c r="P63" s="102">
        <v>0</v>
      </c>
      <c r="Q63" s="102">
        <v>-0.26992299600000003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-4.9487976000000003E-2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0</v>
      </c>
      <c r="AF63" s="102">
        <v>-0.83999768399999997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0</v>
      </c>
      <c r="AP63" s="102">
        <v>0</v>
      </c>
      <c r="AQ63" s="102">
        <v>0</v>
      </c>
      <c r="AR63" s="102">
        <v>0</v>
      </c>
      <c r="AS63" s="102">
        <v>0</v>
      </c>
      <c r="AT63" s="102">
        <v>0</v>
      </c>
      <c r="AU63" s="102">
        <v>3.6402551280000002</v>
      </c>
      <c r="AV63" s="102">
        <v>0</v>
      </c>
      <c r="AW63" s="102">
        <v>-7.9801664040000011</v>
      </c>
    </row>
    <row r="64" spans="1:52">
      <c r="A64" s="79" t="s">
        <v>113</v>
      </c>
      <c r="B64" s="101">
        <v>-50.045908968000006</v>
      </c>
      <c r="C64" s="102">
        <v>-39.178315944000005</v>
      </c>
      <c r="D64" s="102">
        <v>0</v>
      </c>
      <c r="E64" s="102">
        <v>0</v>
      </c>
      <c r="F64" s="102">
        <v>0</v>
      </c>
      <c r="G64" s="102">
        <v>0</v>
      </c>
      <c r="H64" s="102">
        <v>0</v>
      </c>
      <c r="I64" s="102">
        <v>0</v>
      </c>
      <c r="J64" s="102">
        <v>0</v>
      </c>
      <c r="K64" s="102">
        <v>-36.639942840000003</v>
      </c>
      <c r="L64" s="102">
        <v>-2.3990364E-2</v>
      </c>
      <c r="M64" s="102">
        <v>-3.4293241440000002</v>
      </c>
      <c r="N64" s="102">
        <v>-0.24195517200000002</v>
      </c>
      <c r="O64" s="102">
        <v>0</v>
      </c>
      <c r="P64" s="102">
        <v>0</v>
      </c>
      <c r="Q64" s="102">
        <v>-76.588839324000006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-9.901782000000002E-2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2">
        <v>-8.5201380000000007E-2</v>
      </c>
      <c r="AF64" s="102">
        <v>-2.319989616</v>
      </c>
      <c r="AG64" s="102">
        <v>0</v>
      </c>
      <c r="AH64" s="102">
        <v>0</v>
      </c>
      <c r="AI64" s="102">
        <v>0</v>
      </c>
      <c r="AJ64" s="102">
        <v>0</v>
      </c>
      <c r="AK64" s="102">
        <v>0</v>
      </c>
      <c r="AL64" s="102">
        <v>0</v>
      </c>
      <c r="AM64" s="102">
        <v>0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02">
        <v>0</v>
      </c>
      <c r="AU64" s="102">
        <v>68.221477656000005</v>
      </c>
      <c r="AV64" s="102">
        <v>109.94984787600001</v>
      </c>
      <c r="AW64" s="102">
        <v>-30.481160039999999</v>
      </c>
    </row>
    <row r="65" spans="1:49">
      <c r="A65" s="79" t="s">
        <v>114</v>
      </c>
      <c r="B65" s="101">
        <v>-0.46800050400000004</v>
      </c>
      <c r="C65" s="102">
        <v>-2.5759287</v>
      </c>
      <c r="D65" s="102">
        <v>0</v>
      </c>
      <c r="E65" s="102">
        <v>0</v>
      </c>
      <c r="F65" s="102">
        <v>0</v>
      </c>
      <c r="G65" s="102">
        <v>-1.800324E-2</v>
      </c>
      <c r="H65" s="102">
        <v>-0.35395207200000006</v>
      </c>
      <c r="I65" s="102">
        <v>0</v>
      </c>
      <c r="J65" s="102">
        <v>0</v>
      </c>
      <c r="K65" s="102">
        <v>-32.503761252000004</v>
      </c>
      <c r="L65" s="102">
        <v>-1.217772648</v>
      </c>
      <c r="M65" s="102">
        <v>-0.47193609600000003</v>
      </c>
      <c r="N65" s="102">
        <v>-1.004832E-3</v>
      </c>
      <c r="O65" s="102">
        <v>0</v>
      </c>
      <c r="P65" s="102">
        <v>0</v>
      </c>
      <c r="Q65" s="102">
        <v>-12.743949312000002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-0.14850579600000002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-8.5201380000000007E-2</v>
      </c>
      <c r="AF65" s="102">
        <v>-2.4800091120000003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29.975394600000005</v>
      </c>
      <c r="AV65" s="102">
        <v>11.196842976000001</v>
      </c>
      <c r="AW65" s="102">
        <v>-11.895787368000001</v>
      </c>
    </row>
    <row r="66" spans="1:49">
      <c r="A66" s="79" t="s">
        <v>115</v>
      </c>
      <c r="B66" s="101">
        <v>-2.7309659040000001</v>
      </c>
      <c r="C66" s="102">
        <v>-4.0761847440000007</v>
      </c>
      <c r="D66" s="102">
        <v>0</v>
      </c>
      <c r="E66" s="102">
        <v>0</v>
      </c>
      <c r="F66" s="102">
        <v>0</v>
      </c>
      <c r="G66" s="102">
        <v>0</v>
      </c>
      <c r="H66" s="102">
        <v>0</v>
      </c>
      <c r="I66" s="102">
        <v>0</v>
      </c>
      <c r="J66" s="102">
        <v>0</v>
      </c>
      <c r="K66" s="102">
        <v>-7.2746068680000002</v>
      </c>
      <c r="L66" s="102">
        <v>0</v>
      </c>
      <c r="M66" s="102">
        <v>-0.66687350400000001</v>
      </c>
      <c r="N66" s="102">
        <v>-0.89580772800000008</v>
      </c>
      <c r="O66" s="102">
        <v>0</v>
      </c>
      <c r="P66" s="102">
        <v>0</v>
      </c>
      <c r="Q66" s="102">
        <v>-11.918019276000001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0</v>
      </c>
      <c r="X66" s="102">
        <v>0</v>
      </c>
      <c r="Y66" s="102">
        <v>0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-0.76681242000000005</v>
      </c>
      <c r="AF66" s="102">
        <v>-9.8800106400000001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0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34.140423239999997</v>
      </c>
      <c r="AW66" s="102">
        <v>-4.0688578440000009</v>
      </c>
    </row>
    <row r="67" spans="1:49">
      <c r="A67" s="79" t="s">
        <v>116</v>
      </c>
      <c r="B67" s="101">
        <v>0</v>
      </c>
      <c r="C67" s="102">
        <v>-3.3996816000000006E-2</v>
      </c>
      <c r="D67" s="102">
        <v>0</v>
      </c>
      <c r="E67" s="102">
        <v>0</v>
      </c>
      <c r="F67" s="102">
        <v>0</v>
      </c>
      <c r="G67" s="102">
        <v>0</v>
      </c>
      <c r="H67" s="102">
        <v>-0.46791676800000004</v>
      </c>
      <c r="I67" s="102">
        <v>0</v>
      </c>
      <c r="J67" s="102">
        <v>0</v>
      </c>
      <c r="K67" s="102">
        <v>-0.37492794000000002</v>
      </c>
      <c r="L67" s="102">
        <v>-3.3996816000000006E-2</v>
      </c>
      <c r="M67" s="102">
        <v>0</v>
      </c>
      <c r="N67" s="102">
        <v>0</v>
      </c>
      <c r="O67" s="102">
        <v>0</v>
      </c>
      <c r="P67" s="102">
        <v>0</v>
      </c>
      <c r="Q67" s="102">
        <v>-0.42646744800000003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0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-4.2579755999999996E-2</v>
      </c>
      <c r="AF67" s="102">
        <v>-0.35998106400000007</v>
      </c>
      <c r="AG67" s="102">
        <v>0</v>
      </c>
      <c r="AH67" s="102">
        <v>0</v>
      </c>
      <c r="AI67" s="102">
        <v>0</v>
      </c>
      <c r="AJ67" s="102">
        <v>0</v>
      </c>
      <c r="AK67" s="102">
        <v>0</v>
      </c>
      <c r="AL67" s="102">
        <v>0</v>
      </c>
      <c r="AM67" s="102">
        <v>0</v>
      </c>
      <c r="AN67" s="102">
        <v>0</v>
      </c>
      <c r="AO67" s="102">
        <v>0</v>
      </c>
      <c r="AP67" s="102">
        <v>0</v>
      </c>
      <c r="AQ67" s="102">
        <v>0</v>
      </c>
      <c r="AR67" s="102">
        <v>0</v>
      </c>
      <c r="AS67" s="102">
        <v>0</v>
      </c>
      <c r="AT67" s="102">
        <v>0</v>
      </c>
      <c r="AU67" s="102">
        <v>0</v>
      </c>
      <c r="AV67" s="102">
        <v>4.6421144999999999</v>
      </c>
      <c r="AW67" s="102">
        <v>2.9022478920000001</v>
      </c>
    </row>
    <row r="68" spans="1:49">
      <c r="A68" s="79" t="s">
        <v>117</v>
      </c>
      <c r="B68" s="101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-3.6006480000000001E-3</v>
      </c>
      <c r="AV68" s="102">
        <v>3.6006480000000001E-3</v>
      </c>
      <c r="AW68" s="102">
        <v>0</v>
      </c>
    </row>
    <row r="69" spans="1:49">
      <c r="A69" s="79" t="s">
        <v>118</v>
      </c>
      <c r="B69" s="101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-6.4811664000000005E-2</v>
      </c>
      <c r="AV69" s="102">
        <v>6.397430400000001E-2</v>
      </c>
      <c r="AW69" s="102">
        <v>-8.373600000000001E-4</v>
      </c>
    </row>
    <row r="70" spans="1:49">
      <c r="A70" s="79" t="s">
        <v>119</v>
      </c>
      <c r="B70" s="101">
        <v>0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  <c r="AL70" s="102">
        <v>0</v>
      </c>
      <c r="AM70" s="102">
        <v>0</v>
      </c>
      <c r="AN70" s="102">
        <v>0</v>
      </c>
      <c r="AO70" s="102">
        <v>0</v>
      </c>
      <c r="AP70" s="102">
        <v>0</v>
      </c>
      <c r="AQ70" s="102">
        <v>0</v>
      </c>
      <c r="AR70" s="102">
        <v>0</v>
      </c>
      <c r="AS70" s="102">
        <v>0</v>
      </c>
      <c r="AT70" s="102">
        <v>0</v>
      </c>
      <c r="AU70" s="102">
        <v>0</v>
      </c>
      <c r="AV70" s="102">
        <v>0</v>
      </c>
      <c r="AW70" s="102">
        <v>0</v>
      </c>
    </row>
    <row r="71" spans="1:49">
      <c r="A71" s="79" t="s">
        <v>120</v>
      </c>
      <c r="B71" s="101">
        <v>-37.386784224000003</v>
      </c>
      <c r="C71" s="102">
        <v>0</v>
      </c>
      <c r="D71" s="102">
        <v>26.194211784000004</v>
      </c>
      <c r="E71" s="102">
        <v>0</v>
      </c>
      <c r="F71" s="102">
        <v>0</v>
      </c>
      <c r="G71" s="102">
        <v>6.6805836840000001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02">
        <v>0</v>
      </c>
      <c r="AU71" s="102">
        <v>0</v>
      </c>
      <c r="AV71" s="102">
        <v>0</v>
      </c>
      <c r="AW71" s="102">
        <v>-4.438008</v>
      </c>
    </row>
    <row r="72" spans="1:49">
      <c r="A72" s="79" t="s">
        <v>121</v>
      </c>
      <c r="B72" s="101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02">
        <v>0</v>
      </c>
      <c r="AU72" s="102">
        <v>0</v>
      </c>
      <c r="AV72" s="102">
        <v>0</v>
      </c>
      <c r="AW72" s="102">
        <v>0</v>
      </c>
    </row>
    <row r="73" spans="1:49">
      <c r="A73" s="79" t="s">
        <v>122</v>
      </c>
      <c r="B73" s="101">
        <v>0</v>
      </c>
      <c r="C73" s="102">
        <v>0</v>
      </c>
      <c r="D73" s="102">
        <v>-32.728089996000001</v>
      </c>
      <c r="E73" s="102">
        <v>0</v>
      </c>
      <c r="F73" s="102">
        <v>0</v>
      </c>
      <c r="G73" s="102">
        <v>0</v>
      </c>
      <c r="H73" s="102">
        <v>18.009520200000001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-12.280010004000001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-26.998579800000002</v>
      </c>
    </row>
    <row r="74" spans="1:49">
      <c r="A74" s="79" t="s">
        <v>123</v>
      </c>
      <c r="B74" s="101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6.67187514</v>
      </c>
      <c r="U74" s="102">
        <v>0</v>
      </c>
      <c r="V74" s="102">
        <v>0</v>
      </c>
      <c r="W74" s="102">
        <v>-2.6730205920000003</v>
      </c>
      <c r="X74" s="102">
        <v>0</v>
      </c>
      <c r="Y74" s="102">
        <v>-2.3920025759999999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-2.2439991960000003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-0.63714722400000001</v>
      </c>
    </row>
    <row r="75" spans="1:49">
      <c r="A75" s="79" t="s">
        <v>124</v>
      </c>
      <c r="B75" s="101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  <c r="AF75" s="102">
        <v>0</v>
      </c>
      <c r="AG75" s="102">
        <v>0</v>
      </c>
      <c r="AH75" s="102">
        <v>0</v>
      </c>
      <c r="AI75" s="102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02">
        <v>0</v>
      </c>
      <c r="AU75" s="102">
        <v>0</v>
      </c>
      <c r="AV75" s="102">
        <v>0</v>
      </c>
      <c r="AW75" s="102">
        <v>0</v>
      </c>
    </row>
    <row r="76" spans="1:49">
      <c r="A76" s="79" t="s">
        <v>125</v>
      </c>
      <c r="B76" s="101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-417.54705192000006</v>
      </c>
      <c r="S76" s="102">
        <v>-46.663937531999998</v>
      </c>
      <c r="T76" s="102">
        <v>-69.438454812000003</v>
      </c>
      <c r="U76" s="102">
        <v>-5.3256514680000002</v>
      </c>
      <c r="V76" s="102">
        <v>0</v>
      </c>
      <c r="W76" s="102">
        <v>25.739985852</v>
      </c>
      <c r="X76" s="102">
        <v>0</v>
      </c>
      <c r="Y76" s="102">
        <v>14.490012384000002</v>
      </c>
      <c r="Z76" s="102">
        <v>178.68399919200002</v>
      </c>
      <c r="AA76" s="102">
        <v>0</v>
      </c>
      <c r="AB76" s="102">
        <v>0</v>
      </c>
      <c r="AC76" s="102">
        <v>25.455995208000001</v>
      </c>
      <c r="AD76" s="102">
        <v>0</v>
      </c>
      <c r="AE76" s="102">
        <v>211.46639198399998</v>
      </c>
      <c r="AF76" s="102">
        <v>52.720018128</v>
      </c>
      <c r="AG76" s="102">
        <v>9.0200000520000003</v>
      </c>
      <c r="AH76" s="102">
        <v>6.4091953080000001</v>
      </c>
      <c r="AI76" s="102">
        <v>8.8619902200000009</v>
      </c>
      <c r="AJ76" s="102">
        <v>12.128992128000002</v>
      </c>
      <c r="AK76" s="102">
        <v>0</v>
      </c>
      <c r="AL76" s="102">
        <v>4.0959883080000008</v>
      </c>
      <c r="AM76" s="102">
        <v>2.6800125480000001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02">
        <v>0</v>
      </c>
      <c r="AU76" s="102">
        <v>0</v>
      </c>
      <c r="AV76" s="102">
        <v>0</v>
      </c>
      <c r="AW76" s="102">
        <v>12.77748558</v>
      </c>
    </row>
    <row r="77" spans="1:49">
      <c r="A77" s="79" t="s">
        <v>126</v>
      </c>
      <c r="B77" s="101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</row>
    <row r="78" spans="1:49">
      <c r="A78" s="87" t="s">
        <v>127</v>
      </c>
      <c r="B78" s="104">
        <v>0</v>
      </c>
      <c r="C78" s="105">
        <v>0</v>
      </c>
      <c r="D78" s="105">
        <v>0</v>
      </c>
      <c r="E78" s="105">
        <v>0</v>
      </c>
      <c r="F78" s="105">
        <v>0</v>
      </c>
      <c r="G78" s="105">
        <v>0</v>
      </c>
      <c r="H78" s="105">
        <v>0</v>
      </c>
      <c r="I78" s="105">
        <v>0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0</v>
      </c>
    </row>
    <row r="79" spans="1:49">
      <c r="A79" s="107" t="s">
        <v>128</v>
      </c>
      <c r="B79" s="101">
        <v>0</v>
      </c>
      <c r="C79" s="102">
        <v>0</v>
      </c>
      <c r="D79" s="102">
        <v>0</v>
      </c>
      <c r="E79" s="102">
        <v>0</v>
      </c>
      <c r="F79" s="102">
        <v>0</v>
      </c>
      <c r="G79" s="102">
        <v>0</v>
      </c>
      <c r="H79" s="102">
        <v>0</v>
      </c>
      <c r="I79" s="102">
        <v>0</v>
      </c>
      <c r="J79" s="102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0</v>
      </c>
      <c r="P79" s="102">
        <v>0</v>
      </c>
      <c r="Q79" s="102">
        <v>-10.571083848000001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-20.195992764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-0.12778113600000002</v>
      </c>
      <c r="AF79" s="102">
        <v>-2.3999993640000001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-4.0959883080000008</v>
      </c>
      <c r="AM79" s="102">
        <v>0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2">
        <v>-13.005540576000001</v>
      </c>
      <c r="AV79" s="102">
        <v>0</v>
      </c>
      <c r="AW79" s="102">
        <v>-50.396385995999999</v>
      </c>
    </row>
    <row r="80" spans="1:49">
      <c r="A80" s="108" t="s">
        <v>129</v>
      </c>
      <c r="B80" s="109">
        <v>0</v>
      </c>
      <c r="C80" s="109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0</v>
      </c>
      <c r="J80" s="109">
        <v>0</v>
      </c>
      <c r="K80" s="109">
        <v>0</v>
      </c>
      <c r="L80" s="109">
        <v>0</v>
      </c>
      <c r="M80" s="109">
        <v>0</v>
      </c>
      <c r="N80" s="109">
        <v>0</v>
      </c>
      <c r="O80" s="109">
        <v>0</v>
      </c>
      <c r="P80" s="109">
        <v>0</v>
      </c>
      <c r="Q80" s="109">
        <v>-10.571083848000001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-20.195992764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0</v>
      </c>
      <c r="AE80" s="109">
        <v>0</v>
      </c>
      <c r="AF80" s="109">
        <v>-2.3999993640000001</v>
      </c>
      <c r="AG80" s="109">
        <v>0</v>
      </c>
      <c r="AH80" s="109">
        <v>0</v>
      </c>
      <c r="AI80" s="109">
        <v>0</v>
      </c>
      <c r="AJ80" s="109">
        <v>0</v>
      </c>
      <c r="AK80" s="109">
        <v>0</v>
      </c>
      <c r="AL80" s="109">
        <v>-4.0959883080000008</v>
      </c>
      <c r="AM80" s="109">
        <v>0</v>
      </c>
      <c r="AN80" s="109">
        <v>0</v>
      </c>
      <c r="AO80" s="109">
        <v>0</v>
      </c>
      <c r="AP80" s="109">
        <v>0</v>
      </c>
      <c r="AQ80" s="109">
        <v>0</v>
      </c>
      <c r="AR80" s="109">
        <v>0</v>
      </c>
      <c r="AS80" s="109">
        <v>0</v>
      </c>
      <c r="AT80" s="109">
        <v>0</v>
      </c>
      <c r="AU80" s="109">
        <v>-3.1433657040000003</v>
      </c>
      <c r="AV80" s="109">
        <v>0</v>
      </c>
      <c r="AW80" s="110">
        <v>-40.406429987999999</v>
      </c>
    </row>
    <row r="81" spans="1:49">
      <c r="A81" s="79" t="s">
        <v>130</v>
      </c>
      <c r="B81" s="101">
        <v>0</v>
      </c>
      <c r="C81" s="102">
        <v>0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>
        <v>0</v>
      </c>
      <c r="R81" s="102">
        <v>0</v>
      </c>
      <c r="S81" s="102">
        <v>0</v>
      </c>
      <c r="T81" s="102">
        <v>0</v>
      </c>
      <c r="U81" s="102">
        <v>0</v>
      </c>
      <c r="V81" s="102">
        <v>0</v>
      </c>
      <c r="W81" s="102">
        <v>0</v>
      </c>
      <c r="X81" s="102">
        <v>0</v>
      </c>
      <c r="Y81" s="102">
        <v>0</v>
      </c>
      <c r="Z81" s="102">
        <v>0</v>
      </c>
      <c r="AA81" s="102">
        <v>0</v>
      </c>
      <c r="AB81" s="102">
        <v>0</v>
      </c>
      <c r="AC81" s="102">
        <v>0</v>
      </c>
      <c r="AD81" s="102">
        <v>0</v>
      </c>
      <c r="AE81" s="102">
        <v>0</v>
      </c>
      <c r="AF81" s="102">
        <v>0</v>
      </c>
      <c r="AG81" s="102">
        <v>0</v>
      </c>
      <c r="AH81" s="102">
        <v>0</v>
      </c>
      <c r="AI81" s="102">
        <v>0</v>
      </c>
      <c r="AJ81" s="102">
        <v>0</v>
      </c>
      <c r="AK81" s="102">
        <v>0</v>
      </c>
      <c r="AL81" s="102">
        <v>0</v>
      </c>
      <c r="AM81" s="102">
        <v>0</v>
      </c>
      <c r="AN81" s="102">
        <v>0</v>
      </c>
      <c r="AO81" s="102">
        <v>0</v>
      </c>
      <c r="AP81" s="102">
        <v>0</v>
      </c>
      <c r="AQ81" s="102">
        <v>0</v>
      </c>
      <c r="AR81" s="102">
        <v>0</v>
      </c>
      <c r="AS81" s="102">
        <v>0</v>
      </c>
      <c r="AT81" s="102">
        <v>0</v>
      </c>
      <c r="AU81" s="102">
        <v>0</v>
      </c>
      <c r="AV81" s="102">
        <v>0</v>
      </c>
      <c r="AW81" s="102">
        <v>0</v>
      </c>
    </row>
    <row r="82" spans="1:49">
      <c r="A82" s="79" t="s">
        <v>131</v>
      </c>
      <c r="B82" s="101">
        <v>0</v>
      </c>
      <c r="C82" s="102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>
        <v>0</v>
      </c>
      <c r="R82" s="102">
        <v>0</v>
      </c>
      <c r="S82" s="102">
        <v>0</v>
      </c>
      <c r="T82" s="102">
        <v>0</v>
      </c>
      <c r="U82" s="102">
        <v>0</v>
      </c>
      <c r="V82" s="102">
        <v>0</v>
      </c>
      <c r="W82" s="102">
        <v>0</v>
      </c>
      <c r="X82" s="102">
        <v>0</v>
      </c>
      <c r="Y82" s="102">
        <v>0</v>
      </c>
      <c r="Z82" s="102">
        <v>0</v>
      </c>
      <c r="AA82" s="102">
        <v>0</v>
      </c>
      <c r="AB82" s="102">
        <v>0</v>
      </c>
      <c r="AC82" s="102">
        <v>0</v>
      </c>
      <c r="AD82" s="102">
        <v>0</v>
      </c>
      <c r="AE82" s="102">
        <v>0</v>
      </c>
      <c r="AF82" s="102">
        <v>0</v>
      </c>
      <c r="AG82" s="102">
        <v>0</v>
      </c>
      <c r="AH82" s="102">
        <v>0</v>
      </c>
      <c r="AI82" s="102">
        <v>0</v>
      </c>
      <c r="AJ82" s="102">
        <v>0</v>
      </c>
      <c r="AK82" s="102">
        <v>0</v>
      </c>
      <c r="AL82" s="102">
        <v>0</v>
      </c>
      <c r="AM82" s="102">
        <v>0</v>
      </c>
      <c r="AN82" s="102">
        <v>0</v>
      </c>
      <c r="AO82" s="102">
        <v>0</v>
      </c>
      <c r="AP82" s="102">
        <v>0</v>
      </c>
      <c r="AQ82" s="102">
        <v>0</v>
      </c>
      <c r="AR82" s="102">
        <v>0</v>
      </c>
      <c r="AS82" s="102">
        <v>0</v>
      </c>
      <c r="AT82" s="102">
        <v>0</v>
      </c>
      <c r="AU82" s="102">
        <v>0</v>
      </c>
      <c r="AV82" s="102">
        <v>0</v>
      </c>
      <c r="AW82" s="102">
        <v>0</v>
      </c>
    </row>
    <row r="83" spans="1:49">
      <c r="A83" s="79" t="s">
        <v>132</v>
      </c>
      <c r="B83" s="101">
        <v>0</v>
      </c>
      <c r="C83" s="102">
        <v>0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>
        <v>0</v>
      </c>
      <c r="AE83" s="102">
        <v>0</v>
      </c>
      <c r="AF83" s="102">
        <v>0</v>
      </c>
      <c r="AG83" s="102">
        <v>0</v>
      </c>
      <c r="AH83" s="102">
        <v>0</v>
      </c>
      <c r="AI83" s="102">
        <v>0</v>
      </c>
      <c r="AJ83" s="102">
        <v>0</v>
      </c>
      <c r="AK83" s="102">
        <v>0</v>
      </c>
      <c r="AL83" s="102">
        <v>0</v>
      </c>
      <c r="AM83" s="102">
        <v>0</v>
      </c>
      <c r="AN83" s="102">
        <v>0</v>
      </c>
      <c r="AO83" s="102">
        <v>0</v>
      </c>
      <c r="AP83" s="102">
        <v>0</v>
      </c>
      <c r="AQ83" s="102">
        <v>0</v>
      </c>
      <c r="AR83" s="102">
        <v>0</v>
      </c>
      <c r="AS83" s="102">
        <v>0</v>
      </c>
      <c r="AT83" s="102">
        <v>0</v>
      </c>
      <c r="AU83" s="102">
        <v>0</v>
      </c>
      <c r="AV83" s="102">
        <v>0</v>
      </c>
      <c r="AW83" s="102">
        <v>0</v>
      </c>
    </row>
    <row r="84" spans="1:49">
      <c r="A84" s="79" t="s">
        <v>133</v>
      </c>
      <c r="B84" s="101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0</v>
      </c>
      <c r="H84" s="102">
        <v>0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  <c r="AL84" s="102">
        <v>0</v>
      </c>
      <c r="AM84" s="102">
        <v>0</v>
      </c>
      <c r="AN84" s="102">
        <v>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  <c r="AU84" s="102">
        <v>0</v>
      </c>
      <c r="AV84" s="102">
        <v>0</v>
      </c>
      <c r="AW84" s="102">
        <v>0</v>
      </c>
    </row>
    <row r="85" spans="1:49">
      <c r="A85" s="79" t="s">
        <v>134</v>
      </c>
      <c r="B85" s="101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  <c r="AF85" s="102">
        <v>0</v>
      </c>
      <c r="AG85" s="102">
        <v>0</v>
      </c>
      <c r="AH85" s="102">
        <v>0</v>
      </c>
      <c r="AI85" s="102">
        <v>0</v>
      </c>
      <c r="AJ85" s="102">
        <v>0</v>
      </c>
      <c r="AK85" s="102">
        <v>0</v>
      </c>
      <c r="AL85" s="102">
        <v>0</v>
      </c>
      <c r="AM85" s="102">
        <v>0</v>
      </c>
      <c r="AN85" s="102">
        <v>0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  <c r="AU85" s="102">
        <v>0</v>
      </c>
      <c r="AV85" s="102">
        <v>0</v>
      </c>
      <c r="AW85" s="102">
        <v>0</v>
      </c>
    </row>
    <row r="86" spans="1:49">
      <c r="A86" s="79" t="s">
        <v>135</v>
      </c>
      <c r="B86" s="101">
        <v>0</v>
      </c>
      <c r="C86" s="102">
        <v>0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0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0</v>
      </c>
      <c r="Y86" s="102">
        <v>0</v>
      </c>
      <c r="Z86" s="102">
        <v>0</v>
      </c>
      <c r="AA86" s="102">
        <v>0</v>
      </c>
      <c r="AB86" s="102">
        <v>0</v>
      </c>
      <c r="AC86" s="102">
        <v>0</v>
      </c>
      <c r="AD86" s="102">
        <v>0</v>
      </c>
      <c r="AE86" s="102">
        <v>0</v>
      </c>
      <c r="AF86" s="102">
        <v>0</v>
      </c>
      <c r="AG86" s="102">
        <v>0</v>
      </c>
      <c r="AH86" s="102">
        <v>0</v>
      </c>
      <c r="AI86" s="102">
        <v>0</v>
      </c>
      <c r="AJ86" s="102">
        <v>0</v>
      </c>
      <c r="AK86" s="102">
        <v>0</v>
      </c>
      <c r="AL86" s="102">
        <v>0</v>
      </c>
      <c r="AM86" s="102">
        <v>0</v>
      </c>
      <c r="AN86" s="102">
        <v>0</v>
      </c>
      <c r="AO86" s="102">
        <v>0</v>
      </c>
      <c r="AP86" s="102">
        <v>0</v>
      </c>
      <c r="AQ86" s="102">
        <v>0</v>
      </c>
      <c r="AR86" s="102">
        <v>0</v>
      </c>
      <c r="AS86" s="102">
        <v>0</v>
      </c>
      <c r="AT86" s="102">
        <v>0</v>
      </c>
      <c r="AU86" s="102">
        <v>0</v>
      </c>
      <c r="AV86" s="102">
        <v>0</v>
      </c>
      <c r="AW86" s="102">
        <v>0</v>
      </c>
    </row>
    <row r="87" spans="1:49">
      <c r="A87" s="79" t="s">
        <v>136</v>
      </c>
      <c r="B87" s="101">
        <v>0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>
        <v>0</v>
      </c>
      <c r="Q87" s="102">
        <v>-10.571083848000001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-20.195992764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-2.3999993640000001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-4.0959883080000008</v>
      </c>
      <c r="AM87" s="102">
        <v>0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-3.1433657040000003</v>
      </c>
      <c r="AV87" s="102">
        <v>0</v>
      </c>
      <c r="AW87" s="102">
        <v>-40.406429987999999</v>
      </c>
    </row>
    <row r="88" spans="1:49">
      <c r="A88" s="79" t="s">
        <v>137</v>
      </c>
      <c r="B88" s="101">
        <v>0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-0.12778113600000002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-9.8621748720000006</v>
      </c>
      <c r="AV88" s="102">
        <v>0</v>
      </c>
      <c r="AW88" s="102">
        <v>-9.9899560080000001</v>
      </c>
    </row>
    <row r="89" spans="1:49">
      <c r="A89" s="79" t="s">
        <v>138</v>
      </c>
      <c r="B89" s="101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  <c r="AF89" s="102">
        <v>0</v>
      </c>
      <c r="AG89" s="102">
        <v>0</v>
      </c>
      <c r="AH89" s="102">
        <v>0</v>
      </c>
      <c r="AI89" s="102">
        <v>0</v>
      </c>
      <c r="AJ89" s="102">
        <v>0</v>
      </c>
      <c r="AK89" s="102">
        <v>0</v>
      </c>
      <c r="AL89" s="102">
        <v>0</v>
      </c>
      <c r="AM89" s="102">
        <v>0</v>
      </c>
      <c r="AN89" s="102">
        <v>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  <c r="AU89" s="102">
        <v>0</v>
      </c>
      <c r="AV89" s="102">
        <v>0</v>
      </c>
      <c r="AW89" s="102">
        <v>0</v>
      </c>
    </row>
    <row r="90" spans="1:49">
      <c r="A90" s="79" t="s">
        <v>139</v>
      </c>
      <c r="B90" s="101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  <c r="AL90" s="102">
        <v>0</v>
      </c>
      <c r="AM90" s="102">
        <v>0</v>
      </c>
      <c r="AN90" s="102">
        <v>0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  <c r="AU90" s="102">
        <v>0</v>
      </c>
      <c r="AV90" s="102">
        <v>0</v>
      </c>
      <c r="AW90" s="102">
        <v>0</v>
      </c>
    </row>
    <row r="91" spans="1:49">
      <c r="A91" s="87" t="s">
        <v>140</v>
      </c>
      <c r="B91" s="104">
        <v>0</v>
      </c>
      <c r="C91" s="105">
        <v>0</v>
      </c>
      <c r="D91" s="105">
        <v>0</v>
      </c>
      <c r="E91" s="105">
        <v>0</v>
      </c>
      <c r="F91" s="105">
        <v>0</v>
      </c>
      <c r="G91" s="105">
        <v>0</v>
      </c>
      <c r="H91" s="105">
        <v>0</v>
      </c>
      <c r="I91" s="105">
        <v>0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0</v>
      </c>
    </row>
    <row r="92" spans="1:49">
      <c r="A92" s="106" t="s">
        <v>141</v>
      </c>
      <c r="B92" s="104">
        <v>0</v>
      </c>
      <c r="C92" s="105">
        <v>0</v>
      </c>
      <c r="D92" s="105">
        <v>0</v>
      </c>
      <c r="E92" s="105">
        <v>0</v>
      </c>
      <c r="F92" s="105">
        <v>0</v>
      </c>
      <c r="G92" s="105">
        <v>-0.504760608</v>
      </c>
      <c r="H92" s="105">
        <v>-0.63785897999999996</v>
      </c>
      <c r="I92" s="105">
        <v>0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0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0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-10.798343352</v>
      </c>
      <c r="AV92" s="105">
        <v>-10.850929560000001</v>
      </c>
      <c r="AW92" s="105">
        <v>-22.791892500000003</v>
      </c>
    </row>
    <row r="93" spans="1:49">
      <c r="A93" s="106" t="s">
        <v>142</v>
      </c>
      <c r="B93" s="104">
        <v>7.2164940840000007</v>
      </c>
      <c r="C93" s="105">
        <v>10.934414351999999</v>
      </c>
      <c r="D93" s="105">
        <v>8.7607115280000016</v>
      </c>
      <c r="E93" s="105">
        <v>0</v>
      </c>
      <c r="F93" s="105">
        <v>0</v>
      </c>
      <c r="G93" s="105">
        <v>5.9059000800000003</v>
      </c>
      <c r="H93" s="105">
        <v>9.1742417639999996</v>
      </c>
      <c r="I93" s="105">
        <v>0</v>
      </c>
      <c r="J93" s="105">
        <v>0</v>
      </c>
      <c r="K93" s="105">
        <v>193.49183156400002</v>
      </c>
      <c r="L93" s="105">
        <v>0.90384638400000006</v>
      </c>
      <c r="M93" s="105">
        <v>1.239753348</v>
      </c>
      <c r="N93" s="105">
        <v>0.59988470400000005</v>
      </c>
      <c r="O93" s="105">
        <v>0</v>
      </c>
      <c r="P93" s="105">
        <v>0</v>
      </c>
      <c r="Q93" s="105">
        <v>36.218248344000003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2.574002772</v>
      </c>
      <c r="X93" s="105">
        <v>0</v>
      </c>
      <c r="Y93" s="105">
        <v>15.317993952</v>
      </c>
      <c r="Z93" s="105">
        <v>82.544018039999997</v>
      </c>
      <c r="AA93" s="105">
        <v>0.22001634</v>
      </c>
      <c r="AB93" s="105">
        <v>0</v>
      </c>
      <c r="AC93" s="105">
        <v>6.1489856880000007</v>
      </c>
      <c r="AD93" s="105">
        <v>0</v>
      </c>
      <c r="AE93" s="105">
        <v>176.704815096</v>
      </c>
      <c r="AF93" s="105">
        <v>30.000012984000001</v>
      </c>
      <c r="AG93" s="105">
        <v>10.999979640000001</v>
      </c>
      <c r="AH93" s="105">
        <v>3.0520097280000003</v>
      </c>
      <c r="AI93" s="105">
        <v>3.3179971319999999</v>
      </c>
      <c r="AJ93" s="105">
        <v>14.196015288</v>
      </c>
      <c r="AK93" s="105">
        <v>0.23998737600000003</v>
      </c>
      <c r="AL93" s="105">
        <v>1.216014192</v>
      </c>
      <c r="AM93" s="105">
        <v>7.1999980920000004</v>
      </c>
      <c r="AN93" s="105">
        <v>0</v>
      </c>
      <c r="AO93" s="105">
        <v>0</v>
      </c>
      <c r="AP93" s="105">
        <v>0</v>
      </c>
      <c r="AQ93" s="105">
        <v>2.0012904000000001E-2</v>
      </c>
      <c r="AR93" s="105">
        <v>0</v>
      </c>
      <c r="AS93" s="105">
        <v>0</v>
      </c>
      <c r="AT93" s="105">
        <v>0</v>
      </c>
      <c r="AU93" s="105">
        <v>291.41844588000004</v>
      </c>
      <c r="AV93" s="105">
        <v>150.56406874800001</v>
      </c>
      <c r="AW93" s="105">
        <v>1070.2167113160001</v>
      </c>
    </row>
    <row r="94" spans="1:49">
      <c r="A94" s="79" t="s">
        <v>143</v>
      </c>
      <c r="B94" s="101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0.75580113599999998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3.1599035639999995E-2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0.75580113599999998</v>
      </c>
    </row>
    <row r="95" spans="1:49">
      <c r="A95" s="112"/>
      <c r="B95" s="113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</row>
    <row r="96" spans="1:49" ht="18">
      <c r="A96" s="114" t="s">
        <v>144</v>
      </c>
      <c r="B96" s="11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57"/>
      <c r="Q96" s="57"/>
      <c r="R96" s="49"/>
      <c r="S96" s="49"/>
      <c r="T96" s="116"/>
      <c r="U96" s="49"/>
      <c r="V96" s="117"/>
      <c r="W96" s="49"/>
      <c r="X96" s="49"/>
      <c r="Y96" s="118"/>
      <c r="Z96" s="118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</row>
    <row r="97" spans="1:49" ht="13.5" thickBot="1">
      <c r="A97" s="119"/>
      <c r="B97" s="120"/>
      <c r="C97" s="121" t="s">
        <v>145</v>
      </c>
      <c r="D97" s="121" t="s">
        <v>146</v>
      </c>
      <c r="E97" s="121" t="s">
        <v>147</v>
      </c>
      <c r="F97" s="121" t="s">
        <v>148</v>
      </c>
      <c r="G97" s="121" t="s">
        <v>149</v>
      </c>
      <c r="H97" s="121" t="s">
        <v>150</v>
      </c>
      <c r="I97" s="121" t="s">
        <v>151</v>
      </c>
      <c r="J97" s="121" t="s">
        <v>152</v>
      </c>
      <c r="K97" s="121" t="s">
        <v>153</v>
      </c>
      <c r="L97" s="121" t="s">
        <v>154</v>
      </c>
      <c r="M97" s="121" t="s">
        <v>155</v>
      </c>
      <c r="N97" s="121" t="s">
        <v>156</v>
      </c>
      <c r="O97" s="121" t="s">
        <v>157</v>
      </c>
      <c r="P97" s="121" t="s">
        <v>158</v>
      </c>
      <c r="Q97" s="121" t="s">
        <v>159</v>
      </c>
      <c r="R97" s="121" t="s">
        <v>160</v>
      </c>
      <c r="S97" s="121" t="s">
        <v>161</v>
      </c>
      <c r="T97" s="121" t="s">
        <v>162</v>
      </c>
      <c r="U97" s="121" t="s">
        <v>163</v>
      </c>
      <c r="V97" s="121" t="s">
        <v>164</v>
      </c>
      <c r="W97" s="121" t="s">
        <v>165</v>
      </c>
      <c r="X97" s="121" t="s">
        <v>166</v>
      </c>
      <c r="Y97" s="121" t="s">
        <v>167</v>
      </c>
      <c r="Z97" s="121" t="s">
        <v>168</v>
      </c>
      <c r="AA97" s="121" t="s">
        <v>169</v>
      </c>
      <c r="AB97" s="121" t="s">
        <v>170</v>
      </c>
      <c r="AC97" s="121" t="s">
        <v>171</v>
      </c>
      <c r="AD97" s="121" t="s">
        <v>172</v>
      </c>
      <c r="AE97" s="121" t="s">
        <v>173</v>
      </c>
      <c r="AF97" s="121" t="s">
        <v>174</v>
      </c>
      <c r="AG97" s="121" t="s">
        <v>175</v>
      </c>
      <c r="AH97" s="121" t="s">
        <v>176</v>
      </c>
      <c r="AI97" s="121" t="s">
        <v>177</v>
      </c>
      <c r="AJ97" s="121" t="s">
        <v>178</v>
      </c>
      <c r="AK97" s="121" t="s">
        <v>179</v>
      </c>
      <c r="AL97" s="121" t="s">
        <v>180</v>
      </c>
      <c r="AM97" s="121" t="s">
        <v>181</v>
      </c>
      <c r="AN97" s="121" t="s">
        <v>182</v>
      </c>
      <c r="AO97" s="121" t="s">
        <v>183</v>
      </c>
      <c r="AP97" s="121" t="s">
        <v>184</v>
      </c>
      <c r="AQ97" s="121" t="s">
        <v>185</v>
      </c>
      <c r="AR97" s="121" t="s">
        <v>186</v>
      </c>
      <c r="AS97" s="122"/>
      <c r="AT97" s="123"/>
      <c r="AU97" s="121" t="s">
        <v>187</v>
      </c>
      <c r="AV97" s="121" t="s">
        <v>188</v>
      </c>
      <c r="AW97" s="123"/>
    </row>
    <row r="98" spans="1:49">
      <c r="A98" s="124" t="s">
        <v>189</v>
      </c>
      <c r="B98" s="124"/>
      <c r="C98" s="125">
        <f t="shared" ref="C98:AS98" si="8">IF(C100=0,C99,C100)</f>
        <v>0</v>
      </c>
      <c r="D98" s="125">
        <f t="shared" si="8"/>
        <v>91.065579552000003</v>
      </c>
      <c r="E98" s="125">
        <f t="shared" si="8"/>
        <v>0</v>
      </c>
      <c r="F98" s="125">
        <f t="shared" si="8"/>
        <v>0</v>
      </c>
      <c r="G98" s="125">
        <f t="shared" si="8"/>
        <v>0</v>
      </c>
      <c r="H98" s="125">
        <f t="shared" si="8"/>
        <v>0</v>
      </c>
      <c r="I98" s="125">
        <f t="shared" si="8"/>
        <v>0</v>
      </c>
      <c r="J98" s="125">
        <f t="shared" si="8"/>
        <v>0</v>
      </c>
      <c r="K98" s="125">
        <f t="shared" si="8"/>
        <v>0</v>
      </c>
      <c r="L98" s="125">
        <f t="shared" si="8"/>
        <v>284.99120546400002</v>
      </c>
      <c r="M98" s="125">
        <f t="shared" si="8"/>
        <v>2.19158046</v>
      </c>
      <c r="N98" s="125">
        <f t="shared" si="8"/>
        <v>6.5857526640000001</v>
      </c>
      <c r="O98" s="125">
        <f>IF(O100=0,O99,O100)</f>
        <v>1.7456443920000002</v>
      </c>
      <c r="P98" s="125">
        <f t="shared" si="8"/>
        <v>0</v>
      </c>
      <c r="Q98" s="125">
        <f t="shared" si="8"/>
        <v>0</v>
      </c>
      <c r="R98" s="125">
        <f t="shared" si="8"/>
        <v>0</v>
      </c>
      <c r="S98" s="125">
        <f t="shared" si="8"/>
        <v>0</v>
      </c>
      <c r="T98" s="125">
        <f t="shared" si="8"/>
        <v>0</v>
      </c>
      <c r="U98" s="125">
        <f t="shared" si="8"/>
        <v>0</v>
      </c>
      <c r="V98" s="125">
        <f t="shared" si="8"/>
        <v>0</v>
      </c>
      <c r="W98" s="125">
        <f t="shared" si="8"/>
        <v>0</v>
      </c>
      <c r="X98" s="125">
        <f t="shared" si="8"/>
        <v>3.7179202680000003</v>
      </c>
      <c r="Y98" s="125">
        <f t="shared" si="8"/>
        <v>0</v>
      </c>
      <c r="Z98" s="125">
        <f t="shared" si="8"/>
        <v>0</v>
      </c>
      <c r="AA98" s="125">
        <f t="shared" si="8"/>
        <v>0</v>
      </c>
      <c r="AB98" s="125">
        <f t="shared" si="8"/>
        <v>0</v>
      </c>
      <c r="AC98" s="125">
        <f t="shared" si="8"/>
        <v>0</v>
      </c>
      <c r="AD98" s="125">
        <f t="shared" si="8"/>
        <v>0</v>
      </c>
      <c r="AE98" s="125">
        <f t="shared" si="8"/>
        <v>0</v>
      </c>
      <c r="AF98" s="125">
        <f t="shared" si="8"/>
        <v>0</v>
      </c>
      <c r="AG98" s="125">
        <f t="shared" si="8"/>
        <v>0</v>
      </c>
      <c r="AH98" s="125">
        <f t="shared" si="8"/>
        <v>0</v>
      </c>
      <c r="AI98" s="125">
        <f t="shared" si="8"/>
        <v>0</v>
      </c>
      <c r="AJ98" s="125">
        <f t="shared" si="8"/>
        <v>0</v>
      </c>
      <c r="AK98" s="125">
        <f t="shared" si="8"/>
        <v>0</v>
      </c>
      <c r="AL98" s="125">
        <f t="shared" si="8"/>
        <v>0</v>
      </c>
      <c r="AM98" s="125">
        <f t="shared" si="8"/>
        <v>0</v>
      </c>
      <c r="AN98" s="125">
        <f t="shared" si="8"/>
        <v>0</v>
      </c>
      <c r="AO98" s="125">
        <f t="shared" si="8"/>
        <v>0</v>
      </c>
      <c r="AP98" s="125">
        <f t="shared" si="8"/>
        <v>0</v>
      </c>
      <c r="AQ98" s="125">
        <f t="shared" si="8"/>
        <v>0</v>
      </c>
      <c r="AR98" s="125">
        <f t="shared" si="8"/>
        <v>3.0587923440000004</v>
      </c>
      <c r="AS98" s="125">
        <f t="shared" si="8"/>
        <v>697.54189773600001</v>
      </c>
      <c r="AT98" s="26"/>
      <c r="AU98" s="125">
        <f>IF(AU100=0,AU99,AU100)</f>
        <v>0</v>
      </c>
      <c r="AV98" s="125">
        <f>IF(AV100=0,AV99,AV100)</f>
        <v>0</v>
      </c>
      <c r="AW98" s="26"/>
    </row>
    <row r="99" spans="1:49">
      <c r="A99" s="126" t="s">
        <v>190</v>
      </c>
      <c r="B99" s="126"/>
      <c r="C99" s="42">
        <f t="shared" ref="C99:R99" si="9">B52</f>
        <v>0</v>
      </c>
      <c r="D99" s="42">
        <f t="shared" si="9"/>
        <v>91.065579552000003</v>
      </c>
      <c r="E99" s="42">
        <f t="shared" si="9"/>
        <v>0</v>
      </c>
      <c r="F99" s="42">
        <f t="shared" si="9"/>
        <v>0</v>
      </c>
      <c r="G99" s="42">
        <f t="shared" si="9"/>
        <v>0</v>
      </c>
      <c r="H99" s="42">
        <f t="shared" si="9"/>
        <v>0</v>
      </c>
      <c r="I99" s="42">
        <f t="shared" si="9"/>
        <v>0</v>
      </c>
      <c r="J99" s="42">
        <f t="shared" si="9"/>
        <v>0</v>
      </c>
      <c r="K99" s="42">
        <f t="shared" si="9"/>
        <v>0</v>
      </c>
      <c r="L99" s="42">
        <f t="shared" si="9"/>
        <v>284.99120546400002</v>
      </c>
      <c r="M99" s="42">
        <f t="shared" si="9"/>
        <v>2.19158046</v>
      </c>
      <c r="N99" s="42">
        <f t="shared" si="9"/>
        <v>6.5857526640000001</v>
      </c>
      <c r="O99" s="42">
        <f>N52</f>
        <v>1.7456443920000002</v>
      </c>
      <c r="P99" s="42">
        <f>O52</f>
        <v>0</v>
      </c>
      <c r="Q99" s="42">
        <f t="shared" si="9"/>
        <v>0</v>
      </c>
      <c r="R99" s="42">
        <f t="shared" si="9"/>
        <v>0</v>
      </c>
      <c r="S99" s="42">
        <f>R52*$C$8*$F$13</f>
        <v>0</v>
      </c>
      <c r="T99" s="42">
        <f>R52*$C$9*$F$13</f>
        <v>0</v>
      </c>
      <c r="U99" s="42">
        <f>S99+T99</f>
        <v>0</v>
      </c>
      <c r="V99" s="42">
        <f>S52</f>
        <v>0</v>
      </c>
      <c r="W99" s="42">
        <f>T52</f>
        <v>0</v>
      </c>
      <c r="X99" s="42">
        <f>U52</f>
        <v>3.7179202680000003</v>
      </c>
      <c r="Y99" s="42">
        <f>V52-AV99-AU99</f>
        <v>0</v>
      </c>
      <c r="Z99" s="42">
        <f t="shared" ref="Z99:AP99" si="10">W52</f>
        <v>0</v>
      </c>
      <c r="AA99" s="42">
        <f t="shared" si="10"/>
        <v>0</v>
      </c>
      <c r="AB99" s="42">
        <f t="shared" si="10"/>
        <v>0</v>
      </c>
      <c r="AC99" s="42">
        <f t="shared" si="10"/>
        <v>0</v>
      </c>
      <c r="AD99" s="42">
        <f t="shared" si="10"/>
        <v>0</v>
      </c>
      <c r="AE99" s="42">
        <f t="shared" si="10"/>
        <v>0</v>
      </c>
      <c r="AF99" s="42">
        <f t="shared" si="10"/>
        <v>0</v>
      </c>
      <c r="AG99" s="42">
        <f t="shared" si="10"/>
        <v>0</v>
      </c>
      <c r="AH99" s="42">
        <f t="shared" si="10"/>
        <v>0</v>
      </c>
      <c r="AI99" s="42">
        <f t="shared" si="10"/>
        <v>0</v>
      </c>
      <c r="AJ99" s="42">
        <f t="shared" si="10"/>
        <v>0</v>
      </c>
      <c r="AK99" s="42">
        <f t="shared" si="10"/>
        <v>0</v>
      </c>
      <c r="AL99" s="42">
        <f t="shared" si="10"/>
        <v>0</v>
      </c>
      <c r="AM99" s="42">
        <f t="shared" si="10"/>
        <v>0</v>
      </c>
      <c r="AN99" s="42">
        <f t="shared" si="10"/>
        <v>0</v>
      </c>
      <c r="AO99" s="42">
        <f t="shared" si="10"/>
        <v>0</v>
      </c>
      <c r="AP99" s="42">
        <f t="shared" si="10"/>
        <v>0</v>
      </c>
      <c r="AQ99" s="42">
        <f>AU52</f>
        <v>0</v>
      </c>
      <c r="AR99" s="42">
        <f>AV52</f>
        <v>3.0587923440000004</v>
      </c>
      <c r="AS99" s="42">
        <f>AW52</f>
        <v>697.54189773600001</v>
      </c>
      <c r="AT99" s="26"/>
      <c r="AU99" s="42">
        <f>V52*$F$16</f>
        <v>0</v>
      </c>
      <c r="AV99" s="42">
        <f>V52*$F$17</f>
        <v>0</v>
      </c>
      <c r="AW99" s="26"/>
    </row>
    <row r="100" spans="1:49">
      <c r="A100" s="127" t="s">
        <v>191</v>
      </c>
      <c r="B100" s="127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6"/>
      <c r="AU100" s="53"/>
      <c r="AV100" s="53"/>
      <c r="AW100" s="26"/>
    </row>
    <row r="101" spans="1:49">
      <c r="A101" s="126" t="str">
        <f>A53</f>
        <v>OSOURCEPRI</v>
      </c>
      <c r="B101" s="126"/>
      <c r="C101" s="42">
        <f t="shared" ref="C101:R105" si="11">B53</f>
        <v>0</v>
      </c>
      <c r="D101" s="42">
        <f t="shared" si="11"/>
        <v>0</v>
      </c>
      <c r="E101" s="42">
        <f t="shared" si="11"/>
        <v>0</v>
      </c>
      <c r="F101" s="42">
        <f t="shared" si="11"/>
        <v>0</v>
      </c>
      <c r="G101" s="42">
        <f t="shared" si="11"/>
        <v>0</v>
      </c>
      <c r="H101" s="42">
        <f t="shared" si="11"/>
        <v>0</v>
      </c>
      <c r="I101" s="42">
        <f t="shared" si="11"/>
        <v>0</v>
      </c>
      <c r="J101" s="42">
        <f t="shared" si="11"/>
        <v>0</v>
      </c>
      <c r="K101" s="42">
        <f t="shared" si="11"/>
        <v>0</v>
      </c>
      <c r="L101" s="42">
        <f t="shared" si="11"/>
        <v>0</v>
      </c>
      <c r="M101" s="42">
        <f t="shared" si="11"/>
        <v>0</v>
      </c>
      <c r="N101" s="42">
        <f t="shared" si="11"/>
        <v>0</v>
      </c>
      <c r="O101" s="42">
        <f t="shared" si="11"/>
        <v>0</v>
      </c>
      <c r="P101" s="42">
        <f t="shared" si="11"/>
        <v>0</v>
      </c>
      <c r="Q101" s="42">
        <f t="shared" si="11"/>
        <v>0</v>
      </c>
      <c r="R101" s="42">
        <f t="shared" si="11"/>
        <v>0</v>
      </c>
      <c r="S101" s="42">
        <f>R53*$C$8*$F$13</f>
        <v>0</v>
      </c>
      <c r="T101" s="42">
        <f>R53*$C$9*$F$13</f>
        <v>0</v>
      </c>
      <c r="U101" s="42">
        <f t="shared" ref="U101:U107" si="12">S101+T101</f>
        <v>0</v>
      </c>
      <c r="V101" s="42">
        <f t="shared" ref="V101:X105" si="13">S53</f>
        <v>0</v>
      </c>
      <c r="W101" s="42">
        <f t="shared" si="13"/>
        <v>0</v>
      </c>
      <c r="X101" s="42">
        <f t="shared" si="13"/>
        <v>0</v>
      </c>
      <c r="Y101" s="42">
        <f>V53-AV101-AU101</f>
        <v>0</v>
      </c>
      <c r="Z101" s="42">
        <f t="shared" ref="Z101:AO105" si="14">W53</f>
        <v>0</v>
      </c>
      <c r="AA101" s="42">
        <f t="shared" si="14"/>
        <v>0</v>
      </c>
      <c r="AB101" s="42">
        <f t="shared" si="14"/>
        <v>0</v>
      </c>
      <c r="AC101" s="42">
        <f t="shared" si="14"/>
        <v>0</v>
      </c>
      <c r="AD101" s="42">
        <f t="shared" si="14"/>
        <v>0</v>
      </c>
      <c r="AE101" s="42">
        <f t="shared" si="14"/>
        <v>0</v>
      </c>
      <c r="AF101" s="42">
        <f t="shared" si="14"/>
        <v>0</v>
      </c>
      <c r="AG101" s="42">
        <f t="shared" si="14"/>
        <v>0</v>
      </c>
      <c r="AH101" s="42">
        <f t="shared" si="14"/>
        <v>0</v>
      </c>
      <c r="AI101" s="42">
        <f t="shared" si="14"/>
        <v>0</v>
      </c>
      <c r="AJ101" s="42">
        <f t="shared" si="14"/>
        <v>0</v>
      </c>
      <c r="AK101" s="42">
        <f t="shared" si="14"/>
        <v>0</v>
      </c>
      <c r="AL101" s="42">
        <f t="shared" si="14"/>
        <v>0</v>
      </c>
      <c r="AM101" s="42">
        <f t="shared" si="14"/>
        <v>0</v>
      </c>
      <c r="AN101" s="42">
        <f t="shared" si="14"/>
        <v>0</v>
      </c>
      <c r="AO101" s="42">
        <f t="shared" si="14"/>
        <v>0</v>
      </c>
      <c r="AP101" s="42">
        <f t="shared" ref="AJ101:AP105" si="15">AM53</f>
        <v>0</v>
      </c>
      <c r="AQ101" s="42">
        <f t="shared" ref="AQ101:AS105" si="16">AU53</f>
        <v>0</v>
      </c>
      <c r="AR101" s="42">
        <f t="shared" si="16"/>
        <v>0</v>
      </c>
      <c r="AS101" s="42">
        <f t="shared" si="16"/>
        <v>0</v>
      </c>
      <c r="AT101" s="26"/>
      <c r="AU101" s="42">
        <f>V53*$F$16</f>
        <v>0</v>
      </c>
      <c r="AV101" s="42">
        <f>V53*$F$17</f>
        <v>0</v>
      </c>
      <c r="AW101" s="26"/>
    </row>
    <row r="102" spans="1:49">
      <c r="A102" s="126" t="str">
        <f>A54</f>
        <v>IMPORTS</v>
      </c>
      <c r="B102" s="126"/>
      <c r="C102" s="42">
        <f t="shared" si="11"/>
        <v>125.76029324400001</v>
      </c>
      <c r="D102" s="42">
        <f t="shared" si="11"/>
        <v>0</v>
      </c>
      <c r="E102" s="42">
        <f t="shared" si="11"/>
        <v>14.796486144000001</v>
      </c>
      <c r="F102" s="42">
        <f t="shared" si="11"/>
        <v>0</v>
      </c>
      <c r="G102" s="42">
        <f t="shared" si="11"/>
        <v>0</v>
      </c>
      <c r="H102" s="42">
        <f t="shared" si="11"/>
        <v>0</v>
      </c>
      <c r="I102" s="42">
        <f t="shared" si="11"/>
        <v>0</v>
      </c>
      <c r="J102" s="42">
        <f t="shared" si="11"/>
        <v>0</v>
      </c>
      <c r="K102" s="42">
        <f t="shared" si="11"/>
        <v>0</v>
      </c>
      <c r="L102" s="42">
        <f t="shared" si="11"/>
        <v>4.019328E-3</v>
      </c>
      <c r="M102" s="42">
        <f t="shared" si="11"/>
        <v>0</v>
      </c>
      <c r="N102" s="42">
        <f t="shared" si="11"/>
        <v>0</v>
      </c>
      <c r="O102" s="42">
        <f t="shared" si="11"/>
        <v>0</v>
      </c>
      <c r="P102" s="42">
        <f t="shared" si="11"/>
        <v>0</v>
      </c>
      <c r="Q102" s="42">
        <f t="shared" si="11"/>
        <v>0</v>
      </c>
      <c r="R102" s="42">
        <f t="shared" si="11"/>
        <v>150.599949624</v>
      </c>
      <c r="S102" s="42">
        <f>R54*$C$8*$F$13</f>
        <v>0</v>
      </c>
      <c r="T102" s="42">
        <f>R54*$C$9*$F$13</f>
        <v>400.31309455200005</v>
      </c>
      <c r="U102" s="42">
        <f t="shared" si="12"/>
        <v>400.31309455200005</v>
      </c>
      <c r="V102" s="42">
        <f t="shared" si="13"/>
        <v>46.754372412000002</v>
      </c>
      <c r="W102" s="42">
        <f t="shared" si="13"/>
        <v>0</v>
      </c>
      <c r="X102" s="42">
        <f t="shared" si="13"/>
        <v>3.6174370680000001</v>
      </c>
      <c r="Y102" s="42">
        <f>V54-AV102-AU102</f>
        <v>0</v>
      </c>
      <c r="Z102" s="42">
        <f t="shared" si="14"/>
        <v>0</v>
      </c>
      <c r="AA102" s="42">
        <f t="shared" si="14"/>
        <v>0</v>
      </c>
      <c r="AB102" s="42">
        <f t="shared" si="14"/>
        <v>10.073985084</v>
      </c>
      <c r="AC102" s="42">
        <f t="shared" si="14"/>
        <v>14.740006212000003</v>
      </c>
      <c r="AD102" s="42">
        <f t="shared" si="14"/>
        <v>0.39598754400000002</v>
      </c>
      <c r="AE102" s="42">
        <f t="shared" si="14"/>
        <v>0</v>
      </c>
      <c r="AF102" s="42">
        <f t="shared" si="14"/>
        <v>2.7089852040000002</v>
      </c>
      <c r="AG102" s="42">
        <f t="shared" si="14"/>
        <v>1.7199793080000003</v>
      </c>
      <c r="AH102" s="42">
        <f t="shared" si="14"/>
        <v>106.15920289200001</v>
      </c>
      <c r="AI102" s="42">
        <f t="shared" si="14"/>
        <v>32.119999163999999</v>
      </c>
      <c r="AJ102" s="42">
        <f t="shared" si="15"/>
        <v>11.308002516</v>
      </c>
      <c r="AK102" s="42">
        <f t="shared" si="15"/>
        <v>1.5260048640000001</v>
      </c>
      <c r="AL102" s="42">
        <f t="shared" si="15"/>
        <v>7.1400012480000008</v>
      </c>
      <c r="AM102" s="42">
        <f t="shared" si="15"/>
        <v>5.9280063839999997</v>
      </c>
      <c r="AN102" s="42">
        <f t="shared" si="15"/>
        <v>0.23998737600000003</v>
      </c>
      <c r="AO102" s="42">
        <f t="shared" si="15"/>
        <v>2.7840126600000001</v>
      </c>
      <c r="AP102" s="42">
        <f t="shared" si="15"/>
        <v>14.919996744000001</v>
      </c>
      <c r="AQ102" s="42">
        <f t="shared" si="16"/>
        <v>64.624430304000001</v>
      </c>
      <c r="AR102" s="42">
        <f t="shared" si="16"/>
        <v>0</v>
      </c>
      <c r="AS102" s="42">
        <f t="shared" si="16"/>
        <v>1018.2342398760001</v>
      </c>
      <c r="AT102" s="26"/>
      <c r="AU102" s="42">
        <f>V54*$F$16</f>
        <v>0</v>
      </c>
      <c r="AV102" s="42">
        <f>V54*$F$17</f>
        <v>0</v>
      </c>
      <c r="AW102" s="26"/>
    </row>
    <row r="103" spans="1:49">
      <c r="A103" s="126" t="str">
        <f>A55</f>
        <v>EXPORTS</v>
      </c>
      <c r="B103" s="126"/>
      <c r="C103" s="42">
        <f t="shared" si="11"/>
        <v>0</v>
      </c>
      <c r="D103" s="42">
        <f t="shared" si="11"/>
        <v>-0.40800365999999999</v>
      </c>
      <c r="E103" s="42">
        <f t="shared" si="11"/>
        <v>0</v>
      </c>
      <c r="F103" s="42">
        <f t="shared" si="11"/>
        <v>0</v>
      </c>
      <c r="G103" s="42">
        <f t="shared" si="11"/>
        <v>0</v>
      </c>
      <c r="H103" s="42">
        <f t="shared" si="11"/>
        <v>0</v>
      </c>
      <c r="I103" s="42">
        <f t="shared" si="11"/>
        <v>0</v>
      </c>
      <c r="J103" s="42">
        <f t="shared" si="11"/>
        <v>0</v>
      </c>
      <c r="K103" s="42">
        <f t="shared" si="11"/>
        <v>0</v>
      </c>
      <c r="L103" s="42">
        <f t="shared" si="11"/>
        <v>-3.269388384</v>
      </c>
      <c r="M103" s="42">
        <f t="shared" si="11"/>
        <v>0</v>
      </c>
      <c r="N103" s="42">
        <f t="shared" si="11"/>
        <v>0</v>
      </c>
      <c r="O103" s="42">
        <f t="shared" si="11"/>
        <v>0</v>
      </c>
      <c r="P103" s="42">
        <f t="shared" si="11"/>
        <v>0</v>
      </c>
      <c r="Q103" s="42">
        <f t="shared" si="11"/>
        <v>0</v>
      </c>
      <c r="R103" s="42">
        <f t="shared" si="11"/>
        <v>0</v>
      </c>
      <c r="S103" s="42">
        <f>R55*$C$8*$F$13</f>
        <v>0</v>
      </c>
      <c r="T103" s="42">
        <f>R55*$C$9*$F$13</f>
        <v>0</v>
      </c>
      <c r="U103" s="42">
        <f t="shared" si="12"/>
        <v>0</v>
      </c>
      <c r="V103" s="42">
        <f t="shared" si="13"/>
        <v>0</v>
      </c>
      <c r="W103" s="42">
        <f t="shared" si="13"/>
        <v>0</v>
      </c>
      <c r="X103" s="42">
        <f t="shared" si="13"/>
        <v>0</v>
      </c>
      <c r="Y103" s="42">
        <f>V55-AV103-AU103</f>
        <v>0</v>
      </c>
      <c r="Z103" s="42">
        <f t="shared" si="14"/>
        <v>0</v>
      </c>
      <c r="AA103" s="42">
        <f t="shared" si="14"/>
        <v>0</v>
      </c>
      <c r="AB103" s="42">
        <f t="shared" si="14"/>
        <v>0</v>
      </c>
      <c r="AC103" s="42">
        <f t="shared" si="14"/>
        <v>-104.85200019600002</v>
      </c>
      <c r="AD103" s="42">
        <f t="shared" si="14"/>
        <v>-4.4003267999999998E-2</v>
      </c>
      <c r="AE103" s="42">
        <f t="shared" si="14"/>
        <v>0</v>
      </c>
      <c r="AF103" s="42">
        <f t="shared" si="14"/>
        <v>-1.89201492</v>
      </c>
      <c r="AG103" s="42">
        <f t="shared" si="14"/>
        <v>-4.7299954320000008</v>
      </c>
      <c r="AH103" s="42">
        <f t="shared" si="14"/>
        <v>-78.341391936000008</v>
      </c>
      <c r="AI103" s="42">
        <f t="shared" si="14"/>
        <v>-2.6800125480000001</v>
      </c>
      <c r="AJ103" s="42">
        <f t="shared" si="15"/>
        <v>-1.4080208400000003</v>
      </c>
      <c r="AK103" s="42">
        <f t="shared" si="15"/>
        <v>-2.3979897000000001</v>
      </c>
      <c r="AL103" s="42">
        <f t="shared" si="15"/>
        <v>-13.6500147</v>
      </c>
      <c r="AM103" s="42">
        <f t="shared" si="15"/>
        <v>-3.4709828040000006</v>
      </c>
      <c r="AN103" s="42">
        <f t="shared" si="15"/>
        <v>0</v>
      </c>
      <c r="AO103" s="42">
        <f t="shared" si="15"/>
        <v>0</v>
      </c>
      <c r="AP103" s="42">
        <f t="shared" si="15"/>
        <v>-1.799989056</v>
      </c>
      <c r="AQ103" s="42">
        <f t="shared" si="16"/>
        <v>-3.359404584</v>
      </c>
      <c r="AR103" s="42">
        <f t="shared" si="16"/>
        <v>0</v>
      </c>
      <c r="AS103" s="42">
        <f t="shared" si="16"/>
        <v>-222.30321202800002</v>
      </c>
      <c r="AT103" s="26"/>
      <c r="AU103" s="42">
        <f>V55*$F$16</f>
        <v>0</v>
      </c>
      <c r="AV103" s="42">
        <f>V55*$F$17</f>
        <v>0</v>
      </c>
      <c r="AW103" s="26"/>
    </row>
    <row r="104" spans="1:49">
      <c r="A104" s="126" t="str">
        <f>A56</f>
        <v>BUNKERS</v>
      </c>
      <c r="B104" s="126"/>
      <c r="C104" s="42">
        <f t="shared" si="11"/>
        <v>0</v>
      </c>
      <c r="D104" s="42">
        <f t="shared" si="11"/>
        <v>0</v>
      </c>
      <c r="E104" s="42">
        <f t="shared" si="11"/>
        <v>0</v>
      </c>
      <c r="F104" s="42">
        <f t="shared" si="11"/>
        <v>0</v>
      </c>
      <c r="G104" s="42">
        <f t="shared" si="11"/>
        <v>0</v>
      </c>
      <c r="H104" s="42">
        <f t="shared" si="11"/>
        <v>0</v>
      </c>
      <c r="I104" s="42">
        <f t="shared" si="11"/>
        <v>0</v>
      </c>
      <c r="J104" s="42">
        <f t="shared" si="11"/>
        <v>0</v>
      </c>
      <c r="K104" s="42">
        <f t="shared" si="11"/>
        <v>0</v>
      </c>
      <c r="L104" s="42">
        <f t="shared" si="11"/>
        <v>0</v>
      </c>
      <c r="M104" s="42">
        <f t="shared" si="11"/>
        <v>0</v>
      </c>
      <c r="N104" s="42">
        <f t="shared" si="11"/>
        <v>0</v>
      </c>
      <c r="O104" s="42">
        <f t="shared" si="11"/>
        <v>0</v>
      </c>
      <c r="P104" s="42">
        <f t="shared" si="11"/>
        <v>0</v>
      </c>
      <c r="Q104" s="42">
        <f t="shared" si="11"/>
        <v>0</v>
      </c>
      <c r="R104" s="42">
        <f t="shared" si="11"/>
        <v>0</v>
      </c>
      <c r="S104" s="42">
        <f>R56*$C$8*$F$13</f>
        <v>0</v>
      </c>
      <c r="T104" s="42">
        <f>R56*$C$9*$F$13</f>
        <v>0</v>
      </c>
      <c r="U104" s="42">
        <f t="shared" si="12"/>
        <v>0</v>
      </c>
      <c r="V104" s="42">
        <f t="shared" si="13"/>
        <v>0</v>
      </c>
      <c r="W104" s="42">
        <f t="shared" si="13"/>
        <v>0</v>
      </c>
      <c r="X104" s="42">
        <f t="shared" si="13"/>
        <v>0</v>
      </c>
      <c r="Y104" s="42">
        <f>V56-AV104-AU104</f>
        <v>0</v>
      </c>
      <c r="Z104" s="42">
        <f t="shared" si="14"/>
        <v>0</v>
      </c>
      <c r="AA104" s="42">
        <f t="shared" si="14"/>
        <v>0</v>
      </c>
      <c r="AB104" s="42">
        <f t="shared" si="14"/>
        <v>0</v>
      </c>
      <c r="AC104" s="42">
        <f t="shared" si="14"/>
        <v>0</v>
      </c>
      <c r="AD104" s="42">
        <f t="shared" si="14"/>
        <v>0</v>
      </c>
      <c r="AE104" s="42">
        <f t="shared" si="14"/>
        <v>0</v>
      </c>
      <c r="AF104" s="42">
        <f t="shared" si="14"/>
        <v>0</v>
      </c>
      <c r="AG104" s="42">
        <f t="shared" si="14"/>
        <v>0</v>
      </c>
      <c r="AH104" s="42">
        <f t="shared" si="14"/>
        <v>-2.0874128760000001</v>
      </c>
      <c r="AI104" s="42">
        <f t="shared" si="14"/>
        <v>-18.7600041</v>
      </c>
      <c r="AJ104" s="42">
        <f t="shared" si="15"/>
        <v>0</v>
      </c>
      <c r="AK104" s="42">
        <f t="shared" si="15"/>
        <v>0</v>
      </c>
      <c r="AL104" s="42">
        <f t="shared" si="15"/>
        <v>0</v>
      </c>
      <c r="AM104" s="42">
        <f t="shared" si="15"/>
        <v>0</v>
      </c>
      <c r="AN104" s="42">
        <f t="shared" si="15"/>
        <v>0</v>
      </c>
      <c r="AO104" s="42">
        <f t="shared" si="15"/>
        <v>0</v>
      </c>
      <c r="AP104" s="42">
        <f t="shared" si="15"/>
        <v>0</v>
      </c>
      <c r="AQ104" s="42">
        <f t="shared" si="16"/>
        <v>0</v>
      </c>
      <c r="AR104" s="42">
        <f t="shared" si="16"/>
        <v>0</v>
      </c>
      <c r="AS104" s="42">
        <f t="shared" si="16"/>
        <v>-20.847416976000002</v>
      </c>
      <c r="AT104" s="26"/>
      <c r="AU104" s="42">
        <f>V56*$F$16</f>
        <v>0</v>
      </c>
      <c r="AV104" s="42">
        <f>V56*$F$17</f>
        <v>0</v>
      </c>
      <c r="AW104" s="26"/>
    </row>
    <row r="105" spans="1:49">
      <c r="A105" s="126" t="str">
        <f>A57</f>
        <v>STOCKCHA</v>
      </c>
      <c r="B105" s="126"/>
      <c r="C105" s="42">
        <f t="shared" si="11"/>
        <v>-3.1874945760000002</v>
      </c>
      <c r="D105" s="42">
        <f t="shared" si="11"/>
        <v>-21.899392344000002</v>
      </c>
      <c r="E105" s="42">
        <f t="shared" si="11"/>
        <v>0.49810359600000004</v>
      </c>
      <c r="F105" s="42">
        <f t="shared" si="11"/>
        <v>0</v>
      </c>
      <c r="G105" s="42">
        <f t="shared" si="11"/>
        <v>0</v>
      </c>
      <c r="H105" s="42">
        <f t="shared" si="11"/>
        <v>0</v>
      </c>
      <c r="I105" s="42">
        <f t="shared" si="11"/>
        <v>0</v>
      </c>
      <c r="J105" s="42">
        <f t="shared" si="11"/>
        <v>0</v>
      </c>
      <c r="K105" s="42">
        <f t="shared" si="11"/>
        <v>0</v>
      </c>
      <c r="L105" s="42">
        <f t="shared" si="11"/>
        <v>0</v>
      </c>
      <c r="M105" s="42">
        <f t="shared" si="11"/>
        <v>0</v>
      </c>
      <c r="N105" s="42">
        <f t="shared" si="11"/>
        <v>0</v>
      </c>
      <c r="O105" s="42">
        <f t="shared" si="11"/>
        <v>0</v>
      </c>
      <c r="P105" s="42">
        <f t="shared" si="11"/>
        <v>0</v>
      </c>
      <c r="Q105" s="42">
        <f t="shared" si="11"/>
        <v>0</v>
      </c>
      <c r="R105" s="42">
        <f t="shared" si="11"/>
        <v>0</v>
      </c>
      <c r="S105" s="42">
        <f>R57*$C$8*$F$13</f>
        <v>0</v>
      </c>
      <c r="T105" s="42">
        <f>R57*$C$9*$F$13</f>
        <v>11.29410234</v>
      </c>
      <c r="U105" s="42">
        <f t="shared" si="12"/>
        <v>11.29410234</v>
      </c>
      <c r="V105" s="42">
        <f t="shared" si="13"/>
        <v>0</v>
      </c>
      <c r="W105" s="42">
        <f t="shared" si="13"/>
        <v>-4.3345940400000007</v>
      </c>
      <c r="X105" s="42">
        <f t="shared" si="13"/>
        <v>0</v>
      </c>
      <c r="Y105" s="42">
        <f>V57-AV105-AU105</f>
        <v>0</v>
      </c>
      <c r="Z105" s="42">
        <f t="shared" si="14"/>
        <v>0</v>
      </c>
      <c r="AA105" s="42">
        <f t="shared" si="14"/>
        <v>0</v>
      </c>
      <c r="AB105" s="42">
        <f t="shared" si="14"/>
        <v>-2.5760124360000001</v>
      </c>
      <c r="AC105" s="42">
        <f t="shared" si="14"/>
        <v>-0.22001634</v>
      </c>
      <c r="AD105" s="42">
        <f t="shared" si="14"/>
        <v>0</v>
      </c>
      <c r="AE105" s="42">
        <f t="shared" si="14"/>
        <v>0</v>
      </c>
      <c r="AF105" s="42">
        <f t="shared" si="14"/>
        <v>0.25799061600000001</v>
      </c>
      <c r="AG105" s="42">
        <f t="shared" si="14"/>
        <v>0</v>
      </c>
      <c r="AH105" s="42">
        <f t="shared" si="14"/>
        <v>-4.3026068880000006</v>
      </c>
      <c r="AI105" s="42">
        <f t="shared" si="14"/>
        <v>-3.2799809880000002</v>
      </c>
      <c r="AJ105" s="42">
        <f t="shared" si="15"/>
        <v>-0.39598754400000002</v>
      </c>
      <c r="AK105" s="42">
        <f t="shared" si="15"/>
        <v>0</v>
      </c>
      <c r="AL105" s="42">
        <f t="shared" si="15"/>
        <v>0</v>
      </c>
      <c r="AM105" s="42">
        <f t="shared" si="15"/>
        <v>0</v>
      </c>
      <c r="AN105" s="42">
        <f t="shared" si="15"/>
        <v>0</v>
      </c>
      <c r="AO105" s="42">
        <f t="shared" si="15"/>
        <v>0</v>
      </c>
      <c r="AP105" s="42">
        <f t="shared" si="15"/>
        <v>0.40000687200000001</v>
      </c>
      <c r="AQ105" s="42">
        <f t="shared" si="16"/>
        <v>0</v>
      </c>
      <c r="AR105" s="42">
        <f t="shared" si="16"/>
        <v>0</v>
      </c>
      <c r="AS105" s="42">
        <f t="shared" si="16"/>
        <v>-27.745881732000001</v>
      </c>
      <c r="AT105" s="26"/>
      <c r="AU105" s="42">
        <f>V57*$F$16</f>
        <v>0</v>
      </c>
      <c r="AV105" s="42">
        <f>V57*$F$17</f>
        <v>0</v>
      </c>
      <c r="AW105" s="26"/>
    </row>
    <row r="106" spans="1:49">
      <c r="A106" s="126" t="str">
        <f>A59</f>
        <v>TRANSFER</v>
      </c>
      <c r="B106" s="126"/>
      <c r="C106" s="42">
        <f t="shared" ref="C106:R107" si="17">B59</f>
        <v>0</v>
      </c>
      <c r="D106" s="42">
        <f t="shared" si="17"/>
        <v>0</v>
      </c>
      <c r="E106" s="42">
        <f t="shared" si="17"/>
        <v>0</v>
      </c>
      <c r="F106" s="42">
        <f t="shared" si="17"/>
        <v>0</v>
      </c>
      <c r="G106" s="42">
        <f t="shared" si="17"/>
        <v>0</v>
      </c>
      <c r="H106" s="42">
        <f t="shared" si="17"/>
        <v>0</v>
      </c>
      <c r="I106" s="42">
        <f t="shared" si="17"/>
        <v>0</v>
      </c>
      <c r="J106" s="42">
        <f t="shared" si="17"/>
        <v>0</v>
      </c>
      <c r="K106" s="42">
        <f t="shared" si="17"/>
        <v>0</v>
      </c>
      <c r="L106" s="42">
        <f t="shared" si="17"/>
        <v>0</v>
      </c>
      <c r="M106" s="42">
        <f t="shared" si="17"/>
        <v>0</v>
      </c>
      <c r="N106" s="42">
        <f t="shared" si="17"/>
        <v>0</v>
      </c>
      <c r="O106" s="42">
        <f>N59</f>
        <v>0</v>
      </c>
      <c r="P106" s="42">
        <f>O59</f>
        <v>0</v>
      </c>
      <c r="Q106" s="42">
        <f t="shared" si="17"/>
        <v>0</v>
      </c>
      <c r="R106" s="42">
        <f t="shared" si="17"/>
        <v>0</v>
      </c>
      <c r="S106" s="42">
        <f>R59*$C$8*$F$13</f>
        <v>0</v>
      </c>
      <c r="T106" s="42">
        <f>R59*$C$9*F$13</f>
        <v>0</v>
      </c>
      <c r="U106" s="42">
        <f t="shared" si="12"/>
        <v>0</v>
      </c>
      <c r="V106" s="42">
        <f t="shared" ref="V106:AK107" si="18">S59</f>
        <v>0</v>
      </c>
      <c r="W106" s="42">
        <f t="shared" si="18"/>
        <v>67.101173712000005</v>
      </c>
      <c r="X106" s="42">
        <f t="shared" si="18"/>
        <v>-2.0096639999999999</v>
      </c>
      <c r="Y106" s="42">
        <f>V59-AV106-AU106</f>
        <v>0</v>
      </c>
      <c r="Z106" s="42">
        <f t="shared" si="18"/>
        <v>0</v>
      </c>
      <c r="AA106" s="42">
        <f t="shared" si="18"/>
        <v>0</v>
      </c>
      <c r="AB106" s="42">
        <f t="shared" si="18"/>
        <v>-4.5080112960000003</v>
      </c>
      <c r="AC106" s="42">
        <f t="shared" si="18"/>
        <v>1.936018188</v>
      </c>
      <c r="AD106" s="42">
        <f t="shared" si="18"/>
        <v>0</v>
      </c>
      <c r="AE106" s="42">
        <f t="shared" si="18"/>
        <v>0</v>
      </c>
      <c r="AF106" s="42">
        <f t="shared" si="18"/>
        <v>0</v>
      </c>
      <c r="AG106" s="42">
        <f t="shared" si="18"/>
        <v>0</v>
      </c>
      <c r="AH106" s="42">
        <f t="shared" si="18"/>
        <v>-56.019007188000003</v>
      </c>
      <c r="AI106" s="42">
        <f t="shared" si="18"/>
        <v>-3.3200067959999999</v>
      </c>
      <c r="AJ106" s="42">
        <f t="shared" si="18"/>
        <v>-0.87998162400000013</v>
      </c>
      <c r="AK106" s="42">
        <f t="shared" si="18"/>
        <v>0</v>
      </c>
      <c r="AL106" s="42">
        <f t="shared" ref="AF106:AO107" si="19">AI59</f>
        <v>0</v>
      </c>
      <c r="AM106" s="42">
        <f t="shared" si="19"/>
        <v>0</v>
      </c>
      <c r="AN106" s="42">
        <f t="shared" si="19"/>
        <v>0</v>
      </c>
      <c r="AO106" s="42">
        <f t="shared" si="19"/>
        <v>0</v>
      </c>
      <c r="AP106" s="42">
        <f>AM59</f>
        <v>0</v>
      </c>
      <c r="AQ106" s="42">
        <f t="shared" ref="AQ106:AS107" si="20">AU59</f>
        <v>0</v>
      </c>
      <c r="AR106" s="42">
        <f t="shared" si="20"/>
        <v>0</v>
      </c>
      <c r="AS106" s="42">
        <f t="shared" si="20"/>
        <v>2.3005209960000004</v>
      </c>
      <c r="AT106" s="26"/>
      <c r="AU106" s="42">
        <f>V59*$F$16</f>
        <v>0</v>
      </c>
      <c r="AV106" s="42">
        <f>V59*$F$17</f>
        <v>0</v>
      </c>
      <c r="AW106" s="26"/>
    </row>
    <row r="107" spans="1:49">
      <c r="A107" s="126" t="str">
        <f>A60</f>
        <v>STATDIFF</v>
      </c>
      <c r="B107" s="126"/>
      <c r="C107" s="42">
        <f t="shared" si="17"/>
        <v>-4.4929388160000006</v>
      </c>
      <c r="D107" s="42">
        <f t="shared" si="17"/>
        <v>6.0959808000000004E-2</v>
      </c>
      <c r="E107" s="42">
        <f t="shared" si="17"/>
        <v>0</v>
      </c>
      <c r="F107" s="42">
        <f t="shared" si="17"/>
        <v>0</v>
      </c>
      <c r="G107" s="42">
        <f t="shared" si="17"/>
        <v>0</v>
      </c>
      <c r="H107" s="42">
        <f t="shared" si="17"/>
        <v>0</v>
      </c>
      <c r="I107" s="42">
        <f t="shared" si="17"/>
        <v>0</v>
      </c>
      <c r="J107" s="42">
        <f t="shared" si="17"/>
        <v>0</v>
      </c>
      <c r="K107" s="42">
        <f t="shared" si="17"/>
        <v>0</v>
      </c>
      <c r="L107" s="42">
        <f t="shared" si="17"/>
        <v>0</v>
      </c>
      <c r="M107" s="42">
        <f t="shared" si="17"/>
        <v>0</v>
      </c>
      <c r="N107" s="42">
        <f t="shared" si="17"/>
        <v>0</v>
      </c>
      <c r="O107" s="42">
        <f>N60</f>
        <v>0</v>
      </c>
      <c r="P107" s="42">
        <f>O60</f>
        <v>0</v>
      </c>
      <c r="Q107" s="42">
        <f t="shared" si="17"/>
        <v>0</v>
      </c>
      <c r="R107" s="42">
        <f t="shared" si="17"/>
        <v>0.32301162</v>
      </c>
      <c r="S107" s="42">
        <f>R60*$C$8*$F$13</f>
        <v>0</v>
      </c>
      <c r="T107" s="42">
        <f>R60*$C$9*$F$13</f>
        <v>5.9398550280000011</v>
      </c>
      <c r="U107" s="42">
        <f t="shared" si="12"/>
        <v>5.9398550280000011</v>
      </c>
      <c r="V107" s="42">
        <f t="shared" si="18"/>
        <v>-9.0434880000000009E-2</v>
      </c>
      <c r="W107" s="42">
        <f t="shared" si="18"/>
        <v>0</v>
      </c>
      <c r="X107" s="42">
        <f t="shared" si="18"/>
        <v>0</v>
      </c>
      <c r="Y107" s="42">
        <f>V60-AV107-AU107</f>
        <v>0</v>
      </c>
      <c r="Z107" s="42">
        <f t="shared" si="18"/>
        <v>0</v>
      </c>
      <c r="AA107" s="42">
        <f t="shared" si="18"/>
        <v>0</v>
      </c>
      <c r="AB107" s="42">
        <f t="shared" si="18"/>
        <v>0.22998092400000003</v>
      </c>
      <c r="AC107" s="42">
        <f t="shared" si="18"/>
        <v>-7.7439890159999996</v>
      </c>
      <c r="AD107" s="42">
        <f t="shared" si="18"/>
        <v>-0.13200980400000001</v>
      </c>
      <c r="AE107" s="42">
        <f t="shared" si="18"/>
        <v>0</v>
      </c>
      <c r="AF107" s="42">
        <f t="shared" si="19"/>
        <v>-2.8810208159999999</v>
      </c>
      <c r="AG107" s="42">
        <f t="shared" si="19"/>
        <v>3.0100161240000003</v>
      </c>
      <c r="AH107" s="42">
        <f t="shared" si="19"/>
        <v>0.97979493600000012</v>
      </c>
      <c r="AI107" s="42">
        <f t="shared" si="19"/>
        <v>4.2400142280000006</v>
      </c>
      <c r="AJ107" s="42">
        <f t="shared" si="19"/>
        <v>-4.3999918560000006</v>
      </c>
      <c r="AK107" s="42">
        <f t="shared" si="19"/>
        <v>-2.4852007440000001</v>
      </c>
      <c r="AL107" s="42">
        <f t="shared" si="19"/>
        <v>0.96602036400000002</v>
      </c>
      <c r="AM107" s="42">
        <f t="shared" si="19"/>
        <v>-0.39000042000000001</v>
      </c>
      <c r="AN107" s="42">
        <f t="shared" si="19"/>
        <v>0</v>
      </c>
      <c r="AO107" s="42">
        <f t="shared" si="19"/>
        <v>-1.5679984680000001</v>
      </c>
      <c r="AP107" s="42">
        <f>AM60</f>
        <v>-8.9999871480000007</v>
      </c>
      <c r="AQ107" s="42">
        <f t="shared" si="20"/>
        <v>0</v>
      </c>
      <c r="AR107" s="42">
        <f t="shared" si="20"/>
        <v>0</v>
      </c>
      <c r="AS107" s="42">
        <f t="shared" si="20"/>
        <v>-17.423912484000002</v>
      </c>
      <c r="AT107" s="26"/>
      <c r="AU107" s="42">
        <f>V60*$F$16</f>
        <v>0</v>
      </c>
      <c r="AV107" s="42">
        <f>V60*$F$17</f>
        <v>0</v>
      </c>
      <c r="AW107" s="26"/>
    </row>
    <row r="108" spans="1:49">
      <c r="A108" s="39"/>
      <c r="B108" s="3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</row>
    <row r="109" spans="1:49" ht="18.75" thickBot="1">
      <c r="A109" s="114" t="s">
        <v>192</v>
      </c>
      <c r="B109" s="115"/>
      <c r="C109" s="128" t="str">
        <f t="shared" ref="C109:AR109" si="21">C97</f>
        <v>CONHCO</v>
      </c>
      <c r="D109" s="128" t="str">
        <f t="shared" si="21"/>
        <v>CONBCO</v>
      </c>
      <c r="E109" s="128" t="str">
        <f t="shared" si="21"/>
        <v>CONOVC</v>
      </c>
      <c r="F109" s="128" t="str">
        <f t="shared" si="21"/>
        <v>CONGSC</v>
      </c>
      <c r="G109" s="128" t="str">
        <f t="shared" si="21"/>
        <v>GANGWG</v>
      </c>
      <c r="H109" s="128" t="str">
        <f t="shared" si="21"/>
        <v>GANCOG</v>
      </c>
      <c r="I109" s="128" t="str">
        <f t="shared" si="21"/>
        <v>GANBFG</v>
      </c>
      <c r="J109" s="128" t="str">
        <f t="shared" si="21"/>
        <v>GANOXY</v>
      </c>
      <c r="K109" s="128" t="str">
        <f t="shared" si="21"/>
        <v>BIOCHR</v>
      </c>
      <c r="L109" s="128" t="str">
        <f t="shared" si="21"/>
        <v>BIOBSL</v>
      </c>
      <c r="M109" s="128" t="str">
        <f t="shared" si="21"/>
        <v>BIOBIN</v>
      </c>
      <c r="N109" s="128" t="str">
        <f t="shared" si="21"/>
        <v>BIOBMU</v>
      </c>
      <c r="O109" s="128" t="str">
        <f t="shared" si="21"/>
        <v>BIOGAS</v>
      </c>
      <c r="P109" s="128" t="str">
        <f t="shared" si="21"/>
        <v>BIOLIQ</v>
      </c>
      <c r="Q109" s="128" t="str">
        <f t="shared" si="21"/>
        <v>BIOREN</v>
      </c>
      <c r="R109" s="128" t="str">
        <f t="shared" si="21"/>
        <v>GANNGA</v>
      </c>
      <c r="S109" s="128" t="str">
        <f t="shared" si="21"/>
        <v>OINCRL</v>
      </c>
      <c r="T109" s="128" t="str">
        <f t="shared" si="21"/>
        <v>OINCRH</v>
      </c>
      <c r="U109" s="128" t="str">
        <f t="shared" si="21"/>
        <v>OINCRD</v>
      </c>
      <c r="V109" s="128" t="str">
        <f t="shared" si="21"/>
        <v>OINNGL</v>
      </c>
      <c r="W109" s="128" t="str">
        <f t="shared" si="21"/>
        <v>OINFEE</v>
      </c>
      <c r="X109" s="128" t="str">
        <f t="shared" si="21"/>
        <v>OINADD</v>
      </c>
      <c r="Y109" s="128" t="str">
        <f t="shared" si="21"/>
        <v>OINNCR</v>
      </c>
      <c r="Z109" s="128" t="str">
        <f t="shared" si="21"/>
        <v>GANRFG</v>
      </c>
      <c r="AA109" s="128" t="str">
        <f t="shared" si="21"/>
        <v>GANETH</v>
      </c>
      <c r="AB109" s="128" t="str">
        <f t="shared" si="21"/>
        <v>OINLPG</v>
      </c>
      <c r="AC109" s="128" t="str">
        <f t="shared" si="21"/>
        <v>OINGSL</v>
      </c>
      <c r="AD109" s="128" t="str">
        <f t="shared" si="21"/>
        <v>OINAVG</v>
      </c>
      <c r="AE109" s="128" t="str">
        <f t="shared" si="21"/>
        <v>OINJTG</v>
      </c>
      <c r="AF109" s="128" t="str">
        <f t="shared" si="21"/>
        <v>OINJTK</v>
      </c>
      <c r="AG109" s="128" t="str">
        <f t="shared" si="21"/>
        <v>OINKER</v>
      </c>
      <c r="AH109" s="128" t="str">
        <f t="shared" si="21"/>
        <v>OINDST</v>
      </c>
      <c r="AI109" s="128" t="str">
        <f t="shared" si="21"/>
        <v>OINHFO</v>
      </c>
      <c r="AJ109" s="128" t="str">
        <f t="shared" si="21"/>
        <v>OINNAP</v>
      </c>
      <c r="AK109" s="128" t="str">
        <f t="shared" si="21"/>
        <v>OINWSP</v>
      </c>
      <c r="AL109" s="128" t="str">
        <f t="shared" si="21"/>
        <v>OINLUB</v>
      </c>
      <c r="AM109" s="128" t="str">
        <f t="shared" si="21"/>
        <v>OINASP</v>
      </c>
      <c r="AN109" s="128" t="str">
        <f t="shared" si="21"/>
        <v>OINWAX</v>
      </c>
      <c r="AO109" s="128" t="str">
        <f t="shared" si="21"/>
        <v>OINPTC</v>
      </c>
      <c r="AP109" s="128" t="str">
        <f t="shared" si="21"/>
        <v>OINNSP</v>
      </c>
      <c r="AQ109" s="128" t="str">
        <f t="shared" si="21"/>
        <v>ELCC</v>
      </c>
      <c r="AR109" s="128" t="str">
        <f t="shared" si="21"/>
        <v>HET</v>
      </c>
      <c r="AS109" s="128"/>
      <c r="AT109" s="123"/>
      <c r="AU109" s="123"/>
      <c r="AV109" s="123"/>
      <c r="AW109" s="123"/>
    </row>
    <row r="110" spans="1:49">
      <c r="A110" s="129" t="str">
        <f>A94</f>
        <v>PIPELINE</v>
      </c>
      <c r="B110" s="130"/>
      <c r="C110" s="131">
        <f t="shared" ref="C110:R110" si="22">B94</f>
        <v>0</v>
      </c>
      <c r="D110" s="131">
        <f t="shared" si="22"/>
        <v>0</v>
      </c>
      <c r="E110" s="131">
        <f t="shared" si="22"/>
        <v>0</v>
      </c>
      <c r="F110" s="131">
        <f t="shared" si="22"/>
        <v>0</v>
      </c>
      <c r="G110" s="131">
        <f t="shared" si="22"/>
        <v>0</v>
      </c>
      <c r="H110" s="131">
        <f t="shared" si="22"/>
        <v>0</v>
      </c>
      <c r="I110" s="131">
        <f t="shared" si="22"/>
        <v>0</v>
      </c>
      <c r="J110" s="131">
        <f t="shared" si="22"/>
        <v>0</v>
      </c>
      <c r="K110" s="131">
        <f t="shared" si="22"/>
        <v>0</v>
      </c>
      <c r="L110" s="131">
        <f t="shared" si="22"/>
        <v>0</v>
      </c>
      <c r="M110" s="131">
        <f t="shared" si="22"/>
        <v>0</v>
      </c>
      <c r="N110" s="131">
        <f t="shared" si="22"/>
        <v>0</v>
      </c>
      <c r="O110" s="131">
        <f>N94</f>
        <v>0</v>
      </c>
      <c r="P110" s="131">
        <f>O94</f>
        <v>0</v>
      </c>
      <c r="Q110" s="131">
        <f t="shared" si="22"/>
        <v>0</v>
      </c>
      <c r="R110" s="131">
        <f t="shared" si="22"/>
        <v>0.75580113599999998</v>
      </c>
      <c r="S110" s="132">
        <f>R94*C8</f>
        <v>0</v>
      </c>
      <c r="T110" s="132">
        <f>R94*C9</f>
        <v>0</v>
      </c>
      <c r="U110" s="42">
        <f>S110+T110</f>
        <v>0</v>
      </c>
      <c r="V110" s="131">
        <f t="shared" ref="V110:AP110" si="23">S94</f>
        <v>0</v>
      </c>
      <c r="W110" s="131">
        <f t="shared" si="23"/>
        <v>0</v>
      </c>
      <c r="X110" s="131">
        <f t="shared" si="23"/>
        <v>0</v>
      </c>
      <c r="Y110" s="131">
        <f t="shared" si="23"/>
        <v>0</v>
      </c>
      <c r="Z110" s="131">
        <f t="shared" si="23"/>
        <v>0</v>
      </c>
      <c r="AA110" s="131">
        <f t="shared" si="23"/>
        <v>0</v>
      </c>
      <c r="AB110" s="131">
        <f t="shared" si="23"/>
        <v>0</v>
      </c>
      <c r="AC110" s="131">
        <f t="shared" si="23"/>
        <v>0</v>
      </c>
      <c r="AD110" s="131">
        <f t="shared" si="23"/>
        <v>0</v>
      </c>
      <c r="AE110" s="131">
        <f t="shared" si="23"/>
        <v>0</v>
      </c>
      <c r="AF110" s="131">
        <f t="shared" si="23"/>
        <v>0</v>
      </c>
      <c r="AG110" s="131">
        <f t="shared" si="23"/>
        <v>0</v>
      </c>
      <c r="AH110" s="131">
        <f t="shared" si="23"/>
        <v>0</v>
      </c>
      <c r="AI110" s="131">
        <f t="shared" si="23"/>
        <v>0</v>
      </c>
      <c r="AJ110" s="131">
        <f t="shared" si="23"/>
        <v>0</v>
      </c>
      <c r="AK110" s="131">
        <f t="shared" si="23"/>
        <v>0</v>
      </c>
      <c r="AL110" s="131">
        <f t="shared" si="23"/>
        <v>0</v>
      </c>
      <c r="AM110" s="131">
        <f t="shared" si="23"/>
        <v>0</v>
      </c>
      <c r="AN110" s="131">
        <f t="shared" si="23"/>
        <v>0</v>
      </c>
      <c r="AO110" s="131">
        <f t="shared" si="23"/>
        <v>0</v>
      </c>
      <c r="AP110" s="131">
        <f t="shared" si="23"/>
        <v>0</v>
      </c>
      <c r="AQ110" s="131">
        <f>AU94</f>
        <v>0</v>
      </c>
      <c r="AR110" s="131">
        <f>AV94</f>
        <v>0</v>
      </c>
      <c r="AS110" s="131">
        <f>AW94</f>
        <v>0.75580113599999998</v>
      </c>
      <c r="AT110" s="54"/>
      <c r="AU110" s="54"/>
      <c r="AV110" s="54"/>
      <c r="AW110" s="54"/>
    </row>
    <row r="111" spans="1:49">
      <c r="A111" s="113"/>
      <c r="B111" s="113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54"/>
      <c r="AS111" s="54"/>
      <c r="AT111" s="54"/>
      <c r="AU111" s="54"/>
      <c r="AV111" s="54"/>
      <c r="AW111" s="54"/>
    </row>
    <row r="112" spans="1:49" ht="18">
      <c r="A112" s="114" t="s">
        <v>193</v>
      </c>
      <c r="B112" s="115"/>
      <c r="C112" s="18"/>
      <c r="D112" s="18"/>
      <c r="E112" s="18"/>
      <c r="F112" s="66"/>
      <c r="G112" s="66"/>
      <c r="H112" s="66"/>
      <c r="I112" s="6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</row>
    <row r="113" spans="1:49" ht="13.5" thickBot="1">
      <c r="A113" s="119"/>
      <c r="B113" s="120"/>
      <c r="C113" s="133" t="str">
        <f>C97</f>
        <v>CONHCO</v>
      </c>
      <c r="D113" s="133" t="str">
        <f t="shared" ref="D113:R113" si="24">D97</f>
        <v>CONBCO</v>
      </c>
      <c r="E113" s="133" t="str">
        <f t="shared" si="24"/>
        <v>CONOVC</v>
      </c>
      <c r="F113" s="133" t="str">
        <f t="shared" si="24"/>
        <v>CONGSC</v>
      </c>
      <c r="G113" s="133" t="str">
        <f t="shared" si="24"/>
        <v>GANGWG</v>
      </c>
      <c r="H113" s="133" t="str">
        <f t="shared" si="24"/>
        <v>GANCOG</v>
      </c>
      <c r="I113" s="133" t="str">
        <f t="shared" si="24"/>
        <v>GANBFG</v>
      </c>
      <c r="J113" s="133" t="str">
        <f t="shared" si="24"/>
        <v>GANOXY</v>
      </c>
      <c r="K113" s="133" t="str">
        <f t="shared" si="24"/>
        <v>BIOCHR</v>
      </c>
      <c r="L113" s="133" t="str">
        <f t="shared" si="24"/>
        <v>BIOBSL</v>
      </c>
      <c r="M113" s="133" t="str">
        <f t="shared" si="24"/>
        <v>BIOBIN</v>
      </c>
      <c r="N113" s="133" t="str">
        <f t="shared" si="24"/>
        <v>BIOBMU</v>
      </c>
      <c r="O113" s="133" t="str">
        <f t="shared" si="24"/>
        <v>BIOGAS</v>
      </c>
      <c r="P113" s="133" t="str">
        <f t="shared" si="24"/>
        <v>BIOLIQ</v>
      </c>
      <c r="Q113" s="133" t="str">
        <f t="shared" si="24"/>
        <v>BIOREN</v>
      </c>
      <c r="R113" s="133" t="str">
        <f t="shared" si="24"/>
        <v>GANNGA</v>
      </c>
      <c r="S113" s="134" t="str">
        <f t="shared" ref="S113:AP113" si="25">U109</f>
        <v>OINCRD</v>
      </c>
      <c r="T113" s="134" t="str">
        <f t="shared" si="25"/>
        <v>OINNGL</v>
      </c>
      <c r="U113" s="134" t="str">
        <f t="shared" si="25"/>
        <v>OINFEE</v>
      </c>
      <c r="V113" s="134" t="str">
        <f t="shared" si="25"/>
        <v>OINADD</v>
      </c>
      <c r="W113" s="134" t="str">
        <f t="shared" si="25"/>
        <v>OINNCR</v>
      </c>
      <c r="X113" s="134" t="str">
        <f t="shared" si="25"/>
        <v>GANRFG</v>
      </c>
      <c r="Y113" s="134" t="str">
        <f t="shared" si="25"/>
        <v>GANETH</v>
      </c>
      <c r="Z113" s="134" t="str">
        <f t="shared" si="25"/>
        <v>OINLPG</v>
      </c>
      <c r="AA113" s="134" t="str">
        <f t="shared" si="25"/>
        <v>OINGSL</v>
      </c>
      <c r="AB113" s="134" t="str">
        <f t="shared" si="25"/>
        <v>OINAVG</v>
      </c>
      <c r="AC113" s="134" t="str">
        <f t="shared" si="25"/>
        <v>OINJTG</v>
      </c>
      <c r="AD113" s="134" t="str">
        <f t="shared" si="25"/>
        <v>OINJTK</v>
      </c>
      <c r="AE113" s="134" t="str">
        <f t="shared" si="25"/>
        <v>OINKER</v>
      </c>
      <c r="AF113" s="134" t="str">
        <f t="shared" si="25"/>
        <v>OINDST</v>
      </c>
      <c r="AG113" s="134" t="str">
        <f t="shared" si="25"/>
        <v>OINHFO</v>
      </c>
      <c r="AH113" s="134" t="str">
        <f t="shared" si="25"/>
        <v>OINNAP</v>
      </c>
      <c r="AI113" s="134" t="str">
        <f t="shared" si="25"/>
        <v>OINWSP</v>
      </c>
      <c r="AJ113" s="134" t="str">
        <f t="shared" si="25"/>
        <v>OINLUB</v>
      </c>
      <c r="AK113" s="134" t="str">
        <f t="shared" si="25"/>
        <v>OINASP</v>
      </c>
      <c r="AL113" s="134" t="str">
        <f t="shared" si="25"/>
        <v>OINWAX</v>
      </c>
      <c r="AM113" s="134" t="str">
        <f t="shared" si="25"/>
        <v>OINPTC</v>
      </c>
      <c r="AN113" s="134" t="str">
        <f t="shared" si="25"/>
        <v>OINNSP</v>
      </c>
      <c r="AO113" s="134" t="str">
        <f t="shared" si="25"/>
        <v>ELCC</v>
      </c>
      <c r="AP113" s="134" t="str">
        <f t="shared" si="25"/>
        <v>HET</v>
      </c>
      <c r="AQ113" s="134"/>
      <c r="AR113" s="123"/>
      <c r="AS113" s="123"/>
      <c r="AT113" s="123"/>
      <c r="AU113" s="123"/>
      <c r="AV113" s="123"/>
      <c r="AW113" s="123"/>
    </row>
    <row r="114" spans="1:49">
      <c r="A114" s="107" t="str">
        <f t="shared" ref="A114:A121" si="26">A68</f>
        <v>THEAT</v>
      </c>
      <c r="B114" s="135" t="s">
        <v>194</v>
      </c>
      <c r="C114" s="42">
        <f t="shared" ref="C114:AN120" si="27">B68</f>
        <v>0</v>
      </c>
      <c r="D114" s="42">
        <f t="shared" si="27"/>
        <v>0</v>
      </c>
      <c r="E114" s="42">
        <f t="shared" si="27"/>
        <v>0</v>
      </c>
      <c r="F114" s="42">
        <f t="shared" si="27"/>
        <v>0</v>
      </c>
      <c r="G114" s="42">
        <f t="shared" si="27"/>
        <v>0</v>
      </c>
      <c r="H114" s="42">
        <f t="shared" si="27"/>
        <v>0</v>
      </c>
      <c r="I114" s="42">
        <f t="shared" si="27"/>
        <v>0</v>
      </c>
      <c r="J114" s="42">
        <f t="shared" si="27"/>
        <v>0</v>
      </c>
      <c r="K114" s="42">
        <f t="shared" si="27"/>
        <v>0</v>
      </c>
      <c r="L114" s="42">
        <f t="shared" si="27"/>
        <v>0</v>
      </c>
      <c r="M114" s="42">
        <f t="shared" si="27"/>
        <v>0</v>
      </c>
      <c r="N114" s="42">
        <f t="shared" si="27"/>
        <v>0</v>
      </c>
      <c r="O114" s="42">
        <f t="shared" si="27"/>
        <v>0</v>
      </c>
      <c r="P114" s="42">
        <f t="shared" si="27"/>
        <v>0</v>
      </c>
      <c r="Q114" s="42">
        <f t="shared" si="27"/>
        <v>0</v>
      </c>
      <c r="R114" s="42">
        <f t="shared" si="27"/>
        <v>0</v>
      </c>
      <c r="S114" s="42">
        <f t="shared" si="27"/>
        <v>0</v>
      </c>
      <c r="T114" s="42">
        <f t="shared" si="27"/>
        <v>0</v>
      </c>
      <c r="U114" s="42">
        <f t="shared" si="27"/>
        <v>0</v>
      </c>
      <c r="V114" s="42">
        <f t="shared" si="27"/>
        <v>0</v>
      </c>
      <c r="W114" s="42">
        <f t="shared" si="27"/>
        <v>0</v>
      </c>
      <c r="X114" s="42">
        <f t="shared" si="27"/>
        <v>0</v>
      </c>
      <c r="Y114" s="42">
        <f t="shared" si="27"/>
        <v>0</v>
      </c>
      <c r="Z114" s="42">
        <f t="shared" si="27"/>
        <v>0</v>
      </c>
      <c r="AA114" s="42">
        <f t="shared" si="27"/>
        <v>0</v>
      </c>
      <c r="AB114" s="42">
        <f t="shared" si="27"/>
        <v>0</v>
      </c>
      <c r="AC114" s="42">
        <f t="shared" si="27"/>
        <v>0</v>
      </c>
      <c r="AD114" s="42">
        <f t="shared" si="27"/>
        <v>0</v>
      </c>
      <c r="AE114" s="42">
        <f t="shared" si="27"/>
        <v>0</v>
      </c>
      <c r="AF114" s="42">
        <f t="shared" si="27"/>
        <v>0</v>
      </c>
      <c r="AG114" s="42">
        <f t="shared" si="27"/>
        <v>0</v>
      </c>
      <c r="AH114" s="42">
        <f t="shared" si="27"/>
        <v>0</v>
      </c>
      <c r="AI114" s="42">
        <f t="shared" si="27"/>
        <v>0</v>
      </c>
      <c r="AJ114" s="42">
        <f t="shared" si="27"/>
        <v>0</v>
      </c>
      <c r="AK114" s="42">
        <f t="shared" si="27"/>
        <v>0</v>
      </c>
      <c r="AL114" s="42">
        <f t="shared" si="27"/>
        <v>0</v>
      </c>
      <c r="AM114" s="42">
        <f t="shared" si="27"/>
        <v>0</v>
      </c>
      <c r="AN114" s="42">
        <f t="shared" si="27"/>
        <v>0</v>
      </c>
      <c r="AO114" s="42">
        <f t="shared" ref="AO114:AQ121" si="28">AU68</f>
        <v>-3.6006480000000001E-3</v>
      </c>
      <c r="AP114" s="42">
        <f t="shared" si="28"/>
        <v>3.6006480000000001E-3</v>
      </c>
      <c r="AQ114" s="42">
        <f t="shared" si="28"/>
        <v>0</v>
      </c>
      <c r="AR114" s="51"/>
      <c r="AS114" s="51"/>
      <c r="AT114" s="51"/>
      <c r="AU114" s="51"/>
      <c r="AV114" s="51"/>
      <c r="AW114" s="51"/>
    </row>
    <row r="115" spans="1:49">
      <c r="A115" s="107" t="str">
        <f t="shared" si="26"/>
        <v>TBOILER</v>
      </c>
      <c r="B115" s="135" t="s">
        <v>195</v>
      </c>
      <c r="C115" s="42">
        <f t="shared" si="27"/>
        <v>0</v>
      </c>
      <c r="D115" s="42">
        <f t="shared" si="27"/>
        <v>0</v>
      </c>
      <c r="E115" s="42">
        <f t="shared" si="27"/>
        <v>0</v>
      </c>
      <c r="F115" s="42">
        <f t="shared" si="27"/>
        <v>0</v>
      </c>
      <c r="G115" s="42">
        <f t="shared" si="27"/>
        <v>0</v>
      </c>
      <c r="H115" s="42">
        <f t="shared" si="27"/>
        <v>0</v>
      </c>
      <c r="I115" s="42">
        <f t="shared" si="27"/>
        <v>0</v>
      </c>
      <c r="J115" s="42">
        <f t="shared" si="27"/>
        <v>0</v>
      </c>
      <c r="K115" s="42">
        <f t="shared" si="27"/>
        <v>0</v>
      </c>
      <c r="L115" s="42">
        <f t="shared" si="27"/>
        <v>0</v>
      </c>
      <c r="M115" s="42">
        <f t="shared" si="27"/>
        <v>0</v>
      </c>
      <c r="N115" s="42">
        <f t="shared" si="27"/>
        <v>0</v>
      </c>
      <c r="O115" s="42">
        <f t="shared" si="27"/>
        <v>0</v>
      </c>
      <c r="P115" s="42">
        <f t="shared" si="27"/>
        <v>0</v>
      </c>
      <c r="Q115" s="42">
        <f t="shared" si="27"/>
        <v>0</v>
      </c>
      <c r="R115" s="42">
        <f t="shared" si="27"/>
        <v>0</v>
      </c>
      <c r="S115" s="42">
        <f t="shared" si="27"/>
        <v>0</v>
      </c>
      <c r="T115" s="42">
        <f t="shared" si="27"/>
        <v>0</v>
      </c>
      <c r="U115" s="42">
        <f t="shared" si="27"/>
        <v>0</v>
      </c>
      <c r="V115" s="42">
        <f t="shared" si="27"/>
        <v>0</v>
      </c>
      <c r="W115" s="42">
        <f t="shared" si="27"/>
        <v>0</v>
      </c>
      <c r="X115" s="42">
        <f t="shared" si="27"/>
        <v>0</v>
      </c>
      <c r="Y115" s="42">
        <f t="shared" si="27"/>
        <v>0</v>
      </c>
      <c r="Z115" s="42">
        <f t="shared" si="27"/>
        <v>0</v>
      </c>
      <c r="AA115" s="42">
        <f t="shared" si="27"/>
        <v>0</v>
      </c>
      <c r="AB115" s="42">
        <f t="shared" si="27"/>
        <v>0</v>
      </c>
      <c r="AC115" s="42">
        <f t="shared" si="27"/>
        <v>0</v>
      </c>
      <c r="AD115" s="42">
        <f t="shared" si="27"/>
        <v>0</v>
      </c>
      <c r="AE115" s="42">
        <f t="shared" si="27"/>
        <v>0</v>
      </c>
      <c r="AF115" s="42">
        <f t="shared" si="27"/>
        <v>0</v>
      </c>
      <c r="AG115" s="42">
        <f t="shared" si="27"/>
        <v>0</v>
      </c>
      <c r="AH115" s="42">
        <f t="shared" si="27"/>
        <v>0</v>
      </c>
      <c r="AI115" s="42">
        <f t="shared" si="27"/>
        <v>0</v>
      </c>
      <c r="AJ115" s="42">
        <f t="shared" si="27"/>
        <v>0</v>
      </c>
      <c r="AK115" s="42">
        <f t="shared" si="27"/>
        <v>0</v>
      </c>
      <c r="AL115" s="42">
        <f t="shared" si="27"/>
        <v>0</v>
      </c>
      <c r="AM115" s="42">
        <f t="shared" si="27"/>
        <v>0</v>
      </c>
      <c r="AN115" s="42">
        <f t="shared" si="27"/>
        <v>0</v>
      </c>
      <c r="AO115" s="42">
        <f t="shared" si="28"/>
        <v>-6.4811664000000005E-2</v>
      </c>
      <c r="AP115" s="42">
        <f t="shared" si="28"/>
        <v>6.397430400000001E-2</v>
      </c>
      <c r="AQ115" s="42">
        <f t="shared" si="28"/>
        <v>-8.373600000000001E-4</v>
      </c>
      <c r="AR115" s="51"/>
      <c r="AS115" s="51"/>
      <c r="AT115" s="51"/>
      <c r="AU115" s="51"/>
      <c r="AV115" s="51"/>
      <c r="AW115" s="51"/>
    </row>
    <row r="116" spans="1:49">
      <c r="A116" s="107" t="str">
        <f t="shared" si="26"/>
        <v>TPATFUEL</v>
      </c>
      <c r="B116" s="135" t="s">
        <v>196</v>
      </c>
      <c r="C116" s="42">
        <f t="shared" si="27"/>
        <v>0</v>
      </c>
      <c r="D116" s="42">
        <f t="shared" si="27"/>
        <v>0</v>
      </c>
      <c r="E116" s="42">
        <f t="shared" si="27"/>
        <v>0</v>
      </c>
      <c r="F116" s="42">
        <f t="shared" si="27"/>
        <v>0</v>
      </c>
      <c r="G116" s="42">
        <f t="shared" si="27"/>
        <v>0</v>
      </c>
      <c r="H116" s="42">
        <f t="shared" si="27"/>
        <v>0</v>
      </c>
      <c r="I116" s="42">
        <f t="shared" si="27"/>
        <v>0</v>
      </c>
      <c r="J116" s="42">
        <f t="shared" si="27"/>
        <v>0</v>
      </c>
      <c r="K116" s="42">
        <f t="shared" si="27"/>
        <v>0</v>
      </c>
      <c r="L116" s="42">
        <f t="shared" si="27"/>
        <v>0</v>
      </c>
      <c r="M116" s="42">
        <f t="shared" si="27"/>
        <v>0</v>
      </c>
      <c r="N116" s="42">
        <f t="shared" si="27"/>
        <v>0</v>
      </c>
      <c r="O116" s="42">
        <f t="shared" si="27"/>
        <v>0</v>
      </c>
      <c r="P116" s="42">
        <f t="shared" si="27"/>
        <v>0</v>
      </c>
      <c r="Q116" s="42">
        <f t="shared" si="27"/>
        <v>0</v>
      </c>
      <c r="R116" s="42">
        <f t="shared" si="27"/>
        <v>0</v>
      </c>
      <c r="S116" s="42">
        <f t="shared" si="27"/>
        <v>0</v>
      </c>
      <c r="T116" s="42">
        <f t="shared" si="27"/>
        <v>0</v>
      </c>
      <c r="U116" s="42">
        <f t="shared" si="27"/>
        <v>0</v>
      </c>
      <c r="V116" s="42">
        <f t="shared" si="27"/>
        <v>0</v>
      </c>
      <c r="W116" s="42">
        <f t="shared" si="27"/>
        <v>0</v>
      </c>
      <c r="X116" s="42">
        <f t="shared" si="27"/>
        <v>0</v>
      </c>
      <c r="Y116" s="42">
        <f t="shared" si="27"/>
        <v>0</v>
      </c>
      <c r="Z116" s="42">
        <f t="shared" si="27"/>
        <v>0</v>
      </c>
      <c r="AA116" s="42">
        <f t="shared" si="27"/>
        <v>0</v>
      </c>
      <c r="AB116" s="42">
        <f t="shared" si="27"/>
        <v>0</v>
      </c>
      <c r="AC116" s="42">
        <f t="shared" si="27"/>
        <v>0</v>
      </c>
      <c r="AD116" s="42">
        <f t="shared" si="27"/>
        <v>0</v>
      </c>
      <c r="AE116" s="42">
        <f t="shared" si="27"/>
        <v>0</v>
      </c>
      <c r="AF116" s="42">
        <f t="shared" si="27"/>
        <v>0</v>
      </c>
      <c r="AG116" s="42">
        <f t="shared" si="27"/>
        <v>0</v>
      </c>
      <c r="AH116" s="42">
        <f t="shared" si="27"/>
        <v>0</v>
      </c>
      <c r="AI116" s="42">
        <f t="shared" si="27"/>
        <v>0</v>
      </c>
      <c r="AJ116" s="42">
        <f t="shared" si="27"/>
        <v>0</v>
      </c>
      <c r="AK116" s="42">
        <f t="shared" si="27"/>
        <v>0</v>
      </c>
      <c r="AL116" s="42">
        <f t="shared" si="27"/>
        <v>0</v>
      </c>
      <c r="AM116" s="42">
        <f t="shared" si="27"/>
        <v>0</v>
      </c>
      <c r="AN116" s="42">
        <f t="shared" si="27"/>
        <v>0</v>
      </c>
      <c r="AO116" s="42">
        <f t="shared" si="28"/>
        <v>0</v>
      </c>
      <c r="AP116" s="42">
        <f t="shared" si="28"/>
        <v>0</v>
      </c>
      <c r="AQ116" s="42">
        <f t="shared" si="28"/>
        <v>0</v>
      </c>
      <c r="AR116" s="51"/>
      <c r="AS116" s="51"/>
      <c r="AT116" s="51"/>
      <c r="AU116" s="51"/>
      <c r="AV116" s="51"/>
      <c r="AW116" s="51"/>
    </row>
    <row r="117" spans="1:49">
      <c r="A117" s="107" t="str">
        <f t="shared" si="26"/>
        <v>TCOKEOVS</v>
      </c>
      <c r="B117" s="135" t="s">
        <v>197</v>
      </c>
      <c r="C117" s="42">
        <f t="shared" si="27"/>
        <v>-37.386784224000003</v>
      </c>
      <c r="D117" s="42">
        <f t="shared" si="27"/>
        <v>0</v>
      </c>
      <c r="E117" s="42">
        <f t="shared" si="27"/>
        <v>26.194211784000004</v>
      </c>
      <c r="F117" s="42">
        <f t="shared" si="27"/>
        <v>0</v>
      </c>
      <c r="G117" s="42">
        <f t="shared" si="27"/>
        <v>0</v>
      </c>
      <c r="H117" s="42">
        <f t="shared" si="27"/>
        <v>6.6805836840000001</v>
      </c>
      <c r="I117" s="42">
        <f t="shared" si="27"/>
        <v>0</v>
      </c>
      <c r="J117" s="42">
        <f t="shared" si="27"/>
        <v>0</v>
      </c>
      <c r="K117" s="42">
        <f t="shared" si="27"/>
        <v>0</v>
      </c>
      <c r="L117" s="42">
        <f t="shared" si="27"/>
        <v>0</v>
      </c>
      <c r="M117" s="42">
        <f t="shared" si="27"/>
        <v>0</v>
      </c>
      <c r="N117" s="42">
        <f t="shared" si="27"/>
        <v>0</v>
      </c>
      <c r="O117" s="42">
        <f t="shared" si="27"/>
        <v>0</v>
      </c>
      <c r="P117" s="42">
        <f t="shared" si="27"/>
        <v>0</v>
      </c>
      <c r="Q117" s="42">
        <f t="shared" si="27"/>
        <v>0</v>
      </c>
      <c r="R117" s="42">
        <f t="shared" si="27"/>
        <v>0</v>
      </c>
      <c r="S117" s="42">
        <f t="shared" si="27"/>
        <v>0</v>
      </c>
      <c r="T117" s="42">
        <f t="shared" si="27"/>
        <v>0</v>
      </c>
      <c r="U117" s="42">
        <f t="shared" si="27"/>
        <v>0</v>
      </c>
      <c r="V117" s="42">
        <f t="shared" si="27"/>
        <v>0</v>
      </c>
      <c r="W117" s="42">
        <f t="shared" si="27"/>
        <v>0</v>
      </c>
      <c r="X117" s="42">
        <f t="shared" si="27"/>
        <v>0</v>
      </c>
      <c r="Y117" s="42">
        <f t="shared" si="27"/>
        <v>0</v>
      </c>
      <c r="Z117" s="42">
        <f t="shared" si="27"/>
        <v>0</v>
      </c>
      <c r="AA117" s="42">
        <f t="shared" si="27"/>
        <v>0</v>
      </c>
      <c r="AB117" s="42">
        <f t="shared" si="27"/>
        <v>0</v>
      </c>
      <c r="AC117" s="42">
        <f t="shared" si="27"/>
        <v>0</v>
      </c>
      <c r="AD117" s="42">
        <f t="shared" si="27"/>
        <v>0</v>
      </c>
      <c r="AE117" s="42">
        <f t="shared" si="27"/>
        <v>0</v>
      </c>
      <c r="AF117" s="42">
        <f t="shared" si="27"/>
        <v>0</v>
      </c>
      <c r="AG117" s="42">
        <f t="shared" si="27"/>
        <v>0</v>
      </c>
      <c r="AH117" s="42">
        <f t="shared" si="27"/>
        <v>0</v>
      </c>
      <c r="AI117" s="42">
        <f t="shared" si="27"/>
        <v>0</v>
      </c>
      <c r="AJ117" s="42">
        <f t="shared" si="27"/>
        <v>0</v>
      </c>
      <c r="AK117" s="42">
        <f t="shared" si="27"/>
        <v>0</v>
      </c>
      <c r="AL117" s="42">
        <f t="shared" si="27"/>
        <v>0</v>
      </c>
      <c r="AM117" s="42">
        <f t="shared" si="27"/>
        <v>0</v>
      </c>
      <c r="AN117" s="42">
        <f t="shared" si="27"/>
        <v>0</v>
      </c>
      <c r="AO117" s="42">
        <f t="shared" si="28"/>
        <v>0</v>
      </c>
      <c r="AP117" s="42">
        <f t="shared" si="28"/>
        <v>0</v>
      </c>
      <c r="AQ117" s="42">
        <f t="shared" si="28"/>
        <v>-4.438008</v>
      </c>
      <c r="AR117" s="51"/>
      <c r="AS117" s="51"/>
      <c r="AT117" s="51"/>
      <c r="AU117" s="51"/>
      <c r="AV117" s="51"/>
      <c r="AW117" s="51"/>
    </row>
    <row r="118" spans="1:49">
      <c r="A118" s="107" t="str">
        <f t="shared" si="26"/>
        <v>TGASWKS</v>
      </c>
      <c r="B118" s="135" t="s">
        <v>198</v>
      </c>
      <c r="C118" s="42">
        <f t="shared" si="27"/>
        <v>0</v>
      </c>
      <c r="D118" s="42">
        <f t="shared" si="27"/>
        <v>0</v>
      </c>
      <c r="E118" s="42">
        <f t="shared" si="27"/>
        <v>0</v>
      </c>
      <c r="F118" s="42">
        <f t="shared" si="27"/>
        <v>0</v>
      </c>
      <c r="G118" s="42">
        <f t="shared" si="27"/>
        <v>0</v>
      </c>
      <c r="H118" s="42">
        <f t="shared" si="27"/>
        <v>0</v>
      </c>
      <c r="I118" s="42">
        <f t="shared" si="27"/>
        <v>0</v>
      </c>
      <c r="J118" s="42">
        <f t="shared" si="27"/>
        <v>0</v>
      </c>
      <c r="K118" s="42">
        <f t="shared" si="27"/>
        <v>0</v>
      </c>
      <c r="L118" s="42">
        <f t="shared" si="27"/>
        <v>0</v>
      </c>
      <c r="M118" s="42">
        <f t="shared" si="27"/>
        <v>0</v>
      </c>
      <c r="N118" s="42">
        <f t="shared" si="27"/>
        <v>0</v>
      </c>
      <c r="O118" s="42">
        <f t="shared" si="27"/>
        <v>0</v>
      </c>
      <c r="P118" s="42">
        <f t="shared" si="27"/>
        <v>0</v>
      </c>
      <c r="Q118" s="42">
        <f t="shared" si="27"/>
        <v>0</v>
      </c>
      <c r="R118" s="42">
        <f t="shared" si="27"/>
        <v>0</v>
      </c>
      <c r="S118" s="42">
        <f t="shared" si="27"/>
        <v>0</v>
      </c>
      <c r="T118" s="42">
        <f t="shared" si="27"/>
        <v>0</v>
      </c>
      <c r="U118" s="42">
        <f t="shared" si="27"/>
        <v>0</v>
      </c>
      <c r="V118" s="42">
        <f t="shared" si="27"/>
        <v>0</v>
      </c>
      <c r="W118" s="42">
        <f t="shared" si="27"/>
        <v>0</v>
      </c>
      <c r="X118" s="42">
        <f t="shared" si="27"/>
        <v>0</v>
      </c>
      <c r="Y118" s="42">
        <f t="shared" si="27"/>
        <v>0</v>
      </c>
      <c r="Z118" s="42">
        <f t="shared" si="27"/>
        <v>0</v>
      </c>
      <c r="AA118" s="42">
        <f t="shared" si="27"/>
        <v>0</v>
      </c>
      <c r="AB118" s="42">
        <f t="shared" si="27"/>
        <v>0</v>
      </c>
      <c r="AC118" s="42">
        <f t="shared" si="27"/>
        <v>0</v>
      </c>
      <c r="AD118" s="42">
        <f t="shared" si="27"/>
        <v>0</v>
      </c>
      <c r="AE118" s="42">
        <f t="shared" si="27"/>
        <v>0</v>
      </c>
      <c r="AF118" s="42">
        <f t="shared" si="27"/>
        <v>0</v>
      </c>
      <c r="AG118" s="42">
        <f t="shared" si="27"/>
        <v>0</v>
      </c>
      <c r="AH118" s="42">
        <f t="shared" si="27"/>
        <v>0</v>
      </c>
      <c r="AI118" s="42">
        <f t="shared" si="27"/>
        <v>0</v>
      </c>
      <c r="AJ118" s="42">
        <f t="shared" si="27"/>
        <v>0</v>
      </c>
      <c r="AK118" s="42">
        <f t="shared" si="27"/>
        <v>0</v>
      </c>
      <c r="AL118" s="42">
        <f t="shared" si="27"/>
        <v>0</v>
      </c>
      <c r="AM118" s="42">
        <f t="shared" si="27"/>
        <v>0</v>
      </c>
      <c r="AN118" s="42">
        <f t="shared" si="27"/>
        <v>0</v>
      </c>
      <c r="AO118" s="42">
        <f t="shared" si="28"/>
        <v>0</v>
      </c>
      <c r="AP118" s="42">
        <f t="shared" si="28"/>
        <v>0</v>
      </c>
      <c r="AQ118" s="42">
        <f t="shared" si="28"/>
        <v>0</v>
      </c>
      <c r="AR118" s="51"/>
      <c r="AS118" s="51"/>
      <c r="AT118" s="51"/>
      <c r="AU118" s="51"/>
      <c r="AV118" s="51"/>
      <c r="AW118" s="51"/>
    </row>
    <row r="119" spans="1:49">
      <c r="A119" s="107" t="str">
        <f t="shared" si="26"/>
        <v>BLASTFUR</v>
      </c>
      <c r="B119" s="135" t="s">
        <v>199</v>
      </c>
      <c r="C119" s="42">
        <f t="shared" si="27"/>
        <v>0</v>
      </c>
      <c r="D119" s="42">
        <f t="shared" si="27"/>
        <v>0</v>
      </c>
      <c r="E119" s="42">
        <f t="shared" si="27"/>
        <v>-32.728089996000001</v>
      </c>
      <c r="F119" s="42">
        <f t="shared" si="27"/>
        <v>0</v>
      </c>
      <c r="G119" s="42">
        <f t="shared" si="27"/>
        <v>0</v>
      </c>
      <c r="H119" s="42">
        <f t="shared" si="27"/>
        <v>0</v>
      </c>
      <c r="I119" s="42">
        <f t="shared" si="27"/>
        <v>18.009520200000001</v>
      </c>
      <c r="J119" s="42">
        <f t="shared" si="27"/>
        <v>0</v>
      </c>
      <c r="K119" s="42">
        <f t="shared" si="27"/>
        <v>0</v>
      </c>
      <c r="L119" s="42">
        <f t="shared" si="27"/>
        <v>0</v>
      </c>
      <c r="M119" s="42">
        <f t="shared" si="27"/>
        <v>0</v>
      </c>
      <c r="N119" s="42">
        <f t="shared" si="27"/>
        <v>0</v>
      </c>
      <c r="O119" s="42">
        <f t="shared" si="27"/>
        <v>0</v>
      </c>
      <c r="P119" s="42">
        <f t="shared" si="27"/>
        <v>0</v>
      </c>
      <c r="Q119" s="42">
        <f t="shared" si="27"/>
        <v>0</v>
      </c>
      <c r="R119" s="42">
        <f t="shared" si="27"/>
        <v>0</v>
      </c>
      <c r="S119" s="42">
        <f t="shared" si="27"/>
        <v>0</v>
      </c>
      <c r="T119" s="42">
        <f t="shared" si="27"/>
        <v>0</v>
      </c>
      <c r="U119" s="42">
        <f t="shared" si="27"/>
        <v>0</v>
      </c>
      <c r="V119" s="42">
        <f t="shared" si="27"/>
        <v>0</v>
      </c>
      <c r="W119" s="42">
        <f t="shared" si="27"/>
        <v>0</v>
      </c>
      <c r="X119" s="42">
        <f t="shared" si="27"/>
        <v>0</v>
      </c>
      <c r="Y119" s="42">
        <f t="shared" si="27"/>
        <v>0</v>
      </c>
      <c r="Z119" s="42">
        <f t="shared" si="27"/>
        <v>0</v>
      </c>
      <c r="AA119" s="42">
        <f t="shared" si="27"/>
        <v>0</v>
      </c>
      <c r="AB119" s="42">
        <f t="shared" si="27"/>
        <v>0</v>
      </c>
      <c r="AC119" s="42">
        <f t="shared" si="27"/>
        <v>0</v>
      </c>
      <c r="AD119" s="42">
        <f t="shared" si="27"/>
        <v>0</v>
      </c>
      <c r="AE119" s="42">
        <f t="shared" si="27"/>
        <v>0</v>
      </c>
      <c r="AF119" s="42">
        <f t="shared" si="27"/>
        <v>0</v>
      </c>
      <c r="AG119" s="42">
        <f t="shared" si="27"/>
        <v>-12.280010004000001</v>
      </c>
      <c r="AH119" s="42">
        <f t="shared" si="27"/>
        <v>0</v>
      </c>
      <c r="AI119" s="42">
        <f t="shared" si="27"/>
        <v>0</v>
      </c>
      <c r="AJ119" s="42">
        <f t="shared" si="27"/>
        <v>0</v>
      </c>
      <c r="AK119" s="42">
        <f t="shared" si="27"/>
        <v>0</v>
      </c>
      <c r="AL119" s="42">
        <f t="shared" si="27"/>
        <v>0</v>
      </c>
      <c r="AM119" s="42">
        <f t="shared" si="27"/>
        <v>0</v>
      </c>
      <c r="AN119" s="42">
        <f t="shared" si="27"/>
        <v>0</v>
      </c>
      <c r="AO119" s="42">
        <f t="shared" si="28"/>
        <v>0</v>
      </c>
      <c r="AP119" s="42">
        <f t="shared" si="28"/>
        <v>0</v>
      </c>
      <c r="AQ119" s="42">
        <f t="shared" si="28"/>
        <v>-26.998579800000002</v>
      </c>
      <c r="AR119" s="51"/>
      <c r="AS119" s="51"/>
      <c r="AT119" s="51"/>
      <c r="AU119" s="51"/>
      <c r="AV119" s="51"/>
      <c r="AW119" s="51"/>
    </row>
    <row r="120" spans="1:49">
      <c r="A120" s="107" t="str">
        <f t="shared" si="26"/>
        <v>PETCHEM</v>
      </c>
      <c r="B120" s="135" t="s">
        <v>200</v>
      </c>
      <c r="C120" s="42">
        <f t="shared" si="27"/>
        <v>0</v>
      </c>
      <c r="D120" s="42">
        <f t="shared" si="27"/>
        <v>0</v>
      </c>
      <c r="E120" s="42">
        <f t="shared" si="27"/>
        <v>0</v>
      </c>
      <c r="F120" s="42">
        <f t="shared" si="27"/>
        <v>0</v>
      </c>
      <c r="G120" s="42">
        <f t="shared" si="27"/>
        <v>0</v>
      </c>
      <c r="H120" s="42">
        <f t="shared" si="27"/>
        <v>0</v>
      </c>
      <c r="I120" s="42">
        <f t="shared" si="27"/>
        <v>0</v>
      </c>
      <c r="J120" s="42">
        <f t="shared" si="27"/>
        <v>0</v>
      </c>
      <c r="K120" s="42">
        <f t="shared" si="27"/>
        <v>0</v>
      </c>
      <c r="L120" s="42">
        <f t="shared" si="27"/>
        <v>0</v>
      </c>
      <c r="M120" s="42">
        <f t="shared" si="27"/>
        <v>0</v>
      </c>
      <c r="N120" s="42">
        <f t="shared" si="27"/>
        <v>0</v>
      </c>
      <c r="O120" s="42">
        <f t="shared" si="27"/>
        <v>0</v>
      </c>
      <c r="P120" s="42">
        <f t="shared" si="27"/>
        <v>0</v>
      </c>
      <c r="Q120" s="42">
        <f t="shared" si="27"/>
        <v>0</v>
      </c>
      <c r="R120" s="42">
        <f t="shared" si="27"/>
        <v>0</v>
      </c>
      <c r="S120" s="42">
        <f t="shared" si="27"/>
        <v>0</v>
      </c>
      <c r="T120" s="42">
        <f t="shared" si="27"/>
        <v>0</v>
      </c>
      <c r="U120" s="42">
        <f t="shared" si="27"/>
        <v>6.67187514</v>
      </c>
      <c r="V120" s="42">
        <f t="shared" si="27"/>
        <v>0</v>
      </c>
      <c r="W120" s="42">
        <f t="shared" si="27"/>
        <v>0</v>
      </c>
      <c r="X120" s="42">
        <f t="shared" si="27"/>
        <v>-2.6730205920000003</v>
      </c>
      <c r="Y120" s="42">
        <f t="shared" si="27"/>
        <v>0</v>
      </c>
      <c r="Z120" s="42">
        <f t="shared" si="27"/>
        <v>-2.3920025759999999</v>
      </c>
      <c r="AA120" s="42">
        <f t="shared" si="27"/>
        <v>0</v>
      </c>
      <c r="AB120" s="42">
        <f t="shared" si="27"/>
        <v>0</v>
      </c>
      <c r="AC120" s="42">
        <f t="shared" si="27"/>
        <v>0</v>
      </c>
      <c r="AD120" s="42">
        <f t="shared" ref="AD120:AN120" si="29">AC74</f>
        <v>0</v>
      </c>
      <c r="AE120" s="42">
        <f t="shared" si="29"/>
        <v>0</v>
      </c>
      <c r="AF120" s="42">
        <f t="shared" si="29"/>
        <v>0</v>
      </c>
      <c r="AG120" s="42">
        <f t="shared" si="29"/>
        <v>0</v>
      </c>
      <c r="AH120" s="42">
        <f t="shared" si="29"/>
        <v>-2.2439991960000003</v>
      </c>
      <c r="AI120" s="42">
        <f t="shared" si="29"/>
        <v>0</v>
      </c>
      <c r="AJ120" s="42">
        <f t="shared" si="29"/>
        <v>0</v>
      </c>
      <c r="AK120" s="42">
        <f t="shared" si="29"/>
        <v>0</v>
      </c>
      <c r="AL120" s="42">
        <f t="shared" si="29"/>
        <v>0</v>
      </c>
      <c r="AM120" s="42">
        <f t="shared" si="29"/>
        <v>0</v>
      </c>
      <c r="AN120" s="42">
        <f t="shared" si="29"/>
        <v>0</v>
      </c>
      <c r="AO120" s="42">
        <f t="shared" si="28"/>
        <v>0</v>
      </c>
      <c r="AP120" s="42">
        <f t="shared" si="28"/>
        <v>0</v>
      </c>
      <c r="AQ120" s="42">
        <f t="shared" si="28"/>
        <v>-0.63714722400000001</v>
      </c>
      <c r="AR120" s="51"/>
      <c r="AS120" s="51"/>
      <c r="AT120" s="51"/>
      <c r="AU120" s="51"/>
      <c r="AV120" s="51"/>
      <c r="AW120" s="51"/>
    </row>
    <row r="121" spans="1:49">
      <c r="A121" s="107" t="str">
        <f t="shared" si="26"/>
        <v>TBKB</v>
      </c>
      <c r="B121" s="135" t="s">
        <v>201</v>
      </c>
      <c r="C121" s="42">
        <f t="shared" ref="C121:AN121" si="30">B75</f>
        <v>0</v>
      </c>
      <c r="D121" s="42">
        <f t="shared" si="30"/>
        <v>0</v>
      </c>
      <c r="E121" s="42">
        <f t="shared" si="30"/>
        <v>0</v>
      </c>
      <c r="F121" s="42">
        <f t="shared" si="30"/>
        <v>0</v>
      </c>
      <c r="G121" s="42">
        <f t="shared" si="30"/>
        <v>0</v>
      </c>
      <c r="H121" s="42">
        <f t="shared" si="30"/>
        <v>0</v>
      </c>
      <c r="I121" s="42">
        <f t="shared" si="30"/>
        <v>0</v>
      </c>
      <c r="J121" s="42">
        <f t="shared" si="30"/>
        <v>0</v>
      </c>
      <c r="K121" s="42">
        <f t="shared" si="30"/>
        <v>0</v>
      </c>
      <c r="L121" s="42">
        <f t="shared" si="30"/>
        <v>0</v>
      </c>
      <c r="M121" s="42">
        <f t="shared" si="30"/>
        <v>0</v>
      </c>
      <c r="N121" s="42">
        <f t="shared" si="30"/>
        <v>0</v>
      </c>
      <c r="O121" s="42">
        <f t="shared" si="30"/>
        <v>0</v>
      </c>
      <c r="P121" s="42">
        <f t="shared" si="30"/>
        <v>0</v>
      </c>
      <c r="Q121" s="42">
        <f t="shared" si="30"/>
        <v>0</v>
      </c>
      <c r="R121" s="42">
        <f t="shared" si="30"/>
        <v>0</v>
      </c>
      <c r="S121" s="42">
        <f t="shared" si="30"/>
        <v>0</v>
      </c>
      <c r="T121" s="42">
        <f t="shared" si="30"/>
        <v>0</v>
      </c>
      <c r="U121" s="42">
        <f t="shared" si="30"/>
        <v>0</v>
      </c>
      <c r="V121" s="42">
        <f t="shared" si="30"/>
        <v>0</v>
      </c>
      <c r="W121" s="42">
        <f t="shared" si="30"/>
        <v>0</v>
      </c>
      <c r="X121" s="42">
        <f t="shared" si="30"/>
        <v>0</v>
      </c>
      <c r="Y121" s="42">
        <f t="shared" si="30"/>
        <v>0</v>
      </c>
      <c r="Z121" s="42">
        <f t="shared" si="30"/>
        <v>0</v>
      </c>
      <c r="AA121" s="42">
        <f t="shared" si="30"/>
        <v>0</v>
      </c>
      <c r="AB121" s="42">
        <f t="shared" si="30"/>
        <v>0</v>
      </c>
      <c r="AC121" s="42">
        <f t="shared" si="30"/>
        <v>0</v>
      </c>
      <c r="AD121" s="42">
        <f t="shared" si="30"/>
        <v>0</v>
      </c>
      <c r="AE121" s="42">
        <f t="shared" si="30"/>
        <v>0</v>
      </c>
      <c r="AF121" s="42">
        <f t="shared" si="30"/>
        <v>0</v>
      </c>
      <c r="AG121" s="42">
        <f t="shared" si="30"/>
        <v>0</v>
      </c>
      <c r="AH121" s="42">
        <f t="shared" si="30"/>
        <v>0</v>
      </c>
      <c r="AI121" s="42">
        <f t="shared" si="30"/>
        <v>0</v>
      </c>
      <c r="AJ121" s="42">
        <f t="shared" si="30"/>
        <v>0</v>
      </c>
      <c r="AK121" s="42">
        <f t="shared" si="30"/>
        <v>0</v>
      </c>
      <c r="AL121" s="42">
        <f t="shared" si="30"/>
        <v>0</v>
      </c>
      <c r="AM121" s="42">
        <f t="shared" si="30"/>
        <v>0</v>
      </c>
      <c r="AN121" s="42">
        <f t="shared" si="30"/>
        <v>0</v>
      </c>
      <c r="AO121" s="42">
        <f t="shared" si="28"/>
        <v>0</v>
      </c>
      <c r="AP121" s="42">
        <f t="shared" si="28"/>
        <v>0</v>
      </c>
      <c r="AQ121" s="42">
        <f t="shared" si="28"/>
        <v>0</v>
      </c>
      <c r="AR121" s="51"/>
      <c r="AS121" s="51"/>
      <c r="AT121" s="51"/>
      <c r="AU121" s="51"/>
      <c r="AV121" s="51"/>
      <c r="AW121" s="51"/>
    </row>
    <row r="122" spans="1:49">
      <c r="A122" s="136" t="s">
        <v>202</v>
      </c>
      <c r="B122" s="137" t="s">
        <v>203</v>
      </c>
      <c r="C122" s="125">
        <f t="shared" ref="C122:AQ122" si="31">IF(C124=0,C123,C124)</f>
        <v>0</v>
      </c>
      <c r="D122" s="125">
        <f t="shared" si="31"/>
        <v>0</v>
      </c>
      <c r="E122" s="125">
        <f t="shared" si="31"/>
        <v>0</v>
      </c>
      <c r="F122" s="125">
        <f t="shared" si="31"/>
        <v>0</v>
      </c>
      <c r="G122" s="125">
        <f t="shared" si="31"/>
        <v>0</v>
      </c>
      <c r="H122" s="125">
        <f t="shared" si="31"/>
        <v>0</v>
      </c>
      <c r="I122" s="125">
        <f t="shared" si="31"/>
        <v>0</v>
      </c>
      <c r="J122" s="125">
        <f t="shared" si="31"/>
        <v>0</v>
      </c>
      <c r="K122" s="125">
        <f t="shared" si="31"/>
        <v>0</v>
      </c>
      <c r="L122" s="125">
        <f t="shared" si="31"/>
        <v>0</v>
      </c>
      <c r="M122" s="125">
        <f t="shared" si="31"/>
        <v>0</v>
      </c>
      <c r="N122" s="125">
        <f t="shared" si="31"/>
        <v>0</v>
      </c>
      <c r="O122" s="125">
        <f>IF(O124=0,O123,O124)</f>
        <v>0</v>
      </c>
      <c r="P122" s="125">
        <f t="shared" si="31"/>
        <v>0</v>
      </c>
      <c r="Q122" s="125">
        <f t="shared" si="31"/>
        <v>0</v>
      </c>
      <c r="R122" s="125">
        <f t="shared" si="31"/>
        <v>0</v>
      </c>
      <c r="S122" s="125">
        <f t="shared" si="31"/>
        <v>-417.54705192000006</v>
      </c>
      <c r="T122" s="125">
        <f t="shared" si="31"/>
        <v>-46.663937531999998</v>
      </c>
      <c r="U122" s="125">
        <f t="shared" si="31"/>
        <v>-69.438454812000003</v>
      </c>
      <c r="V122" s="125">
        <f t="shared" si="31"/>
        <v>-5.3256514680000002</v>
      </c>
      <c r="W122" s="125">
        <f t="shared" si="31"/>
        <v>0</v>
      </c>
      <c r="X122" s="125">
        <f t="shared" si="31"/>
        <v>25.739985852</v>
      </c>
      <c r="Y122" s="125">
        <f t="shared" si="31"/>
        <v>0</v>
      </c>
      <c r="Z122" s="125">
        <f t="shared" si="31"/>
        <v>14.490012384000002</v>
      </c>
      <c r="AA122" s="125">
        <f t="shared" si="31"/>
        <v>178.68399919200002</v>
      </c>
      <c r="AB122" s="125">
        <f t="shared" si="31"/>
        <v>0</v>
      </c>
      <c r="AC122" s="125">
        <f t="shared" si="31"/>
        <v>0</v>
      </c>
      <c r="AD122" s="125">
        <f t="shared" si="31"/>
        <v>25.455995208000001</v>
      </c>
      <c r="AE122" s="125">
        <f t="shared" si="31"/>
        <v>0</v>
      </c>
      <c r="AF122" s="125">
        <f t="shared" si="31"/>
        <v>211.46639198399998</v>
      </c>
      <c r="AG122" s="125">
        <f t="shared" si="31"/>
        <v>52.720018128</v>
      </c>
      <c r="AH122" s="125">
        <f t="shared" si="31"/>
        <v>9.0200000520000003</v>
      </c>
      <c r="AI122" s="125">
        <f t="shared" si="31"/>
        <v>6.4091953080000001</v>
      </c>
      <c r="AJ122" s="125">
        <f t="shared" si="31"/>
        <v>8.8619902200000009</v>
      </c>
      <c r="AK122" s="125">
        <f t="shared" si="31"/>
        <v>12.128992128000002</v>
      </c>
      <c r="AL122" s="125">
        <f t="shared" si="31"/>
        <v>0</v>
      </c>
      <c r="AM122" s="125">
        <f t="shared" si="31"/>
        <v>4.0959883080000008</v>
      </c>
      <c r="AN122" s="125">
        <f t="shared" si="31"/>
        <v>2.6800125480000001</v>
      </c>
      <c r="AO122" s="125">
        <f t="shared" si="31"/>
        <v>0</v>
      </c>
      <c r="AP122" s="125">
        <f t="shared" si="31"/>
        <v>0</v>
      </c>
      <c r="AQ122" s="125">
        <f t="shared" si="31"/>
        <v>12.77748558</v>
      </c>
      <c r="AR122" s="51"/>
      <c r="AS122" s="51"/>
      <c r="AT122" s="51"/>
      <c r="AU122" s="51"/>
      <c r="AV122" s="51"/>
      <c r="AW122" s="51"/>
    </row>
    <row r="123" spans="1:49">
      <c r="A123" s="107" t="s">
        <v>204</v>
      </c>
      <c r="B123" s="135"/>
      <c r="C123" s="42">
        <f t="shared" ref="C123:AN123" si="32">B76</f>
        <v>0</v>
      </c>
      <c r="D123" s="42">
        <f t="shared" si="32"/>
        <v>0</v>
      </c>
      <c r="E123" s="42">
        <f t="shared" si="32"/>
        <v>0</v>
      </c>
      <c r="F123" s="42">
        <f t="shared" si="32"/>
        <v>0</v>
      </c>
      <c r="G123" s="42">
        <f t="shared" si="32"/>
        <v>0</v>
      </c>
      <c r="H123" s="42">
        <f t="shared" si="32"/>
        <v>0</v>
      </c>
      <c r="I123" s="42">
        <f t="shared" si="32"/>
        <v>0</v>
      </c>
      <c r="J123" s="42">
        <f t="shared" si="32"/>
        <v>0</v>
      </c>
      <c r="K123" s="42">
        <f t="shared" si="32"/>
        <v>0</v>
      </c>
      <c r="L123" s="42">
        <f t="shared" si="32"/>
        <v>0</v>
      </c>
      <c r="M123" s="42">
        <f t="shared" si="32"/>
        <v>0</v>
      </c>
      <c r="N123" s="42">
        <f t="shared" si="32"/>
        <v>0</v>
      </c>
      <c r="O123" s="42">
        <f>N76</f>
        <v>0</v>
      </c>
      <c r="P123" s="42">
        <f>O76</f>
        <v>0</v>
      </c>
      <c r="Q123" s="42">
        <f t="shared" si="32"/>
        <v>0</v>
      </c>
      <c r="R123" s="42">
        <f t="shared" si="32"/>
        <v>0</v>
      </c>
      <c r="S123" s="42">
        <f t="shared" si="32"/>
        <v>-417.54705192000006</v>
      </c>
      <c r="T123" s="42">
        <f t="shared" si="32"/>
        <v>-46.663937531999998</v>
      </c>
      <c r="U123" s="42">
        <f t="shared" si="32"/>
        <v>-69.438454812000003</v>
      </c>
      <c r="V123" s="42">
        <f t="shared" si="32"/>
        <v>-5.3256514680000002</v>
      </c>
      <c r="W123" s="42">
        <f t="shared" si="32"/>
        <v>0</v>
      </c>
      <c r="X123" s="42">
        <f t="shared" si="32"/>
        <v>25.739985852</v>
      </c>
      <c r="Y123" s="42">
        <f t="shared" si="32"/>
        <v>0</v>
      </c>
      <c r="Z123" s="42">
        <f t="shared" si="32"/>
        <v>14.490012384000002</v>
      </c>
      <c r="AA123" s="42">
        <f t="shared" si="32"/>
        <v>178.68399919200002</v>
      </c>
      <c r="AB123" s="42">
        <f t="shared" si="32"/>
        <v>0</v>
      </c>
      <c r="AC123" s="42">
        <f t="shared" si="32"/>
        <v>0</v>
      </c>
      <c r="AD123" s="42">
        <f t="shared" si="32"/>
        <v>25.455995208000001</v>
      </c>
      <c r="AE123" s="42">
        <f t="shared" si="32"/>
        <v>0</v>
      </c>
      <c r="AF123" s="42">
        <f t="shared" si="32"/>
        <v>211.46639198399998</v>
      </c>
      <c r="AG123" s="42">
        <f t="shared" si="32"/>
        <v>52.720018128</v>
      </c>
      <c r="AH123" s="42">
        <f t="shared" si="32"/>
        <v>9.0200000520000003</v>
      </c>
      <c r="AI123" s="42">
        <f t="shared" si="32"/>
        <v>6.4091953080000001</v>
      </c>
      <c r="AJ123" s="42">
        <f t="shared" si="32"/>
        <v>8.8619902200000009</v>
      </c>
      <c r="AK123" s="42">
        <f t="shared" si="32"/>
        <v>12.128992128000002</v>
      </c>
      <c r="AL123" s="42">
        <f t="shared" si="32"/>
        <v>0</v>
      </c>
      <c r="AM123" s="42">
        <f t="shared" si="32"/>
        <v>4.0959883080000008</v>
      </c>
      <c r="AN123" s="42">
        <f t="shared" si="32"/>
        <v>2.6800125480000001</v>
      </c>
      <c r="AO123" s="42">
        <f>AU76</f>
        <v>0</v>
      </c>
      <c r="AP123" s="42">
        <f>AV76</f>
        <v>0</v>
      </c>
      <c r="AQ123" s="42">
        <f>AW76</f>
        <v>12.77748558</v>
      </c>
      <c r="AR123" s="51"/>
      <c r="AS123" s="51"/>
      <c r="AT123" s="51"/>
      <c r="AU123" s="51"/>
      <c r="AV123" s="51"/>
      <c r="AW123" s="51"/>
    </row>
    <row r="124" spans="1:49">
      <c r="A124" s="138" t="s">
        <v>205</v>
      </c>
      <c r="B124" s="139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1"/>
      <c r="AS124" s="51"/>
      <c r="AT124" s="51"/>
      <c r="AU124" s="51"/>
      <c r="AV124" s="51"/>
      <c r="AW124" s="51"/>
    </row>
    <row r="125" spans="1:49">
      <c r="A125" s="107" t="str">
        <f>A77</f>
        <v>LIQUEFAC,ELNG</v>
      </c>
      <c r="B125" s="135" t="s">
        <v>206</v>
      </c>
      <c r="C125" s="42">
        <f t="shared" ref="C125:AN126" si="33">B77</f>
        <v>0</v>
      </c>
      <c r="D125" s="42">
        <f t="shared" si="33"/>
        <v>0</v>
      </c>
      <c r="E125" s="42">
        <f t="shared" si="33"/>
        <v>0</v>
      </c>
      <c r="F125" s="42">
        <f t="shared" si="33"/>
        <v>0</v>
      </c>
      <c r="G125" s="42">
        <f t="shared" si="33"/>
        <v>0</v>
      </c>
      <c r="H125" s="42">
        <f t="shared" si="33"/>
        <v>0</v>
      </c>
      <c r="I125" s="42">
        <f t="shared" si="33"/>
        <v>0</v>
      </c>
      <c r="J125" s="42">
        <f t="shared" si="33"/>
        <v>0</v>
      </c>
      <c r="K125" s="42">
        <f t="shared" si="33"/>
        <v>0</v>
      </c>
      <c r="L125" s="42">
        <f t="shared" si="33"/>
        <v>0</v>
      </c>
      <c r="M125" s="42">
        <f t="shared" si="33"/>
        <v>0</v>
      </c>
      <c r="N125" s="42">
        <f t="shared" si="33"/>
        <v>0</v>
      </c>
      <c r="O125" s="42">
        <f>N77</f>
        <v>0</v>
      </c>
      <c r="P125" s="42">
        <f>O77</f>
        <v>0</v>
      </c>
      <c r="Q125" s="42">
        <f t="shared" si="33"/>
        <v>0</v>
      </c>
      <c r="R125" s="42">
        <f t="shared" si="33"/>
        <v>0</v>
      </c>
      <c r="S125" s="42">
        <f t="shared" si="33"/>
        <v>0</v>
      </c>
      <c r="T125" s="42">
        <f t="shared" si="33"/>
        <v>0</v>
      </c>
      <c r="U125" s="42">
        <f t="shared" si="33"/>
        <v>0</v>
      </c>
      <c r="V125" s="42">
        <f t="shared" si="33"/>
        <v>0</v>
      </c>
      <c r="W125" s="42">
        <f t="shared" si="33"/>
        <v>0</v>
      </c>
      <c r="X125" s="42">
        <f t="shared" si="33"/>
        <v>0</v>
      </c>
      <c r="Y125" s="42">
        <f t="shared" si="33"/>
        <v>0</v>
      </c>
      <c r="Z125" s="42">
        <f t="shared" si="33"/>
        <v>0</v>
      </c>
      <c r="AA125" s="42">
        <f t="shared" si="33"/>
        <v>0</v>
      </c>
      <c r="AB125" s="42">
        <f t="shared" si="33"/>
        <v>0</v>
      </c>
      <c r="AC125" s="42">
        <f t="shared" si="33"/>
        <v>0</v>
      </c>
      <c r="AD125" s="42">
        <f t="shared" si="33"/>
        <v>0</v>
      </c>
      <c r="AE125" s="42">
        <f t="shared" si="33"/>
        <v>0</v>
      </c>
      <c r="AF125" s="42">
        <f t="shared" si="33"/>
        <v>0</v>
      </c>
      <c r="AG125" s="42">
        <f t="shared" si="33"/>
        <v>0</v>
      </c>
      <c r="AH125" s="42">
        <f t="shared" si="33"/>
        <v>0</v>
      </c>
      <c r="AI125" s="42">
        <f t="shared" si="33"/>
        <v>0</v>
      </c>
      <c r="AJ125" s="42">
        <f t="shared" si="33"/>
        <v>0</v>
      </c>
      <c r="AK125" s="42">
        <f t="shared" si="33"/>
        <v>0</v>
      </c>
      <c r="AL125" s="42">
        <f t="shared" si="33"/>
        <v>0</v>
      </c>
      <c r="AM125" s="42">
        <f t="shared" si="33"/>
        <v>0</v>
      </c>
      <c r="AN125" s="42">
        <f t="shared" si="33"/>
        <v>0</v>
      </c>
      <c r="AO125" s="42">
        <f t="shared" ref="AO125:AQ126" si="34">AU77</f>
        <v>0</v>
      </c>
      <c r="AP125" s="42">
        <f t="shared" si="34"/>
        <v>0</v>
      </c>
      <c r="AQ125" s="42">
        <f t="shared" si="34"/>
        <v>0</v>
      </c>
      <c r="AR125" s="51"/>
      <c r="AS125" s="51"/>
      <c r="AT125" s="51"/>
      <c r="AU125" s="51"/>
      <c r="AV125" s="51"/>
      <c r="AW125" s="51"/>
    </row>
    <row r="126" spans="1:49">
      <c r="A126" s="107" t="str">
        <f>A78</f>
        <v>TNONSPEC,TCHARCOAL</v>
      </c>
      <c r="B126" s="135" t="s">
        <v>207</v>
      </c>
      <c r="C126" s="42">
        <f t="shared" si="33"/>
        <v>0</v>
      </c>
      <c r="D126" s="42">
        <f t="shared" si="33"/>
        <v>0</v>
      </c>
      <c r="E126" s="42">
        <f t="shared" si="33"/>
        <v>0</v>
      </c>
      <c r="F126" s="42">
        <f t="shared" si="33"/>
        <v>0</v>
      </c>
      <c r="G126" s="42">
        <f t="shared" si="33"/>
        <v>0</v>
      </c>
      <c r="H126" s="42">
        <f t="shared" si="33"/>
        <v>0</v>
      </c>
      <c r="I126" s="42">
        <f t="shared" si="33"/>
        <v>0</v>
      </c>
      <c r="J126" s="42">
        <f t="shared" si="33"/>
        <v>0</v>
      </c>
      <c r="K126" s="42">
        <f t="shared" si="33"/>
        <v>0</v>
      </c>
      <c r="L126" s="42">
        <f t="shared" si="33"/>
        <v>0</v>
      </c>
      <c r="M126" s="42">
        <f t="shared" si="33"/>
        <v>0</v>
      </c>
      <c r="N126" s="42">
        <f t="shared" si="33"/>
        <v>0</v>
      </c>
      <c r="O126" s="42">
        <f>N78</f>
        <v>0</v>
      </c>
      <c r="P126" s="42">
        <f>O78</f>
        <v>0</v>
      </c>
      <c r="Q126" s="42">
        <f t="shared" si="33"/>
        <v>0</v>
      </c>
      <c r="R126" s="42">
        <f t="shared" si="33"/>
        <v>0</v>
      </c>
      <c r="S126" s="42">
        <f t="shared" si="33"/>
        <v>0</v>
      </c>
      <c r="T126" s="42">
        <f t="shared" si="33"/>
        <v>0</v>
      </c>
      <c r="U126" s="42">
        <f t="shared" si="33"/>
        <v>0</v>
      </c>
      <c r="V126" s="42">
        <f t="shared" si="33"/>
        <v>0</v>
      </c>
      <c r="W126" s="42">
        <f t="shared" si="33"/>
        <v>0</v>
      </c>
      <c r="X126" s="42">
        <f t="shared" si="33"/>
        <v>0</v>
      </c>
      <c r="Y126" s="42">
        <f t="shared" si="33"/>
        <v>0</v>
      </c>
      <c r="Z126" s="42">
        <f t="shared" si="33"/>
        <v>0</v>
      </c>
      <c r="AA126" s="42">
        <f t="shared" si="33"/>
        <v>0</v>
      </c>
      <c r="AB126" s="42">
        <f t="shared" si="33"/>
        <v>0</v>
      </c>
      <c r="AC126" s="42">
        <f t="shared" si="33"/>
        <v>0</v>
      </c>
      <c r="AD126" s="42">
        <f t="shared" si="33"/>
        <v>0</v>
      </c>
      <c r="AE126" s="42">
        <f t="shared" si="33"/>
        <v>0</v>
      </c>
      <c r="AF126" s="42">
        <f t="shared" si="33"/>
        <v>0</v>
      </c>
      <c r="AG126" s="42">
        <f t="shared" si="33"/>
        <v>0</v>
      </c>
      <c r="AH126" s="42">
        <f t="shared" si="33"/>
        <v>0</v>
      </c>
      <c r="AI126" s="42">
        <f t="shared" si="33"/>
        <v>0</v>
      </c>
      <c r="AJ126" s="42">
        <f t="shared" si="33"/>
        <v>0</v>
      </c>
      <c r="AK126" s="42">
        <f t="shared" si="33"/>
        <v>0</v>
      </c>
      <c r="AL126" s="42">
        <f t="shared" si="33"/>
        <v>0</v>
      </c>
      <c r="AM126" s="42">
        <f t="shared" si="33"/>
        <v>0</v>
      </c>
      <c r="AN126" s="42">
        <f t="shared" si="33"/>
        <v>0</v>
      </c>
      <c r="AO126" s="42">
        <f t="shared" si="34"/>
        <v>0</v>
      </c>
      <c r="AP126" s="42">
        <f t="shared" si="34"/>
        <v>0</v>
      </c>
      <c r="AQ126" s="42">
        <f t="shared" si="34"/>
        <v>0</v>
      </c>
      <c r="AR126" s="51"/>
      <c r="AS126" s="51"/>
      <c r="AT126" s="51"/>
      <c r="AU126" s="51"/>
      <c r="AV126" s="51"/>
      <c r="AW126" s="51"/>
    </row>
    <row r="127" spans="1:49">
      <c r="A127" s="14"/>
      <c r="B127" s="14"/>
      <c r="C127" s="49"/>
      <c r="D127" s="14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</row>
    <row r="128" spans="1:49" ht="18">
      <c r="A128" s="47" t="s">
        <v>208</v>
      </c>
      <c r="B128" s="47"/>
      <c r="C128" s="19"/>
      <c r="D128" s="19"/>
      <c r="E128" s="19"/>
      <c r="F128" s="19"/>
      <c r="G128" s="19"/>
      <c r="H128" s="19"/>
      <c r="I128" s="19"/>
      <c r="J128" s="19"/>
      <c r="K128" s="141"/>
      <c r="L128" s="141"/>
      <c r="M128" s="141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</row>
    <row r="129" spans="1:49" ht="33.75">
      <c r="A129" s="142"/>
      <c r="B129" s="142" t="s">
        <v>209</v>
      </c>
      <c r="C129" s="143" t="s">
        <v>210</v>
      </c>
      <c r="D129" s="143" t="s">
        <v>211</v>
      </c>
      <c r="E129" s="143" t="s">
        <v>212</v>
      </c>
      <c r="F129" s="143" t="s">
        <v>213</v>
      </c>
      <c r="G129" s="143" t="s">
        <v>27</v>
      </c>
      <c r="H129" s="143" t="s">
        <v>214</v>
      </c>
      <c r="I129" s="143" t="s">
        <v>215</v>
      </c>
      <c r="J129" s="143" t="s">
        <v>97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70"/>
      <c r="AR129" s="70"/>
      <c r="AS129" s="70"/>
      <c r="AT129" s="70"/>
      <c r="AU129" s="70"/>
      <c r="AV129" s="70"/>
      <c r="AW129" s="70"/>
    </row>
    <row r="130" spans="1:49" ht="13.5" thickBot="1">
      <c r="A130" s="119"/>
      <c r="B130" s="144"/>
      <c r="C130" s="121" t="s">
        <v>216</v>
      </c>
      <c r="D130" s="121" t="s">
        <v>217</v>
      </c>
      <c r="E130" s="121" t="s">
        <v>218</v>
      </c>
      <c r="F130" s="121" t="s">
        <v>219</v>
      </c>
      <c r="G130" s="121" t="s">
        <v>220</v>
      </c>
      <c r="H130" s="121" t="s">
        <v>221</v>
      </c>
      <c r="I130" s="121" t="s">
        <v>222</v>
      </c>
      <c r="J130" s="121" t="s">
        <v>223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5"/>
      <c r="AR130" s="55"/>
      <c r="AS130" s="55"/>
      <c r="AT130" s="55"/>
      <c r="AU130" s="55"/>
      <c r="AV130" s="55"/>
      <c r="AW130" s="55"/>
    </row>
    <row r="131" spans="1:49">
      <c r="A131" s="107" t="str">
        <f t="shared" ref="A131:A137" si="35">A81</f>
        <v>MINES</v>
      </c>
      <c r="B131" s="135" t="s">
        <v>224</v>
      </c>
      <c r="C131" s="42">
        <f t="shared" ref="C131:C137" si="36">Q81+F81</f>
        <v>0</v>
      </c>
      <c r="D131" s="42">
        <f t="shared" ref="D131:D137" si="37">B81+C81+D81+E81+G81+H81+I81</f>
        <v>0</v>
      </c>
      <c r="E131" s="42">
        <f t="shared" ref="E131:E137" si="38">R81+S81+T81+U81+V81</f>
        <v>0</v>
      </c>
      <c r="F131" s="42">
        <f t="shared" ref="F131:F137" si="39">Z81+AA81+AB81+AC81+AD81+AE81+AF81+AG81+AH81+AI81+AJ81+AK81+AM81+AL81</f>
        <v>0</v>
      </c>
      <c r="G131" s="42">
        <f t="shared" ref="G131:G137" si="40">W81+X81+Y81</f>
        <v>0</v>
      </c>
      <c r="H131" s="42">
        <f t="shared" ref="H131:H137" si="41">J81+K81+L81+M81+N81+P81</f>
        <v>0</v>
      </c>
      <c r="I131" s="42">
        <f t="shared" ref="I131:J137" si="42">AU81</f>
        <v>0</v>
      </c>
      <c r="J131" s="42">
        <f t="shared" si="42"/>
        <v>0</v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</row>
    <row r="132" spans="1:49">
      <c r="A132" s="107" t="str">
        <f t="shared" si="35"/>
        <v>OILGASEX</v>
      </c>
      <c r="B132" s="135" t="s">
        <v>225</v>
      </c>
      <c r="C132" s="42">
        <f t="shared" si="36"/>
        <v>0</v>
      </c>
      <c r="D132" s="42">
        <f t="shared" si="37"/>
        <v>0</v>
      </c>
      <c r="E132" s="42">
        <f t="shared" si="38"/>
        <v>0</v>
      </c>
      <c r="F132" s="42">
        <f t="shared" si="39"/>
        <v>0</v>
      </c>
      <c r="G132" s="42">
        <f t="shared" si="40"/>
        <v>0</v>
      </c>
      <c r="H132" s="42">
        <f t="shared" si="41"/>
        <v>0</v>
      </c>
      <c r="I132" s="42">
        <f t="shared" si="42"/>
        <v>0</v>
      </c>
      <c r="J132" s="42">
        <f t="shared" si="42"/>
        <v>0</v>
      </c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</row>
    <row r="133" spans="1:49">
      <c r="A133" s="107" t="str">
        <f t="shared" si="35"/>
        <v>EPATFUEL</v>
      </c>
      <c r="B133" s="135" t="s">
        <v>196</v>
      </c>
      <c r="C133" s="42">
        <f t="shared" si="36"/>
        <v>0</v>
      </c>
      <c r="D133" s="42">
        <f t="shared" si="37"/>
        <v>0</v>
      </c>
      <c r="E133" s="42">
        <f t="shared" si="38"/>
        <v>0</v>
      </c>
      <c r="F133" s="42">
        <f t="shared" si="39"/>
        <v>0</v>
      </c>
      <c r="G133" s="42">
        <f t="shared" si="40"/>
        <v>0</v>
      </c>
      <c r="H133" s="42">
        <f t="shared" si="41"/>
        <v>0</v>
      </c>
      <c r="I133" s="42">
        <f t="shared" si="42"/>
        <v>0</v>
      </c>
      <c r="J133" s="42">
        <f t="shared" si="42"/>
        <v>0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</row>
    <row r="134" spans="1:49">
      <c r="A134" s="107" t="str">
        <f t="shared" si="35"/>
        <v>ECOKEOVS</v>
      </c>
      <c r="B134" s="135" t="s">
        <v>197</v>
      </c>
      <c r="C134" s="42">
        <f t="shared" si="36"/>
        <v>0</v>
      </c>
      <c r="D134" s="42">
        <f t="shared" si="37"/>
        <v>0</v>
      </c>
      <c r="E134" s="42">
        <f t="shared" si="38"/>
        <v>0</v>
      </c>
      <c r="F134" s="42">
        <f t="shared" si="39"/>
        <v>0</v>
      </c>
      <c r="G134" s="42">
        <f t="shared" si="40"/>
        <v>0</v>
      </c>
      <c r="H134" s="42">
        <f t="shared" si="41"/>
        <v>0</v>
      </c>
      <c r="I134" s="42">
        <f t="shared" si="42"/>
        <v>0</v>
      </c>
      <c r="J134" s="42">
        <f t="shared" si="42"/>
        <v>0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</row>
    <row r="135" spans="1:49">
      <c r="A135" s="107" t="str">
        <f t="shared" si="35"/>
        <v>EGASWKS</v>
      </c>
      <c r="B135" s="135" t="s">
        <v>198</v>
      </c>
      <c r="C135" s="42">
        <f t="shared" si="36"/>
        <v>0</v>
      </c>
      <c r="D135" s="42">
        <f t="shared" si="37"/>
        <v>0</v>
      </c>
      <c r="E135" s="42">
        <f t="shared" si="38"/>
        <v>0</v>
      </c>
      <c r="F135" s="42">
        <f t="shared" si="39"/>
        <v>0</v>
      </c>
      <c r="G135" s="42">
        <f t="shared" si="40"/>
        <v>0</v>
      </c>
      <c r="H135" s="42">
        <f t="shared" si="41"/>
        <v>0</v>
      </c>
      <c r="I135" s="42">
        <f t="shared" si="42"/>
        <v>0</v>
      </c>
      <c r="J135" s="42">
        <f t="shared" si="42"/>
        <v>0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</row>
    <row r="136" spans="1:49">
      <c r="A136" s="107" t="str">
        <f t="shared" si="35"/>
        <v>EBKB</v>
      </c>
      <c r="B136" s="135" t="s">
        <v>201</v>
      </c>
      <c r="C136" s="42">
        <f t="shared" si="36"/>
        <v>0</v>
      </c>
      <c r="D136" s="42">
        <f t="shared" si="37"/>
        <v>0</v>
      </c>
      <c r="E136" s="42">
        <f t="shared" si="38"/>
        <v>0</v>
      </c>
      <c r="F136" s="42">
        <f t="shared" si="39"/>
        <v>0</v>
      </c>
      <c r="G136" s="42">
        <f t="shared" si="40"/>
        <v>0</v>
      </c>
      <c r="H136" s="42">
        <f t="shared" si="41"/>
        <v>0</v>
      </c>
      <c r="I136" s="42">
        <f t="shared" si="42"/>
        <v>0</v>
      </c>
      <c r="J136" s="42">
        <f t="shared" si="42"/>
        <v>0</v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</row>
    <row r="137" spans="1:49">
      <c r="A137" s="107" t="str">
        <f t="shared" si="35"/>
        <v>EREFINER</v>
      </c>
      <c r="B137" s="135" t="s">
        <v>226</v>
      </c>
      <c r="C137" s="42">
        <f t="shared" si="36"/>
        <v>-10.571083848000001</v>
      </c>
      <c r="D137" s="42">
        <f t="shared" si="37"/>
        <v>0</v>
      </c>
      <c r="E137" s="42">
        <f t="shared" si="38"/>
        <v>0</v>
      </c>
      <c r="F137" s="42">
        <f t="shared" si="39"/>
        <v>-6.4959876720000009</v>
      </c>
      <c r="G137" s="42">
        <f t="shared" si="40"/>
        <v>-20.195992764</v>
      </c>
      <c r="H137" s="42">
        <f t="shared" si="41"/>
        <v>0</v>
      </c>
      <c r="I137" s="42">
        <f t="shared" si="42"/>
        <v>-3.1433657040000003</v>
      </c>
      <c r="J137" s="42">
        <f t="shared" si="42"/>
        <v>0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</row>
    <row r="138" spans="1:49">
      <c r="A138" s="107" t="str">
        <f>A91</f>
        <v>ENONSPEC</v>
      </c>
      <c r="B138" s="135" t="s">
        <v>227</v>
      </c>
      <c r="C138" s="42">
        <f>Q91+F91</f>
        <v>0</v>
      </c>
      <c r="D138" s="42">
        <f>B91+C91+D91+E91+G91+H91+I91</f>
        <v>0</v>
      </c>
      <c r="E138" s="42">
        <f>R91+S91+T91+U91+V91</f>
        <v>0</v>
      </c>
      <c r="F138" s="42">
        <f>Z91+AA91+AB91+AC91+AD91+AE91+AF91+AG91+AH91+AI91+AJ91+AK91+AM91+AL91</f>
        <v>0</v>
      </c>
      <c r="G138" s="42">
        <f>W91+X91+Y91</f>
        <v>0</v>
      </c>
      <c r="H138" s="42">
        <f>J91+K91+L91+M91+N91+P91</f>
        <v>0</v>
      </c>
      <c r="I138" s="42">
        <f>AU91</f>
        <v>0</v>
      </c>
      <c r="J138" s="42">
        <f>AV91</f>
        <v>0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</row>
    <row r="139" spans="1:49">
      <c r="A139" s="107" t="s">
        <v>141</v>
      </c>
      <c r="B139" s="135" t="s">
        <v>228</v>
      </c>
      <c r="C139" s="42">
        <f>Q92+F92+AQ94</f>
        <v>3.1599035639999995E-2</v>
      </c>
      <c r="D139" s="42">
        <f>B92+C92+D92+E92+G92+H92+I92</f>
        <v>-1.1426195880000001</v>
      </c>
      <c r="E139" s="42">
        <f>R92+S92+T92+U92+V92</f>
        <v>0</v>
      </c>
      <c r="F139" s="42">
        <f>Z92+AA92+AB92+AC92+AD92+AE92+AF92+AG92+AH92+AI92+AJ92+AK92+AM92+AL92</f>
        <v>0</v>
      </c>
      <c r="G139" s="42">
        <f>W92+X92+Y92</f>
        <v>0</v>
      </c>
      <c r="H139" s="42">
        <f>J92+K92+L92+M92+N92+P92</f>
        <v>0</v>
      </c>
      <c r="I139" s="42">
        <f>AU92</f>
        <v>-10.798343352</v>
      </c>
      <c r="J139" s="42">
        <f>AV92</f>
        <v>-10.850929560000001</v>
      </c>
      <c r="K139" s="49"/>
      <c r="L139" s="49" t="s">
        <v>229</v>
      </c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</row>
    <row r="140" spans="1:49">
      <c r="A140" s="107" t="str">
        <f>A94</f>
        <v>PIPELINE</v>
      </c>
      <c r="B140" s="135" t="s">
        <v>230</v>
      </c>
      <c r="C140" s="42">
        <f>-(Q94+F94-MAX(0,C139))</f>
        <v>-0.72420210035999999</v>
      </c>
      <c r="D140" s="42">
        <f>B94+C94+D94+E94+G94+H94+I94</f>
        <v>0</v>
      </c>
      <c r="E140" s="42">
        <f>-(R94+S94+T94+U94+V94)</f>
        <v>0</v>
      </c>
      <c r="F140" s="42">
        <f>-(Z94+AA94+AB94+AC94+AD94+AE94+AF94+AG94+AH94+AI94+AJ94+AK94+AM94+AL94)</f>
        <v>0</v>
      </c>
      <c r="G140" s="42">
        <f>W94+X94+Y94</f>
        <v>0</v>
      </c>
      <c r="H140" s="42">
        <f>-(J94+K94+L94+M94+N94+P94)</f>
        <v>0</v>
      </c>
      <c r="I140" s="42">
        <f>-AU94</f>
        <v>0</v>
      </c>
      <c r="J140" s="42">
        <f>-AV94</f>
        <v>0</v>
      </c>
      <c r="K140" s="49"/>
      <c r="L140" s="145">
        <f>SUM(MIN(0,Q54+Q55),Q62:Q67,Q80,Q92,-Q93)</f>
        <v>-150.92291937599998</v>
      </c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</row>
    <row r="141" spans="1:49">
      <c r="A141" s="107" t="s">
        <v>25</v>
      </c>
      <c r="B141" s="107" t="s">
        <v>25</v>
      </c>
      <c r="C141" s="42">
        <f>SUM(C131:C138)</f>
        <v>-10.571083848000001</v>
      </c>
      <c r="D141" s="42">
        <f t="shared" ref="D141:J141" si="43">SUM(D131:D138)</f>
        <v>0</v>
      </c>
      <c r="E141" s="42">
        <f t="shared" si="43"/>
        <v>0</v>
      </c>
      <c r="F141" s="42">
        <f t="shared" si="43"/>
        <v>-6.4959876720000009</v>
      </c>
      <c r="G141" s="42">
        <f t="shared" si="43"/>
        <v>-20.195992764</v>
      </c>
      <c r="H141" s="42">
        <f t="shared" si="43"/>
        <v>0</v>
      </c>
      <c r="I141" s="42">
        <f t="shared" si="43"/>
        <v>-3.1433657040000003</v>
      </c>
      <c r="J141" s="42">
        <f t="shared" si="43"/>
        <v>0</v>
      </c>
      <c r="K141" s="49"/>
      <c r="L141" s="49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</row>
    <row r="142" spans="1:49">
      <c r="A142" s="22"/>
      <c r="B142" s="22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</row>
    <row r="143" spans="1:49" ht="18">
      <c r="A143" s="47" t="s">
        <v>231</v>
      </c>
      <c r="B143" s="4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</row>
    <row r="144" spans="1:49" ht="33.75">
      <c r="A144" s="142"/>
      <c r="B144" s="142" t="s">
        <v>209</v>
      </c>
      <c r="C144" s="143" t="s">
        <v>210</v>
      </c>
      <c r="D144" s="143" t="s">
        <v>211</v>
      </c>
      <c r="E144" s="143" t="s">
        <v>212</v>
      </c>
      <c r="F144" s="143" t="s">
        <v>213</v>
      </c>
      <c r="G144" s="143" t="s">
        <v>27</v>
      </c>
      <c r="H144" s="143" t="s">
        <v>214</v>
      </c>
      <c r="I144" s="143" t="s">
        <v>215</v>
      </c>
      <c r="J144" s="143" t="s">
        <v>97</v>
      </c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</row>
    <row r="145" spans="1:49" ht="13.5" thickBot="1">
      <c r="A145" s="119"/>
      <c r="B145" s="144"/>
      <c r="C145" s="133" t="str">
        <f t="shared" ref="C145:J146" si="44">C130</f>
        <v>UPNNGA</v>
      </c>
      <c r="D145" s="133" t="str">
        <f t="shared" si="44"/>
        <v>UPNCOA</v>
      </c>
      <c r="E145" s="133" t="str">
        <f t="shared" si="44"/>
        <v>UPNCRD</v>
      </c>
      <c r="F145" s="133" t="str">
        <f t="shared" si="44"/>
        <v>UPNRPP</v>
      </c>
      <c r="G145" s="133" t="str">
        <f t="shared" si="44"/>
        <v>UPNRPG</v>
      </c>
      <c r="H145" s="133" t="str">
        <f t="shared" si="44"/>
        <v>UPNREN</v>
      </c>
      <c r="I145" s="133" t="str">
        <f t="shared" si="44"/>
        <v>UPNELC</v>
      </c>
      <c r="J145" s="133" t="str">
        <f t="shared" si="44"/>
        <v>UPNSTM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</row>
    <row r="146" spans="1:49">
      <c r="A146" s="107" t="str">
        <f>A131</f>
        <v>MINES</v>
      </c>
      <c r="B146" s="135" t="s">
        <v>224</v>
      </c>
      <c r="C146" s="42">
        <f t="shared" si="44"/>
        <v>0</v>
      </c>
      <c r="D146" s="42">
        <f t="shared" si="44"/>
        <v>0</v>
      </c>
      <c r="E146" s="42">
        <f t="shared" si="44"/>
        <v>0</v>
      </c>
      <c r="F146" s="42">
        <f t="shared" si="44"/>
        <v>0</v>
      </c>
      <c r="G146" s="42">
        <f t="shared" si="44"/>
        <v>0</v>
      </c>
      <c r="H146" s="42">
        <f t="shared" si="44"/>
        <v>0</v>
      </c>
      <c r="I146" s="42">
        <f t="shared" si="44"/>
        <v>0</v>
      </c>
      <c r="J146" s="42">
        <f t="shared" si="44"/>
        <v>0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</row>
    <row r="147" spans="1:49">
      <c r="A147" s="79" t="str">
        <f>B30</f>
        <v>Hardcoal mines</v>
      </c>
      <c r="B147" s="135" t="s">
        <v>18</v>
      </c>
      <c r="C147" s="42">
        <f>C30*C146</f>
        <v>0</v>
      </c>
      <c r="D147" s="42">
        <f>C30*D146</f>
        <v>0</v>
      </c>
      <c r="E147" s="42">
        <f>C30*E146</f>
        <v>0</v>
      </c>
      <c r="F147" s="42">
        <f>C30*F146</f>
        <v>0</v>
      </c>
      <c r="G147" s="42">
        <f>C30*G146</f>
        <v>0</v>
      </c>
      <c r="H147" s="42">
        <f>C30*H146</f>
        <v>0</v>
      </c>
      <c r="I147" s="42">
        <f>C30*I146</f>
        <v>0</v>
      </c>
      <c r="J147" s="42">
        <f>C30*J146</f>
        <v>0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</row>
    <row r="148" spans="1:49">
      <c r="A148" s="87" t="str">
        <f>B31</f>
        <v>Browncoal mines</v>
      </c>
      <c r="B148" s="146" t="s">
        <v>18</v>
      </c>
      <c r="C148" s="52">
        <f>C31*C146</f>
        <v>0</v>
      </c>
      <c r="D148" s="52">
        <f>C31*D146</f>
        <v>0</v>
      </c>
      <c r="E148" s="52">
        <f>C31*E146</f>
        <v>0</v>
      </c>
      <c r="F148" s="52">
        <f>C31*F146</f>
        <v>0</v>
      </c>
      <c r="G148" s="52">
        <f>C31*G146</f>
        <v>0</v>
      </c>
      <c r="H148" s="52">
        <f>C31*H146</f>
        <v>0</v>
      </c>
      <c r="I148" s="52">
        <f>C31*I146</f>
        <v>0</v>
      </c>
      <c r="J148" s="52">
        <f>C31*J146</f>
        <v>0</v>
      </c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</row>
    <row r="149" spans="1:49">
      <c r="A149" s="107" t="str">
        <f>A132</f>
        <v>OILGASEX</v>
      </c>
      <c r="B149" s="135" t="s">
        <v>225</v>
      </c>
      <c r="C149" s="42">
        <f t="shared" ref="C149:J149" si="45">C132</f>
        <v>0</v>
      </c>
      <c r="D149" s="42">
        <f t="shared" si="45"/>
        <v>0</v>
      </c>
      <c r="E149" s="42">
        <f t="shared" si="45"/>
        <v>0</v>
      </c>
      <c r="F149" s="42">
        <f t="shared" si="45"/>
        <v>0</v>
      </c>
      <c r="G149" s="42">
        <f t="shared" si="45"/>
        <v>0</v>
      </c>
      <c r="H149" s="42">
        <f t="shared" si="45"/>
        <v>0</v>
      </c>
      <c r="I149" s="42">
        <f t="shared" si="45"/>
        <v>0</v>
      </c>
      <c r="J149" s="42">
        <f t="shared" si="45"/>
        <v>0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</row>
    <row r="150" spans="1:49">
      <c r="A150" s="79" t="s">
        <v>232</v>
      </c>
      <c r="B150" s="135" t="s">
        <v>18</v>
      </c>
      <c r="C150" s="42">
        <f t="shared" ref="C150:J150" si="46">C37*C$149</f>
        <v>0</v>
      </c>
      <c r="D150" s="42">
        <f t="shared" si="46"/>
        <v>0</v>
      </c>
      <c r="E150" s="42">
        <f t="shared" si="46"/>
        <v>0</v>
      </c>
      <c r="F150" s="42">
        <f t="shared" si="46"/>
        <v>0</v>
      </c>
      <c r="G150" s="42">
        <f t="shared" si="46"/>
        <v>0</v>
      </c>
      <c r="H150" s="42">
        <f t="shared" si="46"/>
        <v>0</v>
      </c>
      <c r="I150" s="42">
        <f t="shared" si="46"/>
        <v>0</v>
      </c>
      <c r="J150" s="42">
        <f t="shared" si="46"/>
        <v>0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</row>
    <row r="151" spans="1:49">
      <c r="A151" s="79" t="s">
        <v>45</v>
      </c>
      <c r="B151" s="135" t="s">
        <v>18</v>
      </c>
      <c r="C151" s="42">
        <f t="shared" ref="C151:J151" si="47">C38*C40*C$149</f>
        <v>0</v>
      </c>
      <c r="D151" s="42">
        <f t="shared" si="47"/>
        <v>0</v>
      </c>
      <c r="E151" s="42">
        <f t="shared" si="47"/>
        <v>0</v>
      </c>
      <c r="F151" s="42">
        <f t="shared" si="47"/>
        <v>0</v>
      </c>
      <c r="G151" s="42">
        <f t="shared" si="47"/>
        <v>0</v>
      </c>
      <c r="H151" s="42">
        <f t="shared" si="47"/>
        <v>0</v>
      </c>
      <c r="I151" s="42">
        <f t="shared" si="47"/>
        <v>0</v>
      </c>
      <c r="J151" s="42">
        <f t="shared" si="47"/>
        <v>0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</row>
    <row r="152" spans="1:49">
      <c r="A152" s="79" t="s">
        <v>47</v>
      </c>
      <c r="B152" s="135" t="s">
        <v>18</v>
      </c>
      <c r="C152" s="42">
        <f t="shared" ref="C152:J152" si="48">C38*C41*C$149</f>
        <v>0</v>
      </c>
      <c r="D152" s="42">
        <f t="shared" si="48"/>
        <v>0</v>
      </c>
      <c r="E152" s="42">
        <f t="shared" si="48"/>
        <v>0</v>
      </c>
      <c r="F152" s="42">
        <f t="shared" si="48"/>
        <v>0</v>
      </c>
      <c r="G152" s="42">
        <f t="shared" si="48"/>
        <v>0</v>
      </c>
      <c r="H152" s="42">
        <f t="shared" si="48"/>
        <v>0</v>
      </c>
      <c r="I152" s="42">
        <f t="shared" si="48"/>
        <v>0</v>
      </c>
      <c r="J152" s="42">
        <f t="shared" si="48"/>
        <v>0</v>
      </c>
      <c r="K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</row>
    <row r="153" spans="1:49">
      <c r="A153" s="79" t="s">
        <v>19</v>
      </c>
      <c r="B153" s="135" t="s">
        <v>18</v>
      </c>
      <c r="C153" s="42">
        <f t="shared" ref="C153:J153" si="49">C38*C42*C$149</f>
        <v>0</v>
      </c>
      <c r="D153" s="42">
        <f t="shared" si="49"/>
        <v>0</v>
      </c>
      <c r="E153" s="42">
        <f t="shared" si="49"/>
        <v>0</v>
      </c>
      <c r="F153" s="42">
        <f t="shared" si="49"/>
        <v>0</v>
      </c>
      <c r="G153" s="42">
        <f t="shared" si="49"/>
        <v>0</v>
      </c>
      <c r="H153" s="42">
        <f t="shared" si="49"/>
        <v>0</v>
      </c>
      <c r="I153" s="42">
        <f t="shared" si="49"/>
        <v>0</v>
      </c>
      <c r="J153" s="42">
        <f t="shared" si="49"/>
        <v>0</v>
      </c>
      <c r="K153" s="57"/>
      <c r="L153" s="14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</row>
    <row r="154" spans="1:49">
      <c r="A154" s="79" t="s">
        <v>21</v>
      </c>
      <c r="B154" s="135" t="s">
        <v>18</v>
      </c>
      <c r="C154" s="42">
        <f t="shared" ref="C154:J155" si="50">C38*C43*C$149</f>
        <v>0</v>
      </c>
      <c r="D154" s="42">
        <f t="shared" si="50"/>
        <v>0</v>
      </c>
      <c r="E154" s="42">
        <f t="shared" si="50"/>
        <v>0</v>
      </c>
      <c r="F154" s="42">
        <f t="shared" si="50"/>
        <v>0</v>
      </c>
      <c r="G154" s="42">
        <f t="shared" si="50"/>
        <v>0</v>
      </c>
      <c r="H154" s="42">
        <f t="shared" si="50"/>
        <v>0</v>
      </c>
      <c r="I154" s="42">
        <f t="shared" si="50"/>
        <v>0</v>
      </c>
      <c r="J154" s="42">
        <f t="shared" si="50"/>
        <v>0</v>
      </c>
      <c r="K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</row>
    <row r="155" spans="1:49">
      <c r="A155" s="79" t="s">
        <v>17</v>
      </c>
      <c r="B155" s="135" t="s">
        <v>18</v>
      </c>
      <c r="C155" s="42">
        <f t="shared" si="50"/>
        <v>0</v>
      </c>
      <c r="D155" s="42">
        <f t="shared" si="50"/>
        <v>0</v>
      </c>
      <c r="E155" s="42">
        <f t="shared" si="50"/>
        <v>0</v>
      </c>
      <c r="F155" s="42">
        <f t="shared" si="50"/>
        <v>0</v>
      </c>
      <c r="G155" s="42">
        <f t="shared" si="50"/>
        <v>0</v>
      </c>
      <c r="H155" s="42">
        <f t="shared" si="50"/>
        <v>0</v>
      </c>
      <c r="I155" s="42">
        <f t="shared" si="50"/>
        <v>0</v>
      </c>
      <c r="J155" s="42">
        <f t="shared" si="50"/>
        <v>0</v>
      </c>
      <c r="K155" s="57"/>
      <c r="L155" s="14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</row>
    <row r="156" spans="1:49">
      <c r="A156" s="87" t="s">
        <v>23</v>
      </c>
      <c r="B156" s="146" t="s">
        <v>18</v>
      </c>
      <c r="C156" s="52">
        <f t="shared" ref="C156:J156" si="51">C38*C45*C$149</f>
        <v>0</v>
      </c>
      <c r="D156" s="52">
        <f t="shared" si="51"/>
        <v>0</v>
      </c>
      <c r="E156" s="52">
        <f t="shared" si="51"/>
        <v>0</v>
      </c>
      <c r="F156" s="52">
        <f t="shared" si="51"/>
        <v>0</v>
      </c>
      <c r="G156" s="52">
        <f t="shared" si="51"/>
        <v>0</v>
      </c>
      <c r="H156" s="52">
        <f t="shared" si="51"/>
        <v>0</v>
      </c>
      <c r="I156" s="52">
        <f t="shared" si="51"/>
        <v>0</v>
      </c>
      <c r="J156" s="52">
        <f t="shared" si="51"/>
        <v>0</v>
      </c>
      <c r="K156" s="49"/>
      <c r="L156" s="49"/>
      <c r="M156" s="49"/>
      <c r="N156" s="49"/>
      <c r="O156" s="49"/>
      <c r="P156" s="49"/>
      <c r="Q156" s="49"/>
      <c r="R156" s="49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</row>
    <row r="157" spans="1:49">
      <c r="A157" s="107" t="str">
        <f t="shared" ref="A157:A162" si="52">A133</f>
        <v>EPATFUEL</v>
      </c>
      <c r="B157" s="135" t="s">
        <v>196</v>
      </c>
      <c r="C157" s="42">
        <f t="shared" ref="C157:J160" si="53">C133</f>
        <v>0</v>
      </c>
      <c r="D157" s="42">
        <f t="shared" si="53"/>
        <v>0</v>
      </c>
      <c r="E157" s="42">
        <f t="shared" si="53"/>
        <v>0</v>
      </c>
      <c r="F157" s="42">
        <f t="shared" si="53"/>
        <v>0</v>
      </c>
      <c r="G157" s="42">
        <f t="shared" si="53"/>
        <v>0</v>
      </c>
      <c r="H157" s="42">
        <f t="shared" si="53"/>
        <v>0</v>
      </c>
      <c r="I157" s="42">
        <f t="shared" si="53"/>
        <v>0</v>
      </c>
      <c r="J157" s="42">
        <f t="shared" si="53"/>
        <v>0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</row>
    <row r="158" spans="1:49">
      <c r="A158" s="107" t="str">
        <f t="shared" si="52"/>
        <v>ECOKEOVS</v>
      </c>
      <c r="B158" s="135" t="s">
        <v>197</v>
      </c>
      <c r="C158" s="42">
        <f t="shared" si="53"/>
        <v>0</v>
      </c>
      <c r="D158" s="42">
        <f t="shared" si="53"/>
        <v>0</v>
      </c>
      <c r="E158" s="42">
        <f t="shared" si="53"/>
        <v>0</v>
      </c>
      <c r="F158" s="42">
        <f t="shared" si="53"/>
        <v>0</v>
      </c>
      <c r="G158" s="42">
        <f t="shared" si="53"/>
        <v>0</v>
      </c>
      <c r="H158" s="42">
        <f t="shared" si="53"/>
        <v>0</v>
      </c>
      <c r="I158" s="42">
        <f t="shared" si="53"/>
        <v>0</v>
      </c>
      <c r="J158" s="42">
        <f t="shared" si="53"/>
        <v>0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</row>
    <row r="159" spans="1:49">
      <c r="A159" s="107" t="str">
        <f t="shared" si="52"/>
        <v>EGASWKS</v>
      </c>
      <c r="B159" s="135" t="s">
        <v>198</v>
      </c>
      <c r="C159" s="42">
        <f t="shared" si="53"/>
        <v>0</v>
      </c>
      <c r="D159" s="42">
        <f t="shared" si="53"/>
        <v>0</v>
      </c>
      <c r="E159" s="42">
        <f t="shared" si="53"/>
        <v>0</v>
      </c>
      <c r="F159" s="42">
        <f t="shared" si="53"/>
        <v>0</v>
      </c>
      <c r="G159" s="42">
        <f t="shared" si="53"/>
        <v>0</v>
      </c>
      <c r="H159" s="42">
        <f t="shared" si="53"/>
        <v>0</v>
      </c>
      <c r="I159" s="42">
        <f t="shared" si="53"/>
        <v>0</v>
      </c>
      <c r="J159" s="42">
        <f t="shared" si="53"/>
        <v>0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</row>
    <row r="160" spans="1:49">
      <c r="A160" s="107" t="str">
        <f t="shared" si="52"/>
        <v>EBKB</v>
      </c>
      <c r="B160" s="135" t="s">
        <v>201</v>
      </c>
      <c r="C160" s="42">
        <f t="shared" si="53"/>
        <v>0</v>
      </c>
      <c r="D160" s="42">
        <f t="shared" si="53"/>
        <v>0</v>
      </c>
      <c r="E160" s="42">
        <f t="shared" si="53"/>
        <v>0</v>
      </c>
      <c r="F160" s="42">
        <f t="shared" si="53"/>
        <v>0</v>
      </c>
      <c r="G160" s="42">
        <f t="shared" si="53"/>
        <v>0</v>
      </c>
      <c r="H160" s="42">
        <f t="shared" si="53"/>
        <v>0</v>
      </c>
      <c r="I160" s="42">
        <f t="shared" si="53"/>
        <v>0</v>
      </c>
      <c r="J160" s="42">
        <f t="shared" si="53"/>
        <v>0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</row>
    <row r="161" spans="1:49">
      <c r="A161" s="147" t="str">
        <f t="shared" si="52"/>
        <v>EREFINER</v>
      </c>
      <c r="B161" s="148" t="s">
        <v>226</v>
      </c>
      <c r="C161" s="149">
        <f>C137+S180</f>
        <v>-10.221767175980988</v>
      </c>
      <c r="D161" s="149">
        <f>D137+S183</f>
        <v>0</v>
      </c>
      <c r="E161" s="149">
        <f>E137</f>
        <v>0</v>
      </c>
      <c r="F161" s="149">
        <f>F137+S181</f>
        <v>-6.2813307051565399</v>
      </c>
      <c r="G161" s="149">
        <f>G137+S182</f>
        <v>-19.528625341521813</v>
      </c>
      <c r="H161" s="149">
        <f>H137</f>
        <v>0</v>
      </c>
      <c r="I161" s="149">
        <f>I137</f>
        <v>-3.1433657040000003</v>
      </c>
      <c r="J161" s="149">
        <f>J137-O174</f>
        <v>-2.1427362296208008</v>
      </c>
      <c r="K161" s="150" t="s">
        <v>233</v>
      </c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</row>
    <row r="162" spans="1:49">
      <c r="A162" s="106" t="str">
        <f t="shared" si="52"/>
        <v>ENONSPEC</v>
      </c>
      <c r="B162" s="146" t="s">
        <v>227</v>
      </c>
      <c r="C162" s="52">
        <f>C138</f>
        <v>0</v>
      </c>
      <c r="D162" s="52">
        <f>D138</f>
        <v>0</v>
      </c>
      <c r="E162" s="52">
        <f>E138</f>
        <v>0</v>
      </c>
      <c r="F162" s="52">
        <f>F138</f>
        <v>0</v>
      </c>
      <c r="G162" s="52">
        <f>G138</f>
        <v>0</v>
      </c>
      <c r="H162" s="52">
        <f>H138</f>
        <v>0</v>
      </c>
      <c r="I162" s="52">
        <f>I138</f>
        <v>0</v>
      </c>
      <c r="J162" s="52">
        <f>J138</f>
        <v>0</v>
      </c>
      <c r="K162" s="150" t="s">
        <v>234</v>
      </c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</row>
    <row r="163" spans="1:49">
      <c r="A163" s="107" t="str">
        <f>A140</f>
        <v>PIPELINE</v>
      </c>
      <c r="B163" s="135" t="s">
        <v>230</v>
      </c>
      <c r="C163" s="42">
        <f t="shared" ref="C163:J163" si="54">C140</f>
        <v>-0.72420210035999999</v>
      </c>
      <c r="D163" s="42">
        <f t="shared" si="54"/>
        <v>0</v>
      </c>
      <c r="E163" s="42">
        <f t="shared" si="54"/>
        <v>0</v>
      </c>
      <c r="F163" s="42">
        <f t="shared" si="54"/>
        <v>0</v>
      </c>
      <c r="G163" s="42">
        <f t="shared" si="54"/>
        <v>0</v>
      </c>
      <c r="H163" s="42">
        <f t="shared" si="54"/>
        <v>0</v>
      </c>
      <c r="I163" s="42">
        <f t="shared" si="54"/>
        <v>0</v>
      </c>
      <c r="J163" s="42">
        <f t="shared" si="54"/>
        <v>0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</row>
    <row r="164" spans="1:49">
      <c r="A164" s="79" t="str">
        <f>B24</f>
        <v>Oil pipelines</v>
      </c>
      <c r="B164" s="135" t="s">
        <v>18</v>
      </c>
      <c r="C164" s="42">
        <f t="shared" ref="C164:J164" si="55">C24*C163</f>
        <v>-0.21726063010799998</v>
      </c>
      <c r="D164" s="42">
        <f t="shared" si="55"/>
        <v>0</v>
      </c>
      <c r="E164" s="42">
        <f t="shared" si="55"/>
        <v>0</v>
      </c>
      <c r="F164" s="42">
        <f t="shared" si="55"/>
        <v>0</v>
      </c>
      <c r="G164" s="42">
        <f t="shared" si="55"/>
        <v>0</v>
      </c>
      <c r="H164" s="42">
        <f t="shared" si="55"/>
        <v>0</v>
      </c>
      <c r="I164" s="42">
        <f t="shared" si="55"/>
        <v>0</v>
      </c>
      <c r="J164" s="42">
        <f t="shared" si="55"/>
        <v>0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</row>
    <row r="165" spans="1:49">
      <c r="A165" s="79" t="str">
        <f>B25</f>
        <v>Gas pipelines</v>
      </c>
      <c r="B165" s="135" t="s">
        <v>18</v>
      </c>
      <c r="C165" s="42">
        <f t="shared" ref="C165:J165" si="56">C25*C163</f>
        <v>-0.28968084014400003</v>
      </c>
      <c r="D165" s="42">
        <f t="shared" si="56"/>
        <v>0</v>
      </c>
      <c r="E165" s="42">
        <f t="shared" si="56"/>
        <v>0</v>
      </c>
      <c r="F165" s="42">
        <f t="shared" si="56"/>
        <v>0</v>
      </c>
      <c r="G165" s="42">
        <f t="shared" si="56"/>
        <v>0</v>
      </c>
      <c r="H165" s="42">
        <f t="shared" si="56"/>
        <v>0</v>
      </c>
      <c r="I165" s="42">
        <f t="shared" si="56"/>
        <v>0</v>
      </c>
      <c r="J165" s="42">
        <f t="shared" si="56"/>
        <v>0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</row>
    <row r="166" spans="1:49">
      <c r="A166" s="79" t="str">
        <f>B26</f>
        <v>Rpp pipelines</v>
      </c>
      <c r="B166" s="135" t="s">
        <v>18</v>
      </c>
      <c r="C166" s="42">
        <f t="shared" ref="C166:J166" si="57">C26*C163</f>
        <v>-0.21726063010799998</v>
      </c>
      <c r="D166" s="42">
        <f t="shared" si="57"/>
        <v>0</v>
      </c>
      <c r="E166" s="42">
        <f t="shared" si="57"/>
        <v>0</v>
      </c>
      <c r="F166" s="42">
        <f t="shared" si="57"/>
        <v>0</v>
      </c>
      <c r="G166" s="42">
        <f t="shared" si="57"/>
        <v>0</v>
      </c>
      <c r="H166" s="42">
        <f t="shared" si="57"/>
        <v>0</v>
      </c>
      <c r="I166" s="42">
        <f t="shared" si="57"/>
        <v>0</v>
      </c>
      <c r="J166" s="42">
        <f t="shared" si="57"/>
        <v>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</row>
    <row r="167" spans="1:49">
      <c r="A167" s="22"/>
      <c r="B167" s="151"/>
      <c r="C167" s="49"/>
      <c r="D167" s="49"/>
      <c r="E167" s="49"/>
      <c r="F167" s="49"/>
      <c r="G167" s="49"/>
      <c r="H167" s="49"/>
      <c r="I167" s="49"/>
      <c r="J167" s="57"/>
      <c r="K167" s="57"/>
      <c r="L167" s="57"/>
      <c r="M167" s="57"/>
      <c r="N167" s="22"/>
      <c r="O167" s="22"/>
      <c r="P167" s="22"/>
      <c r="Q167" s="22"/>
      <c r="R167" s="22"/>
      <c r="S167" s="22"/>
      <c r="T167" s="22"/>
      <c r="U167" s="22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</row>
    <row r="168" spans="1:49" ht="18">
      <c r="A168" s="152" t="s">
        <v>235</v>
      </c>
      <c r="B168" s="153"/>
      <c r="C168" s="154"/>
      <c r="D168" s="155"/>
      <c r="E168" s="36"/>
      <c r="F168" s="22"/>
      <c r="G168" s="22"/>
      <c r="H168" s="152" t="s">
        <v>236</v>
      </c>
      <c r="I168" s="153"/>
      <c r="J168" s="154"/>
      <c r="K168" s="155"/>
      <c r="L168" s="36"/>
      <c r="M168" s="22"/>
      <c r="N168" s="22"/>
      <c r="O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</row>
    <row r="169" spans="1:49">
      <c r="A169" s="156" t="s">
        <v>237</v>
      </c>
      <c r="B169" s="157">
        <v>4.6329503426158158E-2</v>
      </c>
      <c r="C169" s="158" t="s">
        <v>238</v>
      </c>
      <c r="D169" s="158" t="s">
        <v>239</v>
      </c>
      <c r="E169" s="158" t="s">
        <v>240</v>
      </c>
      <c r="F169" s="22"/>
      <c r="G169" s="22"/>
      <c r="H169" s="159" t="s">
        <v>241</v>
      </c>
      <c r="I169" s="159"/>
      <c r="J169" s="160">
        <f>B169</f>
        <v>4.6329503426158158E-2</v>
      </c>
      <c r="K169" s="161" t="s">
        <v>242</v>
      </c>
      <c r="L169" s="16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</row>
    <row r="170" spans="1:49">
      <c r="A170" s="163"/>
      <c r="B170" s="164"/>
      <c r="C170" s="165">
        <v>-4.1868000000000002E-2</v>
      </c>
      <c r="D170" s="166">
        <v>3.5999999999999999E-3</v>
      </c>
      <c r="E170" s="166">
        <v>1E-3</v>
      </c>
      <c r="F170" s="22"/>
      <c r="G170" s="22"/>
      <c r="H170" s="161"/>
      <c r="I170" s="161"/>
      <c r="J170" s="161"/>
      <c r="K170" s="161"/>
      <c r="L170" s="16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</row>
    <row r="171" spans="1:49" ht="13.5" thickBot="1">
      <c r="A171" s="167"/>
      <c r="B171" s="168" t="s">
        <v>243</v>
      </c>
      <c r="C171" s="169" t="s">
        <v>244</v>
      </c>
      <c r="D171" s="169" t="s">
        <v>245</v>
      </c>
      <c r="E171" s="169" t="s">
        <v>246</v>
      </c>
      <c r="F171" s="22"/>
      <c r="G171" s="22"/>
      <c r="H171" s="170"/>
      <c r="I171" s="171" t="s">
        <v>238</v>
      </c>
      <c r="J171" s="171" t="s">
        <v>239</v>
      </c>
      <c r="K171" s="171" t="s">
        <v>240</v>
      </c>
      <c r="L171" s="172" t="s">
        <v>247</v>
      </c>
      <c r="M171" s="172"/>
      <c r="O171" s="173">
        <v>4.4000000000000004</v>
      </c>
      <c r="P171" t="s">
        <v>248</v>
      </c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</row>
    <row r="172" spans="1:49">
      <c r="A172" s="174" t="s">
        <v>249</v>
      </c>
      <c r="B172" s="175" t="s">
        <v>56</v>
      </c>
      <c r="C172" s="176">
        <v>0</v>
      </c>
      <c r="D172" s="177">
        <v>0</v>
      </c>
      <c r="E172" s="177">
        <v>0</v>
      </c>
      <c r="F172" s="22"/>
      <c r="G172" s="22"/>
      <c r="H172" s="178" t="s">
        <v>250</v>
      </c>
      <c r="I172" s="179">
        <f>C172+C176</f>
        <v>21.227964242005612</v>
      </c>
      <c r="J172" s="179">
        <f>D172+D176</f>
        <v>10.484665689170576</v>
      </c>
      <c r="K172" s="179">
        <f>E172+E176</f>
        <v>7.4240825803591868</v>
      </c>
      <c r="L172" s="180">
        <f t="shared" ref="L172:L187" si="58">IF(I172=0,0,J172/I172)</f>
        <v>0.49390820380334255</v>
      </c>
      <c r="M172" s="180">
        <f t="shared" ref="M172:M186" si="59">IF(K172=0,0,J172/K172)</f>
        <v>1.4122506822470333</v>
      </c>
      <c r="O172" s="181">
        <v>1.6</v>
      </c>
      <c r="P172" t="s">
        <v>251</v>
      </c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</row>
    <row r="173" spans="1:49">
      <c r="A173" s="174" t="s">
        <v>252</v>
      </c>
      <c r="B173" s="175" t="s">
        <v>58</v>
      </c>
      <c r="C173" s="176">
        <v>0.35395207200000006</v>
      </c>
      <c r="D173" s="177">
        <v>0.12239999999999999</v>
      </c>
      <c r="E173" s="177">
        <v>0.151</v>
      </c>
      <c r="F173" s="22"/>
      <c r="G173" s="22"/>
      <c r="H173" s="178" t="s">
        <v>74</v>
      </c>
      <c r="I173" s="179">
        <f>C178</f>
        <v>0</v>
      </c>
      <c r="J173" s="179">
        <f>D178</f>
        <v>0</v>
      </c>
      <c r="K173" s="179">
        <f>E178</f>
        <v>0</v>
      </c>
      <c r="L173" s="180">
        <f t="shared" si="58"/>
        <v>0</v>
      </c>
      <c r="M173" s="180">
        <f t="shared" si="59"/>
        <v>0</v>
      </c>
      <c r="O173" s="182">
        <f>-SUM(R76,T76,V76)</f>
        <v>486.98550673200009</v>
      </c>
      <c r="P173" t="s">
        <v>253</v>
      </c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</row>
    <row r="174" spans="1:49">
      <c r="A174" s="174" t="s">
        <v>254</v>
      </c>
      <c r="B174" s="175" t="s">
        <v>57</v>
      </c>
      <c r="C174" s="176">
        <v>1.800324E-2</v>
      </c>
      <c r="D174" s="177">
        <v>7.1999999999999998E-3</v>
      </c>
      <c r="E174" s="177">
        <v>8.0000000000000002E-3</v>
      </c>
      <c r="F174" s="22"/>
      <c r="G174" s="22"/>
      <c r="H174" s="178" t="s">
        <v>17</v>
      </c>
      <c r="I174" s="179">
        <f>C185</f>
        <v>0</v>
      </c>
      <c r="J174" s="179">
        <f>D185</f>
        <v>0</v>
      </c>
      <c r="K174" s="179">
        <f>E185</f>
        <v>0</v>
      </c>
      <c r="L174" s="180">
        <f t="shared" si="58"/>
        <v>0</v>
      </c>
      <c r="M174" s="180">
        <f t="shared" si="59"/>
        <v>0</v>
      </c>
      <c r="O174" s="183">
        <f>O173*O171/1000</f>
        <v>2.1427362296208008</v>
      </c>
      <c r="P174" t="s">
        <v>255</v>
      </c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</row>
    <row r="175" spans="1:49">
      <c r="A175" s="174" t="s">
        <v>256</v>
      </c>
      <c r="B175" s="175" t="s">
        <v>59</v>
      </c>
      <c r="C175" s="176">
        <v>0</v>
      </c>
      <c r="D175" s="177">
        <v>0</v>
      </c>
      <c r="E175" s="177">
        <v>0</v>
      </c>
      <c r="F175" s="22"/>
      <c r="G175" s="22"/>
      <c r="H175" s="178" t="s">
        <v>257</v>
      </c>
      <c r="I175" s="179">
        <f>C197+C198</f>
        <v>11.575652832726462</v>
      </c>
      <c r="J175" s="179">
        <f>D197+D198</f>
        <v>3.5382653575058978</v>
      </c>
      <c r="K175" s="179">
        <f>E197+E198</f>
        <v>6.0839520728435339</v>
      </c>
      <c r="L175" s="180">
        <f t="shared" si="58"/>
        <v>0.30566443280871231</v>
      </c>
      <c r="M175" s="180">
        <f t="shared" si="59"/>
        <v>0.58157350931467378</v>
      </c>
      <c r="O175" s="183">
        <f>O174/O172</f>
        <v>1.3392101435130004</v>
      </c>
      <c r="P175" t="s">
        <v>258</v>
      </c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</row>
    <row r="176" spans="1:49">
      <c r="A176" s="174" t="s">
        <v>229</v>
      </c>
      <c r="B176" s="175" t="s">
        <v>67</v>
      </c>
      <c r="C176" s="176">
        <v>21.227964242005612</v>
      </c>
      <c r="D176" s="177">
        <v>10.484665689170576</v>
      </c>
      <c r="E176" s="177">
        <v>7.4240825803591868</v>
      </c>
      <c r="F176" s="22"/>
      <c r="G176" s="22"/>
      <c r="H176" s="178" t="s">
        <v>259</v>
      </c>
      <c r="I176" s="179">
        <f>C199</f>
        <v>0</v>
      </c>
      <c r="J176" s="179">
        <f>D199</f>
        <v>0</v>
      </c>
      <c r="K176" s="179">
        <f>E199</f>
        <v>4.9277372928533021E-4</v>
      </c>
      <c r="L176" s="180">
        <f t="shared" si="58"/>
        <v>0</v>
      </c>
      <c r="M176" s="180">
        <f t="shared" si="59"/>
        <v>0</v>
      </c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</row>
    <row r="177" spans="1:49">
      <c r="A177" s="174" t="s">
        <v>260</v>
      </c>
      <c r="B177" s="175" t="s">
        <v>72</v>
      </c>
      <c r="C177" s="176">
        <v>0.20543706139952081</v>
      </c>
      <c r="D177" s="177">
        <v>3.3750462109038898E-2</v>
      </c>
      <c r="E177" s="177">
        <v>9.2389739201354612E-2</v>
      </c>
      <c r="F177" s="22"/>
      <c r="G177" s="22"/>
      <c r="H177" s="178" t="s">
        <v>261</v>
      </c>
      <c r="I177" s="179">
        <f>C174</f>
        <v>1.800324E-2</v>
      </c>
      <c r="J177" s="179">
        <f>D174</f>
        <v>7.1999999999999998E-3</v>
      </c>
      <c r="K177" s="179">
        <f>E174</f>
        <v>8.0000000000000002E-3</v>
      </c>
      <c r="L177" s="180">
        <f t="shared" si="58"/>
        <v>0.39992801295766761</v>
      </c>
      <c r="M177" s="180">
        <f t="shared" si="59"/>
        <v>0.89999999999999991</v>
      </c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</row>
    <row r="178" spans="1:49" ht="18">
      <c r="A178" s="174" t="s">
        <v>262</v>
      </c>
      <c r="B178" s="175" t="s">
        <v>74</v>
      </c>
      <c r="C178" s="176">
        <v>0</v>
      </c>
      <c r="D178" s="177">
        <v>0</v>
      </c>
      <c r="E178" s="177">
        <v>0</v>
      </c>
      <c r="F178" s="22"/>
      <c r="G178" s="22"/>
      <c r="H178" s="178" t="s">
        <v>263</v>
      </c>
      <c r="I178" s="179">
        <f>C173</f>
        <v>0.35395207200000006</v>
      </c>
      <c r="J178" s="179">
        <f>D173</f>
        <v>0.12239999999999999</v>
      </c>
      <c r="K178" s="179">
        <f>E173</f>
        <v>0.151</v>
      </c>
      <c r="L178" s="180">
        <f t="shared" si="58"/>
        <v>0.34580953095819134</v>
      </c>
      <c r="M178" s="180">
        <f t="shared" si="59"/>
        <v>0.81059602649006623</v>
      </c>
      <c r="P178" s="152" t="s">
        <v>264</v>
      </c>
      <c r="Q178" s="154"/>
      <c r="R178" s="155"/>
      <c r="S178" s="154"/>
      <c r="T178" s="48"/>
      <c r="U178" s="22"/>
      <c r="V178" s="22"/>
      <c r="W178" s="22"/>
      <c r="X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</row>
    <row r="179" spans="1:49" ht="13.5" thickBot="1">
      <c r="A179" s="184" t="s">
        <v>265</v>
      </c>
      <c r="B179" s="185" t="s">
        <v>73</v>
      </c>
      <c r="C179" s="186">
        <v>0</v>
      </c>
      <c r="D179" s="186">
        <v>0</v>
      </c>
      <c r="E179" s="186">
        <v>0</v>
      </c>
      <c r="F179" s="22"/>
      <c r="G179" s="22"/>
      <c r="H179" s="178" t="s">
        <v>266</v>
      </c>
      <c r="I179" s="179">
        <f>C175</f>
        <v>0</v>
      </c>
      <c r="J179" s="179">
        <f>D175</f>
        <v>0</v>
      </c>
      <c r="K179" s="179">
        <f>E175</f>
        <v>0</v>
      </c>
      <c r="L179" s="180">
        <f t="shared" si="58"/>
        <v>0</v>
      </c>
      <c r="M179" s="180">
        <f t="shared" si="59"/>
        <v>0</v>
      </c>
      <c r="P179" s="187" t="s">
        <v>267</v>
      </c>
      <c r="Q179" s="187" t="s">
        <v>268</v>
      </c>
      <c r="R179" s="187" t="s">
        <v>269</v>
      </c>
      <c r="S179" s="188" t="s">
        <v>238</v>
      </c>
      <c r="U179" s="22"/>
      <c r="V179" s="22"/>
      <c r="W179" s="22"/>
      <c r="X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</row>
    <row r="180" spans="1:49">
      <c r="A180" s="189" t="s">
        <v>270</v>
      </c>
      <c r="B180" s="190" t="s">
        <v>270</v>
      </c>
      <c r="C180" s="191">
        <v>21.805356615405135</v>
      </c>
      <c r="D180" s="192">
        <v>10.648016151279615</v>
      </c>
      <c r="E180" s="192">
        <v>7.6754723195605408</v>
      </c>
      <c r="F180" s="22"/>
      <c r="G180" s="22"/>
      <c r="H180" s="178" t="s">
        <v>271</v>
      </c>
      <c r="I180" s="179">
        <f>C189+C181+C186+C187</f>
        <v>3.8139098639316047</v>
      </c>
      <c r="J180" s="179">
        <f>D189+D181+D186+D187</f>
        <v>0.9498850893806825</v>
      </c>
      <c r="K180" s="179">
        <f>E189+E181+E186+E187</f>
        <v>1.7730109288203517</v>
      </c>
      <c r="L180" s="180">
        <f t="shared" si="58"/>
        <v>0.24905808560496093</v>
      </c>
      <c r="M180" s="180">
        <f t="shared" si="59"/>
        <v>0.53574688905763002</v>
      </c>
      <c r="O180" s="193" t="s">
        <v>216</v>
      </c>
      <c r="P180" s="194">
        <f>-C137</f>
        <v>10.571083848000001</v>
      </c>
      <c r="Q180" s="195">
        <v>0.8</v>
      </c>
      <c r="R180" s="194">
        <f>IF(P$184&gt;0,P180*Q180*N$206/Q$184,0)</f>
        <v>0.2794533376152108</v>
      </c>
      <c r="S180" s="196">
        <f>R180/Q180</f>
        <v>0.34931667201901345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</row>
    <row r="181" spans="1:49">
      <c r="A181" s="174" t="s">
        <v>272</v>
      </c>
      <c r="B181" s="175" t="s">
        <v>68</v>
      </c>
      <c r="C181" s="176">
        <v>0</v>
      </c>
      <c r="D181" s="177">
        <v>0</v>
      </c>
      <c r="E181" s="177">
        <v>0</v>
      </c>
      <c r="F181" s="22"/>
      <c r="G181" s="22"/>
      <c r="H181" s="178" t="s">
        <v>273</v>
      </c>
      <c r="I181" s="179">
        <f>C182+C183+C188</f>
        <v>0.13418874790191321</v>
      </c>
      <c r="J181" s="179">
        <f>D182+D183+D188</f>
        <v>4.2375539127212043E-2</v>
      </c>
      <c r="K181" s="179">
        <f>E182+E183+E188</f>
        <v>4.588387330270513E-2</v>
      </c>
      <c r="L181" s="180">
        <f t="shared" si="58"/>
        <v>0.31579055464610883</v>
      </c>
      <c r="M181" s="180">
        <f t="shared" si="59"/>
        <v>0.9235388400550254</v>
      </c>
      <c r="O181" s="193" t="s">
        <v>219</v>
      </c>
      <c r="P181" s="194">
        <f>-F137</f>
        <v>6.4959876720000009</v>
      </c>
      <c r="Q181" s="195">
        <v>0.8</v>
      </c>
      <c r="R181" s="194">
        <f>IF(P$184&gt;0,P181*Q181*N$206/Q$184,0)</f>
        <v>0.17172557347476863</v>
      </c>
      <c r="S181" s="196">
        <f>R181/Q181</f>
        <v>0.21465696684346078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</row>
    <row r="182" spans="1:49">
      <c r="A182" s="174" t="s">
        <v>274</v>
      </c>
      <c r="B182" s="175" t="s">
        <v>80</v>
      </c>
      <c r="C182" s="176">
        <v>0.13418874790191321</v>
      </c>
      <c r="D182" s="177">
        <v>4.2375539127212043E-2</v>
      </c>
      <c r="E182" s="177">
        <v>4.588387330270513E-2</v>
      </c>
      <c r="F182" s="22"/>
      <c r="G182" s="22"/>
      <c r="H182" s="178" t="s">
        <v>275</v>
      </c>
      <c r="I182" s="179">
        <f>C177+C179</f>
        <v>0.20543706139952081</v>
      </c>
      <c r="J182" s="179">
        <f>D177+D179</f>
        <v>3.3750462109038898E-2</v>
      </c>
      <c r="K182" s="179">
        <f>E177+E179</f>
        <v>9.2389739201354612E-2</v>
      </c>
      <c r="L182" s="180">
        <f t="shared" si="58"/>
        <v>0.16428614135695394</v>
      </c>
      <c r="M182" s="180">
        <f t="shared" si="59"/>
        <v>0.36530530771910708</v>
      </c>
      <c r="O182" s="193" t="s">
        <v>220</v>
      </c>
      <c r="P182" s="194">
        <f>-G137</f>
        <v>20.195992764</v>
      </c>
      <c r="Q182" s="195">
        <v>0.8</v>
      </c>
      <c r="R182" s="194">
        <f>IF(P$184&gt;0,P182*Q182*N$206/Q$184,0)</f>
        <v>0.53389393798254992</v>
      </c>
      <c r="S182" s="196">
        <f>R182/Q182</f>
        <v>0.66736742247818737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</row>
    <row r="183" spans="1:49">
      <c r="A183" s="174" t="s">
        <v>276</v>
      </c>
      <c r="B183" s="175" t="s">
        <v>75</v>
      </c>
      <c r="C183" s="176">
        <v>0</v>
      </c>
      <c r="D183" s="177">
        <v>0</v>
      </c>
      <c r="E183" s="177">
        <v>0</v>
      </c>
      <c r="F183" s="22"/>
      <c r="G183" s="22"/>
      <c r="H183" s="178" t="s">
        <v>277</v>
      </c>
      <c r="I183" s="179">
        <f>C184</f>
        <v>0</v>
      </c>
      <c r="J183" s="179">
        <f>D184</f>
        <v>0</v>
      </c>
      <c r="K183" s="179">
        <f>E184</f>
        <v>0</v>
      </c>
      <c r="L183" s="180">
        <f t="shared" si="58"/>
        <v>0</v>
      </c>
      <c r="M183" s="180">
        <f t="shared" si="59"/>
        <v>0</v>
      </c>
      <c r="O183" s="193" t="s">
        <v>217</v>
      </c>
      <c r="P183" s="194">
        <f>-D137</f>
        <v>0</v>
      </c>
      <c r="Q183" s="195">
        <v>0.8</v>
      </c>
      <c r="R183" s="194">
        <f>IF(P$184&gt;0,P183*Q183*N$206/Q$184,0)</f>
        <v>0</v>
      </c>
      <c r="S183" s="196">
        <f>R183/Q183</f>
        <v>0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</row>
    <row r="184" spans="1:49">
      <c r="A184" s="174" t="s">
        <v>278</v>
      </c>
      <c r="B184" s="175" t="s">
        <v>82</v>
      </c>
      <c r="C184" s="176">
        <v>0</v>
      </c>
      <c r="D184" s="177">
        <v>0</v>
      </c>
      <c r="E184" s="177">
        <v>0</v>
      </c>
      <c r="F184" s="22"/>
      <c r="G184" s="22"/>
      <c r="H184" s="178" t="s">
        <v>279</v>
      </c>
      <c r="I184" s="179">
        <f>C200</f>
        <v>0</v>
      </c>
      <c r="J184" s="179">
        <f>D200</f>
        <v>0</v>
      </c>
      <c r="K184" s="179">
        <f>E200</f>
        <v>0</v>
      </c>
      <c r="L184" s="180">
        <f t="shared" si="58"/>
        <v>0</v>
      </c>
      <c r="M184" s="180">
        <f t="shared" si="59"/>
        <v>0</v>
      </c>
      <c r="P184" s="197">
        <f>SUM(P180:P183)</f>
        <v>37.263064284000002</v>
      </c>
      <c r="Q184" s="113">
        <f>MAX(N206,SUMPRODUCT(P180:P183,Q180:Q183))</f>
        <v>29.8104514272</v>
      </c>
      <c r="R184" s="197">
        <f>SUM(R180:R183)</f>
        <v>0.98507284907252934</v>
      </c>
      <c r="S184" s="197">
        <f>SUM(S180:S183)</f>
        <v>1.2313410613406615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</row>
    <row r="185" spans="1:49">
      <c r="A185" s="174" t="s">
        <v>280</v>
      </c>
      <c r="B185" s="175" t="s">
        <v>17</v>
      </c>
      <c r="C185" s="176">
        <v>0</v>
      </c>
      <c r="D185" s="177">
        <v>0</v>
      </c>
      <c r="E185" s="177">
        <v>0</v>
      </c>
      <c r="F185" s="22"/>
      <c r="G185" s="22"/>
      <c r="H185" s="178" t="s">
        <v>281</v>
      </c>
      <c r="I185" s="179">
        <f>SUM(C191:C195)</f>
        <v>58.452441577235739</v>
      </c>
      <c r="J185" s="179">
        <f>SUM(D191:D195)</f>
        <v>24.196920249533125</v>
      </c>
      <c r="K185" s="179">
        <f>SUM(E191:E195)</f>
        <v>21.717388031743585</v>
      </c>
      <c r="L185" s="180">
        <f t="shared" si="58"/>
        <v>0.41395910241936923</v>
      </c>
      <c r="M185" s="180">
        <f t="shared" si="59"/>
        <v>1.1141726718777272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197"/>
      <c r="Z185" s="22"/>
      <c r="AA185" s="197"/>
      <c r="AB185" s="197"/>
      <c r="AC185" s="198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</row>
    <row r="186" spans="1:49">
      <c r="A186" s="174" t="s">
        <v>282</v>
      </c>
      <c r="B186" s="175" t="s">
        <v>71</v>
      </c>
      <c r="C186" s="176">
        <v>0</v>
      </c>
      <c r="D186" s="177">
        <v>0</v>
      </c>
      <c r="E186" s="177">
        <v>0</v>
      </c>
      <c r="F186" s="22"/>
      <c r="G186" s="22"/>
      <c r="H186" s="178" t="s">
        <v>283</v>
      </c>
      <c r="I186" s="179">
        <f>C204</f>
        <v>0</v>
      </c>
      <c r="J186" s="179">
        <f>D204</f>
        <v>0</v>
      </c>
      <c r="K186" s="179">
        <f>E204</f>
        <v>0</v>
      </c>
      <c r="L186" s="180">
        <f t="shared" si="58"/>
        <v>0</v>
      </c>
      <c r="M186" s="180">
        <f t="shared" si="59"/>
        <v>0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</row>
    <row r="187" spans="1:49">
      <c r="A187" s="174" t="s">
        <v>284</v>
      </c>
      <c r="B187" s="175" t="s">
        <v>88</v>
      </c>
      <c r="C187" s="176">
        <v>0</v>
      </c>
      <c r="D187" s="177">
        <v>3.5999999999999999E-3</v>
      </c>
      <c r="E187" s="177">
        <v>3.0000000000000001E-3</v>
      </c>
      <c r="F187" s="22"/>
      <c r="G187" s="22"/>
      <c r="H187" s="25" t="s">
        <v>285</v>
      </c>
      <c r="I187" s="199">
        <f>SUM(I172:I186)</f>
        <v>95.781549637200854</v>
      </c>
      <c r="J187" s="199">
        <f>SUM(J172:J186)</f>
        <v>39.375462386826534</v>
      </c>
      <c r="K187" s="199">
        <f>SUM(K172:K186)</f>
        <v>37.296199999999999</v>
      </c>
      <c r="L187" s="199">
        <f t="shared" si="58"/>
        <v>0.41109652679427305</v>
      </c>
      <c r="M187" s="199">
        <f>IF(K187=0,0,J187/K187)</f>
        <v>1.0557499795375007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</row>
    <row r="188" spans="1:49">
      <c r="A188" s="174" t="s">
        <v>286</v>
      </c>
      <c r="B188" s="175" t="s">
        <v>79</v>
      </c>
      <c r="C188" s="176">
        <v>0</v>
      </c>
      <c r="D188" s="177">
        <v>0</v>
      </c>
      <c r="E188" s="177">
        <v>0</v>
      </c>
      <c r="F188" s="22"/>
      <c r="G188" s="22"/>
      <c r="J188" s="200">
        <f t="array" ref="J188">MAX(0.01,SUM(IF($I172:$I186&gt;0,J172:J186,0)))</f>
        <v>39.375462386826534</v>
      </c>
      <c r="K188" s="200">
        <f t="array" ref="K188">MAX(0.01,SUM(IF($I172:$I186&gt;0,K172:K186,0)))</f>
        <v>37.295707226270714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</row>
    <row r="189" spans="1:49" ht="13.5" thickBot="1">
      <c r="A189" s="174" t="s">
        <v>287</v>
      </c>
      <c r="B189" s="175" t="s">
        <v>81</v>
      </c>
      <c r="C189" s="176">
        <v>3.8139098639316047</v>
      </c>
      <c r="D189" s="177">
        <v>0.94628508938068245</v>
      </c>
      <c r="E189" s="177">
        <v>1.7700109288203518</v>
      </c>
      <c r="F189" s="22"/>
      <c r="G189" s="22"/>
      <c r="H189" s="171"/>
      <c r="I189" s="172" t="s">
        <v>288</v>
      </c>
      <c r="J189" s="172" t="s">
        <v>289</v>
      </c>
      <c r="K189" s="172" t="s">
        <v>290</v>
      </c>
      <c r="L189" s="172" t="s">
        <v>291</v>
      </c>
      <c r="M189" s="172" t="s">
        <v>292</v>
      </c>
      <c r="N189" s="201">
        <f>SUMPRODUCT(I172:I186,J190:J204,M190:M204)</f>
        <v>1.1241753827729268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</row>
    <row r="190" spans="1:49">
      <c r="A190" s="189" t="s">
        <v>270</v>
      </c>
      <c r="B190" s="190" t="s">
        <v>270</v>
      </c>
      <c r="C190" s="191">
        <v>3.948098611833518</v>
      </c>
      <c r="D190" s="192">
        <v>0.99226062850789454</v>
      </c>
      <c r="E190" s="192">
        <v>1.8188948021230569</v>
      </c>
      <c r="F190" s="22"/>
      <c r="G190" s="22"/>
      <c r="H190" s="178" t="s">
        <v>250</v>
      </c>
      <c r="I190" s="202">
        <v>0.82</v>
      </c>
      <c r="J190" s="203">
        <f>MAX(0.15,L172*J$187/J$188*(1-J$169))</f>
        <v>0.47102568198302797</v>
      </c>
      <c r="K190" s="180">
        <f t="shared" ref="K190:K204" ca="1" si="60">MAX(0.01,(MAX(I190,MIN(1,J190+K172/(I172+Tiny)*K$187/K$188))-J190)/J190)</f>
        <v>0.74249852917972292</v>
      </c>
      <c r="L190" s="204">
        <f>J190*K190*I172</f>
        <v>7.4241806715361101</v>
      </c>
      <c r="M190" s="196">
        <v>0.1</v>
      </c>
      <c r="N190" s="204">
        <f t="shared" ref="N190:N204" ca="1" si="61">J190*I172*M190*$O$175/($N$189+Tiny)*K190</f>
        <v>0.88442944100283016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</row>
    <row r="191" spans="1:49">
      <c r="A191" s="174" t="s">
        <v>293</v>
      </c>
      <c r="B191" s="175" t="s">
        <v>294</v>
      </c>
      <c r="C191" s="176">
        <v>4.1390149747615318E-2</v>
      </c>
      <c r="D191" s="177">
        <v>8.7997164508342163E-3</v>
      </c>
      <c r="E191" s="177">
        <v>1.9379600084096199E-2</v>
      </c>
      <c r="F191" s="22"/>
      <c r="G191" s="22"/>
      <c r="H191" s="178" t="s">
        <v>74</v>
      </c>
      <c r="I191" s="202">
        <v>0.82</v>
      </c>
      <c r="J191" s="203">
        <f t="shared" ref="J191:J204" si="62">MAX(0.15,L173*J$187/J$188*(1-J$169))</f>
        <v>0.15</v>
      </c>
      <c r="K191" s="180">
        <f t="shared" ca="1" si="60"/>
        <v>4.4666666666666668</v>
      </c>
      <c r="L191" s="204">
        <f t="shared" ref="L191:L204" si="63">J191*K191*I173</f>
        <v>0</v>
      </c>
      <c r="M191" s="196">
        <v>0.1</v>
      </c>
      <c r="N191" s="204">
        <f t="shared" ca="1" si="61"/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</row>
    <row r="192" spans="1:49">
      <c r="A192" s="174" t="s">
        <v>295</v>
      </c>
      <c r="B192" s="175" t="s">
        <v>62</v>
      </c>
      <c r="C192" s="176">
        <v>1.217772648</v>
      </c>
      <c r="D192" s="177">
        <v>0.1908</v>
      </c>
      <c r="E192" s="177">
        <v>0.46700000000000003</v>
      </c>
      <c r="F192" s="22"/>
      <c r="G192" s="22"/>
      <c r="H192" s="178" t="s">
        <v>17</v>
      </c>
      <c r="I192" s="202">
        <v>0.82</v>
      </c>
      <c r="J192" s="203">
        <f t="shared" si="62"/>
        <v>0.15</v>
      </c>
      <c r="K192" s="180">
        <f t="shared" ca="1" si="60"/>
        <v>4.4666666666666668</v>
      </c>
      <c r="L192" s="204">
        <f t="shared" si="63"/>
        <v>0</v>
      </c>
      <c r="M192" s="196">
        <v>0.1</v>
      </c>
      <c r="N192" s="204">
        <f t="shared" ca="1" si="61"/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</row>
    <row r="193" spans="1:49">
      <c r="A193" s="174" t="s">
        <v>296</v>
      </c>
      <c r="B193" s="175" t="s">
        <v>297</v>
      </c>
      <c r="C193" s="176">
        <v>1.0443328092845952</v>
      </c>
      <c r="D193" s="177">
        <v>0.28599716450834212</v>
      </c>
      <c r="E193" s="177">
        <v>0.57949247089490385</v>
      </c>
      <c r="F193" s="22"/>
      <c r="G193" s="22"/>
      <c r="H193" s="178" t="s">
        <v>257</v>
      </c>
      <c r="I193" s="205">
        <v>0.78</v>
      </c>
      <c r="J193" s="203">
        <f t="shared" si="62"/>
        <v>0.2915031514216464</v>
      </c>
      <c r="K193" s="180">
        <f t="shared" ca="1" si="60"/>
        <v>1.8030292603869735</v>
      </c>
      <c r="L193" s="204">
        <f t="shared" si="63"/>
        <v>6.0840324572194451</v>
      </c>
      <c r="M193" s="196">
        <v>0</v>
      </c>
      <c r="N193" s="204">
        <f t="shared" ca="1" si="61"/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</row>
    <row r="194" spans="1:49">
      <c r="A194" s="174" t="s">
        <v>298</v>
      </c>
      <c r="B194" s="175" t="s">
        <v>61</v>
      </c>
      <c r="C194" s="176">
        <v>56.148945970203528</v>
      </c>
      <c r="D194" s="177">
        <v>23.71132336857395</v>
      </c>
      <c r="E194" s="177">
        <v>20.651515960764584</v>
      </c>
      <c r="F194" s="22"/>
      <c r="G194" s="22"/>
      <c r="H194" s="178" t="s">
        <v>259</v>
      </c>
      <c r="I194" s="205">
        <v>0.78</v>
      </c>
      <c r="J194" s="203">
        <f t="shared" si="62"/>
        <v>0.15</v>
      </c>
      <c r="K194" s="180">
        <f t="shared" ca="1" si="60"/>
        <v>5.666666666666667</v>
      </c>
      <c r="L194" s="204">
        <f t="shared" si="63"/>
        <v>0</v>
      </c>
      <c r="M194" s="196">
        <v>0.1</v>
      </c>
      <c r="N194" s="204">
        <f t="shared" ca="1" si="61"/>
        <v>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</row>
    <row r="195" spans="1:49">
      <c r="A195" s="174" t="s">
        <v>159</v>
      </c>
      <c r="B195" s="175" t="s">
        <v>66</v>
      </c>
      <c r="C195" s="176">
        <v>0</v>
      </c>
      <c r="D195" s="177">
        <v>0</v>
      </c>
      <c r="E195" s="177">
        <v>0</v>
      </c>
      <c r="F195" s="22"/>
      <c r="G195" s="22"/>
      <c r="H195" s="178" t="s">
        <v>261</v>
      </c>
      <c r="I195" s="205">
        <v>0.78</v>
      </c>
      <c r="J195" s="203">
        <f t="shared" si="62"/>
        <v>0.38139954671112875</v>
      </c>
      <c r="K195" s="180">
        <f t="shared" ca="1" si="60"/>
        <v>1.1651044402290456</v>
      </c>
      <c r="L195" s="204">
        <f t="shared" si="63"/>
        <v>8.0001052565300771E-3</v>
      </c>
      <c r="M195" s="196">
        <v>0.1</v>
      </c>
      <c r="N195" s="204">
        <f t="shared" ca="1" si="61"/>
        <v>9.530383126482735E-4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</row>
    <row r="196" spans="1:49">
      <c r="A196" s="189" t="s">
        <v>270</v>
      </c>
      <c r="B196" s="190" t="s">
        <v>270</v>
      </c>
      <c r="C196" s="191">
        <v>58.452441577235739</v>
      </c>
      <c r="D196" s="192">
        <v>24.196920249533125</v>
      </c>
      <c r="E196" s="192">
        <v>21.717388031743585</v>
      </c>
      <c r="F196" s="22"/>
      <c r="G196" s="22"/>
      <c r="H196" s="178" t="s">
        <v>263</v>
      </c>
      <c r="I196" s="205">
        <v>0.78</v>
      </c>
      <c r="J196" s="203">
        <f t="shared" si="62"/>
        <v>0.32978834710886568</v>
      </c>
      <c r="K196" s="180">
        <f t="shared" ca="1" si="60"/>
        <v>1.3651533076834761</v>
      </c>
      <c r="L196" s="204">
        <f t="shared" si="63"/>
        <v>0.1593533473793618</v>
      </c>
      <c r="M196" s="196">
        <v>0</v>
      </c>
      <c r="N196" s="204">
        <f t="shared" ca="1" si="61"/>
        <v>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</row>
    <row r="197" spans="1:49">
      <c r="A197" s="206" t="s">
        <v>299</v>
      </c>
      <c r="B197" s="175" t="s">
        <v>300</v>
      </c>
      <c r="C197" s="176">
        <v>8.719742673782612</v>
      </c>
      <c r="D197" s="177">
        <v>2.7263485698879091</v>
      </c>
      <c r="E197" s="177">
        <v>4.4504152148580793</v>
      </c>
      <c r="F197" s="22"/>
      <c r="G197" s="22"/>
      <c r="H197" s="178" t="s">
        <v>266</v>
      </c>
      <c r="I197" s="205">
        <v>0.78</v>
      </c>
      <c r="J197" s="203">
        <f t="shared" si="62"/>
        <v>0.15</v>
      </c>
      <c r="K197" s="180">
        <f t="shared" ca="1" si="60"/>
        <v>4.2</v>
      </c>
      <c r="L197" s="204">
        <f t="shared" si="63"/>
        <v>0</v>
      </c>
      <c r="M197" s="196">
        <v>0</v>
      </c>
      <c r="N197" s="204">
        <f t="shared" ca="1" si="61"/>
        <v>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</row>
    <row r="198" spans="1:49">
      <c r="A198" s="206" t="s">
        <v>301</v>
      </c>
      <c r="B198" s="175" t="s">
        <v>302</v>
      </c>
      <c r="C198" s="176">
        <v>2.8559101589438498</v>
      </c>
      <c r="D198" s="177">
        <v>0.81191678761798869</v>
      </c>
      <c r="E198" s="177">
        <v>1.6335368579854546</v>
      </c>
      <c r="F198" s="22"/>
      <c r="G198" s="22"/>
      <c r="H198" s="178" t="s">
        <v>271</v>
      </c>
      <c r="I198" s="205">
        <v>0.78</v>
      </c>
      <c r="J198" s="203">
        <f t="shared" si="62"/>
        <v>0.23751934817461351</v>
      </c>
      <c r="K198" s="180">
        <f t="shared" ca="1" si="60"/>
        <v>2.2839429966209708</v>
      </c>
      <c r="L198" s="204">
        <f t="shared" si="63"/>
        <v>2.0689723089888883</v>
      </c>
      <c r="M198" s="196">
        <v>0.1</v>
      </c>
      <c r="N198" s="204">
        <f t="shared" ca="1" si="61"/>
        <v>0.24647299192286057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</row>
    <row r="199" spans="1:49">
      <c r="A199" s="206" t="s">
        <v>303</v>
      </c>
      <c r="B199" s="175" t="s">
        <v>54</v>
      </c>
      <c r="C199" s="176">
        <v>0</v>
      </c>
      <c r="D199" s="177">
        <v>0</v>
      </c>
      <c r="E199" s="177">
        <v>4.9277372928533021E-4</v>
      </c>
      <c r="F199" s="22"/>
      <c r="G199" s="22"/>
      <c r="H199" s="178" t="s">
        <v>273</v>
      </c>
      <c r="I199" s="205">
        <v>0.78</v>
      </c>
      <c r="J199" s="203">
        <f t="shared" si="62"/>
        <v>0.30116013506268358</v>
      </c>
      <c r="K199" s="180">
        <f t="shared" ca="1" si="60"/>
        <v>1.5899842282832373</v>
      </c>
      <c r="L199" s="204">
        <f t="shared" si="63"/>
        <v>6.4254921921459721E-2</v>
      </c>
      <c r="M199" s="196">
        <v>0.1</v>
      </c>
      <c r="N199" s="204">
        <f t="shared" ca="1" si="61"/>
        <v>7.654574584176824E-3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</row>
    <row r="200" spans="1:49">
      <c r="A200" s="174" t="s">
        <v>304</v>
      </c>
      <c r="B200" s="175" t="s">
        <v>87</v>
      </c>
      <c r="C200" s="176">
        <v>0</v>
      </c>
      <c r="D200" s="177">
        <v>0</v>
      </c>
      <c r="E200" s="177">
        <v>0</v>
      </c>
      <c r="F200" s="22"/>
      <c r="G200" s="22"/>
      <c r="H200" s="178" t="s">
        <v>275</v>
      </c>
      <c r="I200" s="205">
        <v>0.78</v>
      </c>
      <c r="J200" s="203">
        <f t="shared" si="62"/>
        <v>0.15667484600808662</v>
      </c>
      <c r="K200" s="180">
        <f t="shared" ca="1" si="60"/>
        <v>3.9784634858344843</v>
      </c>
      <c r="L200" s="204">
        <f t="shared" si="63"/>
        <v>0.12805408793250248</v>
      </c>
      <c r="M200" s="196">
        <v>0.9</v>
      </c>
      <c r="N200" s="204">
        <f t="shared" ca="1" si="61"/>
        <v>0.13729370199493482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</row>
    <row r="201" spans="1:49">
      <c r="A201" s="189" t="s">
        <v>270</v>
      </c>
      <c r="B201" s="190" t="s">
        <v>270</v>
      </c>
      <c r="C201" s="191">
        <v>11.575652832726462</v>
      </c>
      <c r="D201" s="192">
        <v>3.5382653575058978</v>
      </c>
      <c r="E201" s="192">
        <v>6.0844448465728194</v>
      </c>
      <c r="F201" s="22"/>
      <c r="G201" s="22"/>
      <c r="H201" s="178" t="s">
        <v>277</v>
      </c>
      <c r="I201" s="205">
        <v>0.78</v>
      </c>
      <c r="J201" s="203">
        <f t="shared" si="62"/>
        <v>0.15</v>
      </c>
      <c r="K201" s="180">
        <f t="shared" ca="1" si="60"/>
        <v>4.2</v>
      </c>
      <c r="L201" s="204">
        <f t="shared" si="63"/>
        <v>0</v>
      </c>
      <c r="M201" s="196">
        <v>0.1</v>
      </c>
      <c r="N201" s="204">
        <f t="shared" ca="1" si="61"/>
        <v>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</row>
    <row r="202" spans="1:49">
      <c r="A202" s="207" t="s">
        <v>305</v>
      </c>
      <c r="B202" s="175" t="s">
        <v>89</v>
      </c>
      <c r="C202" s="176">
        <v>0</v>
      </c>
      <c r="D202" s="177">
        <v>0</v>
      </c>
      <c r="E202" s="177">
        <v>0</v>
      </c>
      <c r="F202" s="22"/>
      <c r="G202" s="22"/>
      <c r="H202" s="178" t="s">
        <v>279</v>
      </c>
      <c r="I202" s="205">
        <v>0.78</v>
      </c>
      <c r="J202" s="203">
        <f t="shared" si="62"/>
        <v>0.15</v>
      </c>
      <c r="K202" s="180">
        <f t="shared" ca="1" si="60"/>
        <v>4.2</v>
      </c>
      <c r="L202" s="204">
        <f t="shared" si="63"/>
        <v>0</v>
      </c>
      <c r="M202" s="196">
        <v>0.1</v>
      </c>
      <c r="N202" s="204">
        <f t="shared" ca="1" si="61"/>
        <v>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</row>
    <row r="203" spans="1:49">
      <c r="A203" s="207" t="s">
        <v>306</v>
      </c>
      <c r="B203" s="175" t="s">
        <v>90</v>
      </c>
      <c r="C203" s="176">
        <v>0</v>
      </c>
      <c r="D203" s="177">
        <v>0</v>
      </c>
      <c r="E203" s="177">
        <v>0</v>
      </c>
      <c r="F203" s="22"/>
      <c r="G203" s="22"/>
      <c r="H203" s="178" t="s">
        <v>281</v>
      </c>
      <c r="I203" s="205">
        <v>0.78</v>
      </c>
      <c r="J203" s="203">
        <f t="shared" si="62"/>
        <v>0.39478058276554173</v>
      </c>
      <c r="K203" s="180">
        <f t="shared" ca="1" si="60"/>
        <v>0.97578106434692158</v>
      </c>
      <c r="L203" s="204">
        <f t="shared" si="63"/>
        <v>22.517015480313972</v>
      </c>
      <c r="M203" s="196">
        <v>0</v>
      </c>
      <c r="N203" s="204">
        <f t="shared" ca="1" si="61"/>
        <v>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</row>
    <row r="204" spans="1:49">
      <c r="A204" s="207" t="s">
        <v>307</v>
      </c>
      <c r="B204" s="175" t="s">
        <v>91</v>
      </c>
      <c r="C204" s="176">
        <v>0</v>
      </c>
      <c r="D204" s="177">
        <v>0</v>
      </c>
      <c r="E204" s="177">
        <v>0</v>
      </c>
      <c r="F204" s="22"/>
      <c r="G204" s="22"/>
      <c r="H204" s="178" t="s">
        <v>283</v>
      </c>
      <c r="I204" s="205">
        <v>0.8</v>
      </c>
      <c r="J204" s="203">
        <f t="shared" si="62"/>
        <v>0.15</v>
      </c>
      <c r="K204" s="180">
        <f t="shared" ca="1" si="60"/>
        <v>4.3333333333333339</v>
      </c>
      <c r="L204" s="204">
        <f t="shared" si="63"/>
        <v>0</v>
      </c>
      <c r="M204" s="196">
        <v>0.1</v>
      </c>
      <c r="N204" s="204">
        <f t="shared" ca="1" si="61"/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</row>
    <row r="205" spans="1:49">
      <c r="A205" s="207" t="s">
        <v>308</v>
      </c>
      <c r="B205" s="175" t="s">
        <v>92</v>
      </c>
      <c r="C205" s="176">
        <v>0</v>
      </c>
      <c r="D205" s="177">
        <v>0</v>
      </c>
      <c r="E205" s="177">
        <v>0</v>
      </c>
      <c r="F205" s="22"/>
      <c r="G205" s="22"/>
      <c r="H205" t="s">
        <v>309</v>
      </c>
      <c r="J205" s="208">
        <f>SUMPRODUCT(J190:J204,I172:I186)</f>
        <v>37.551216767269494</v>
      </c>
      <c r="L205" s="208">
        <f>SUM(L190:L204)</f>
        <v>38.45386338054827</v>
      </c>
      <c r="M205" s="6" t="s">
        <v>310</v>
      </c>
      <c r="N205" s="208">
        <f>MIN(MAX(0,L205-K187),SUM(N190:N204))</f>
        <v>1.1576633805482714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</row>
    <row r="206" spans="1:49">
      <c r="A206" s="207" t="s">
        <v>311</v>
      </c>
      <c r="B206" s="175" t="s">
        <v>93</v>
      </c>
      <c r="C206" s="176">
        <v>0</v>
      </c>
      <c r="D206" s="177">
        <v>0</v>
      </c>
      <c r="E206" s="177">
        <v>0</v>
      </c>
      <c r="F206" s="22"/>
      <c r="G206" s="22"/>
      <c r="J206" t="s">
        <v>312</v>
      </c>
      <c r="L206" s="208">
        <f>SUM(K172:K186)</f>
        <v>37.296199999999999</v>
      </c>
      <c r="M206" s="6" t="s">
        <v>313</v>
      </c>
      <c r="N206" s="208">
        <f>MAX(0,O174-N205)</f>
        <v>0.98507284907252934</v>
      </c>
      <c r="P206" s="200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</row>
    <row r="207" spans="1:49">
      <c r="A207" s="209" t="s">
        <v>314</v>
      </c>
      <c r="B207" s="190" t="s">
        <v>94</v>
      </c>
      <c r="C207" s="191">
        <v>0</v>
      </c>
      <c r="D207" s="192">
        <v>0</v>
      </c>
      <c r="E207" s="192">
        <v>0</v>
      </c>
      <c r="F207" s="22"/>
      <c r="G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</row>
    <row r="208" spans="1:49">
      <c r="A208" s="210"/>
      <c r="B208" s="190" t="s">
        <v>315</v>
      </c>
      <c r="C208" s="191">
        <f>SUM(C202:C207)+C201+C196+C190+C180</f>
        <v>95.78154963720084</v>
      </c>
      <c r="D208" s="192">
        <f>SUM(D202:D207)+D201+D196+D190+D180</f>
        <v>39.375462386826527</v>
      </c>
      <c r="E208" s="192">
        <f>SUM(E202:E207)+E201+E196+E190+E180</f>
        <v>37.296199999999999</v>
      </c>
      <c r="F208" s="22"/>
      <c r="G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</row>
  </sheetData>
  <phoneticPr fontId="38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71"/>
  <sheetViews>
    <sheetView zoomScale="75" workbookViewId="0">
      <selection activeCell="A11" sqref="A11"/>
    </sheetView>
  </sheetViews>
  <sheetFormatPr defaultColWidth="9.140625" defaultRowHeight="12.75"/>
  <cols>
    <col min="1" max="1" width="13.85546875" customWidth="1"/>
    <col min="2" max="2" width="31.28515625" customWidth="1"/>
    <col min="3" max="3" width="9.140625" customWidth="1"/>
    <col min="4" max="4" width="15.28515625" customWidth="1"/>
    <col min="15" max="15" width="9.140625" customWidth="1"/>
  </cols>
  <sheetData>
    <row r="1" spans="1:45" ht="18">
      <c r="A1" s="47" t="s">
        <v>526</v>
      </c>
      <c r="B1" s="221"/>
      <c r="C1" s="222"/>
      <c r="D1" s="223"/>
      <c r="E1" s="223"/>
      <c r="F1" s="223"/>
      <c r="G1" s="223"/>
      <c r="H1" s="224"/>
      <c r="I1" s="225"/>
      <c r="J1" s="225"/>
      <c r="K1" s="225"/>
      <c r="L1" s="225"/>
      <c r="M1" s="225"/>
      <c r="N1" s="8"/>
      <c r="O1" s="8"/>
      <c r="P1" s="226" t="s">
        <v>527</v>
      </c>
      <c r="Q1" s="226" t="s">
        <v>527</v>
      </c>
      <c r="R1" s="226" t="s">
        <v>527</v>
      </c>
      <c r="S1" s="226" t="s">
        <v>527</v>
      </c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</row>
    <row r="2" spans="1:45">
      <c r="C2" s="227"/>
      <c r="D2" s="228"/>
      <c r="H2" s="224"/>
      <c r="I2" s="225"/>
      <c r="J2" s="225"/>
      <c r="K2" s="225"/>
      <c r="L2" s="225"/>
      <c r="M2" s="225"/>
      <c r="N2" s="8"/>
      <c r="O2" s="8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</row>
    <row r="3" spans="1:45">
      <c r="U3" s="229"/>
      <c r="V3" s="229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</row>
    <row r="4" spans="1:45">
      <c r="U4" s="229"/>
      <c r="V4" s="229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</row>
    <row r="5" spans="1:45">
      <c r="U5" s="229"/>
      <c r="V5" s="229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</row>
    <row r="6" spans="1:45" ht="18">
      <c r="A6" s="230" t="s">
        <v>528</v>
      </c>
      <c r="B6" s="231"/>
      <c r="C6" s="222"/>
      <c r="F6" s="232" t="str">
        <f>"~FI_T: "&amp;Region</f>
        <v>~FI_T: FIM</v>
      </c>
      <c r="M6" s="55"/>
      <c r="N6" s="55"/>
      <c r="O6" s="55"/>
      <c r="P6" s="55"/>
      <c r="Q6" s="226"/>
      <c r="R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226"/>
      <c r="AJ6" s="226"/>
      <c r="AK6" s="226"/>
      <c r="AL6" s="226"/>
      <c r="AM6" s="226"/>
      <c r="AN6" s="226"/>
      <c r="AO6" s="226"/>
      <c r="AP6" s="226"/>
      <c r="AQ6" s="226"/>
      <c r="AR6" s="226"/>
      <c r="AS6" s="226"/>
    </row>
    <row r="7" spans="1:45" ht="23.25" thickBot="1">
      <c r="A7" s="233" t="s">
        <v>529</v>
      </c>
      <c r="B7" s="233" t="s">
        <v>530</v>
      </c>
      <c r="C7" s="234" t="s">
        <v>531</v>
      </c>
      <c r="D7" s="234" t="s">
        <v>532</v>
      </c>
      <c r="E7" s="406" t="s">
        <v>654</v>
      </c>
      <c r="F7" s="234" t="s">
        <v>533</v>
      </c>
      <c r="G7" s="235" t="s">
        <v>534</v>
      </c>
      <c r="H7" s="235" t="s">
        <v>238</v>
      </c>
      <c r="I7" s="235" t="s">
        <v>535</v>
      </c>
      <c r="J7" s="235" t="s">
        <v>536</v>
      </c>
      <c r="K7" s="235" t="s">
        <v>537</v>
      </c>
      <c r="L7" s="235" t="s">
        <v>538</v>
      </c>
      <c r="M7" s="235" t="s">
        <v>539</v>
      </c>
      <c r="N7" s="235" t="s">
        <v>540</v>
      </c>
      <c r="O7" s="236" t="str">
        <f ca="1">"ACT_BND~UP~"&amp;Auxyear</f>
        <v>ACT_BND~UP~2017</v>
      </c>
      <c r="P7" s="235" t="str">
        <f ca="1">"RESID~"&amp;BaseYear</f>
        <v>RESID~2010</v>
      </c>
      <c r="Q7" s="235" t="str">
        <f ca="1">"RESID~"&amp;Auxyear</f>
        <v>RESID~2017</v>
      </c>
      <c r="R7" s="407" t="s">
        <v>655</v>
      </c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</row>
    <row r="8" spans="1:45">
      <c r="A8" s="237" t="s">
        <v>541</v>
      </c>
      <c r="B8" s="107" t="s">
        <v>542</v>
      </c>
      <c r="C8" s="238" t="s">
        <v>345</v>
      </c>
      <c r="D8" s="238"/>
      <c r="E8" s="410"/>
      <c r="F8" s="300" t="s">
        <v>543</v>
      </c>
      <c r="G8" s="79">
        <v>1</v>
      </c>
      <c r="H8" s="31">
        <v>2</v>
      </c>
      <c r="I8" s="79"/>
      <c r="J8" s="79">
        <v>1</v>
      </c>
      <c r="K8" s="239">
        <v>20</v>
      </c>
      <c r="L8" s="239">
        <v>35</v>
      </c>
      <c r="M8" s="239">
        <v>1.5</v>
      </c>
      <c r="N8" s="239"/>
      <c r="O8" s="240">
        <f ca="1">AuxData2!$O$41*1.5</f>
        <v>0.18</v>
      </c>
      <c r="P8" s="42">
        <f ca="1">IEAData2!$O$41</f>
        <v>0</v>
      </c>
      <c r="Q8" s="53">
        <f ca="1">AuxData2!$O$41</f>
        <v>0.12</v>
      </c>
      <c r="R8" s="411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</row>
    <row r="9" spans="1:45">
      <c r="A9" s="107"/>
      <c r="B9" s="107"/>
      <c r="C9" s="238" t="s">
        <v>222</v>
      </c>
      <c r="D9" s="238"/>
      <c r="E9" s="410"/>
      <c r="F9" s="300"/>
      <c r="G9" s="79"/>
      <c r="H9" s="44">
        <f>IF(TRUE,0.008)</f>
        <v>8.0000000000000002E-3</v>
      </c>
      <c r="I9" s="79"/>
      <c r="J9" s="79"/>
      <c r="K9" s="79"/>
      <c r="L9" s="79"/>
      <c r="M9" s="79"/>
      <c r="N9" s="79"/>
      <c r="O9" s="241"/>
      <c r="P9" s="31"/>
      <c r="Q9" s="79"/>
      <c r="R9" s="411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226"/>
      <c r="AJ9" s="226"/>
      <c r="AK9" s="226"/>
      <c r="AL9" s="226"/>
      <c r="AM9" s="226"/>
      <c r="AN9" s="226"/>
      <c r="AO9" s="226"/>
      <c r="AP9" s="226"/>
      <c r="AQ9" s="226"/>
      <c r="AR9" s="226"/>
      <c r="AS9" s="226"/>
    </row>
    <row r="10" spans="1:45">
      <c r="A10" s="106"/>
      <c r="B10" s="106"/>
      <c r="C10" s="242"/>
      <c r="D10" s="243" t="s">
        <v>419</v>
      </c>
      <c r="E10" s="410"/>
      <c r="F10" s="412"/>
      <c r="G10" s="87"/>
      <c r="H10" s="244"/>
      <c r="I10" s="87">
        <v>1</v>
      </c>
      <c r="J10" s="46"/>
      <c r="K10" s="46"/>
      <c r="L10" s="46"/>
      <c r="M10" s="46"/>
      <c r="N10" s="46"/>
      <c r="O10" s="245"/>
      <c r="P10" s="87"/>
      <c r="Q10" s="87"/>
      <c r="R10" s="411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226"/>
      <c r="AJ10" s="226"/>
      <c r="AK10" s="226"/>
      <c r="AL10" s="226"/>
      <c r="AM10" s="226"/>
      <c r="AN10" s="226"/>
      <c r="AO10" s="226"/>
      <c r="AP10" s="226"/>
      <c r="AQ10" s="226"/>
      <c r="AR10" s="226"/>
      <c r="AS10" s="226"/>
    </row>
    <row r="11" spans="1:45">
      <c r="A11" s="408" t="s">
        <v>659</v>
      </c>
      <c r="B11" s="408" t="s">
        <v>660</v>
      </c>
      <c r="C11" s="409"/>
      <c r="D11" s="409" t="s">
        <v>656</v>
      </c>
      <c r="E11" s="410" t="s">
        <v>638</v>
      </c>
      <c r="F11" s="413" t="s">
        <v>585</v>
      </c>
      <c r="G11" s="87"/>
      <c r="H11" s="87"/>
      <c r="I11" s="87"/>
      <c r="J11" s="87"/>
      <c r="K11" s="87"/>
      <c r="L11" s="87"/>
      <c r="M11" s="87"/>
      <c r="N11" s="46"/>
      <c r="O11" s="245"/>
      <c r="P11" s="87"/>
      <c r="Q11" s="87"/>
      <c r="R11" s="411">
        <v>5.0000000000000001E-3</v>
      </c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</row>
    <row r="12" spans="1:45">
      <c r="A12" s="408"/>
      <c r="B12" s="408"/>
      <c r="C12" s="409"/>
      <c r="D12" s="409" t="s">
        <v>657</v>
      </c>
      <c r="E12" s="410" t="s">
        <v>638</v>
      </c>
      <c r="F12" s="413" t="s">
        <v>585</v>
      </c>
      <c r="G12" s="87"/>
      <c r="H12" s="87"/>
      <c r="I12" s="87"/>
      <c r="J12" s="87"/>
      <c r="K12" s="87"/>
      <c r="L12" s="87"/>
      <c r="M12" s="87"/>
      <c r="N12" s="46"/>
      <c r="O12" s="245"/>
      <c r="P12" s="87"/>
      <c r="Q12" s="87"/>
      <c r="R12" s="411">
        <v>5.0000000000000001E-3</v>
      </c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</row>
    <row r="13" spans="1:45">
      <c r="A13" s="408"/>
      <c r="B13" s="408"/>
      <c r="C13" s="409"/>
      <c r="D13" s="409" t="s">
        <v>658</v>
      </c>
      <c r="E13" s="410" t="s">
        <v>638</v>
      </c>
      <c r="F13" s="413" t="s">
        <v>585</v>
      </c>
      <c r="G13" s="87"/>
      <c r="H13" s="87"/>
      <c r="I13" s="87"/>
      <c r="J13" s="87"/>
      <c r="K13" s="87"/>
      <c r="L13" s="87"/>
      <c r="M13" s="87"/>
      <c r="N13" s="46"/>
      <c r="O13" s="245"/>
      <c r="P13" s="87"/>
      <c r="Q13" s="87"/>
      <c r="R13" s="411">
        <v>5.0000000000000001E-3</v>
      </c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6"/>
      <c r="AM13" s="226"/>
      <c r="AN13" s="226"/>
      <c r="AO13" s="226"/>
      <c r="AP13" s="226"/>
      <c r="AQ13" s="226"/>
      <c r="AR13" s="226"/>
      <c r="AS13" s="226"/>
    </row>
    <row r="14" spans="1:45">
      <c r="U14" s="229"/>
      <c r="V14" s="229"/>
      <c r="AB14" s="22"/>
      <c r="AC14" s="246"/>
      <c r="AD14" s="247"/>
      <c r="AE14" s="248"/>
    </row>
    <row r="15" spans="1:45">
      <c r="U15" s="229"/>
      <c r="V15" s="229"/>
      <c r="AB15" s="22"/>
      <c r="AC15" s="88"/>
      <c r="AD15" s="14"/>
      <c r="AE15" s="22"/>
    </row>
    <row r="16" spans="1:45">
      <c r="D16" s="228"/>
      <c r="U16" s="229"/>
      <c r="V16" s="229"/>
      <c r="AB16" s="22"/>
      <c r="AC16" s="3"/>
      <c r="AD16" s="14"/>
      <c r="AE16" s="14"/>
    </row>
    <row r="17" spans="1:44">
      <c r="C17" s="34"/>
      <c r="D17" s="228"/>
      <c r="E17" s="34"/>
      <c r="F17" s="249"/>
      <c r="G17" s="249"/>
      <c r="H17" s="249"/>
      <c r="I17" s="249"/>
      <c r="J17" s="249"/>
      <c r="K17" s="249"/>
      <c r="L17" s="249"/>
      <c r="M17" s="249"/>
      <c r="N17" s="34"/>
      <c r="O17" s="226"/>
      <c r="P17" s="226"/>
      <c r="Q17" s="226"/>
      <c r="R17" s="226"/>
      <c r="S17" s="226"/>
      <c r="T17" s="34"/>
      <c r="U17" s="229"/>
      <c r="V17" s="229"/>
      <c r="AB17" s="22"/>
      <c r="AC17" s="3"/>
      <c r="AD17" s="14"/>
      <c r="AE17" s="14"/>
    </row>
    <row r="18" spans="1:44" ht="18">
      <c r="A18" s="230" t="s">
        <v>544</v>
      </c>
      <c r="B18" s="231"/>
      <c r="C18" s="222"/>
      <c r="F18" s="232" t="str">
        <f>"~FI_T: "&amp;Region</f>
        <v>~FI_T: FIM</v>
      </c>
      <c r="N18" s="55"/>
      <c r="O18" s="55"/>
      <c r="P18" s="55"/>
      <c r="Q18" s="55"/>
      <c r="R18" s="226"/>
      <c r="S18" s="226"/>
      <c r="T18" s="226"/>
      <c r="U18" s="229"/>
      <c r="AB18" s="22"/>
      <c r="AC18" s="3"/>
      <c r="AD18" s="14"/>
      <c r="AE18" s="14"/>
    </row>
    <row r="19" spans="1:44" ht="36.75" thickBot="1">
      <c r="A19" s="233" t="s">
        <v>529</v>
      </c>
      <c r="B19" s="233" t="s">
        <v>530</v>
      </c>
      <c r="C19" s="234" t="s">
        <v>531</v>
      </c>
      <c r="D19" s="234" t="s">
        <v>532</v>
      </c>
      <c r="E19" s="234" t="s">
        <v>323</v>
      </c>
      <c r="F19" s="235" t="s">
        <v>545</v>
      </c>
      <c r="G19" s="235" t="s">
        <v>238</v>
      </c>
      <c r="H19" s="235" t="s">
        <v>535</v>
      </c>
      <c r="I19" s="250" t="s">
        <v>537</v>
      </c>
      <c r="J19" s="250" t="s">
        <v>538</v>
      </c>
      <c r="K19" s="250" t="s">
        <v>539</v>
      </c>
      <c r="L19" s="251" t="str">
        <f ca="1">"ACT_BND~UP~"&amp;BaseYear</f>
        <v>ACT_BND~UP~2010</v>
      </c>
      <c r="M19" s="252" t="str">
        <f ca="1">"ACT_BND~UP~"&amp;Auxyear</f>
        <v>ACT_BND~UP~2017</v>
      </c>
      <c r="N19" s="252" t="str">
        <f ca="1">"ACT_BND~UP~"&amp;CEILING(Auxyear+7,5)</f>
        <v>ACT_BND~UP~2025</v>
      </c>
      <c r="O19" s="252" t="s">
        <v>546</v>
      </c>
      <c r="P19" s="252" t="s">
        <v>547</v>
      </c>
      <c r="Q19" s="252" t="s">
        <v>548</v>
      </c>
      <c r="R19" s="252" t="s">
        <v>549</v>
      </c>
      <c r="S19" s="251" t="str">
        <f ca="1">"ACT_BND~LO~"&amp;BaseYear</f>
        <v>ACT_BND~LO~2010</v>
      </c>
      <c r="T19" s="252" t="str">
        <f ca="1">"ACT_BND~LO~"&amp;Auxyear</f>
        <v>ACT_BND~LO~2017</v>
      </c>
      <c r="U19" s="251" t="str">
        <f>"FLO_MARK~UP"</f>
        <v>FLO_MARK~UP</v>
      </c>
      <c r="AB19" s="22"/>
      <c r="AC19" s="90"/>
      <c r="AD19" s="14"/>
      <c r="AE19" s="14"/>
    </row>
    <row r="20" spans="1:44">
      <c r="A20" s="253" t="s">
        <v>550</v>
      </c>
      <c r="B20" s="254" t="s">
        <v>551</v>
      </c>
      <c r="C20" s="255" t="s">
        <v>154</v>
      </c>
      <c r="D20" s="255"/>
      <c r="E20" s="255"/>
      <c r="F20" s="256"/>
      <c r="G20" s="257">
        <v>1</v>
      </c>
      <c r="H20" s="258"/>
      <c r="I20" s="259"/>
      <c r="J20" s="259"/>
      <c r="K20" s="259"/>
      <c r="L20" s="260"/>
      <c r="M20" s="259"/>
      <c r="N20" s="259"/>
      <c r="O20" s="259"/>
      <c r="P20" s="259"/>
      <c r="Q20" s="259"/>
      <c r="R20" s="259"/>
      <c r="S20" s="260"/>
      <c r="T20" s="259"/>
      <c r="U20" s="260"/>
    </row>
    <row r="21" spans="1:44">
      <c r="A21" s="261"/>
      <c r="B21" s="261"/>
      <c r="C21" s="262"/>
      <c r="D21" s="263" t="s">
        <v>361</v>
      </c>
      <c r="E21" s="262" t="s">
        <v>339</v>
      </c>
      <c r="F21" s="264"/>
      <c r="G21" s="265"/>
      <c r="H21" s="266"/>
      <c r="I21" s="267"/>
      <c r="J21" s="267"/>
      <c r="K21" s="267"/>
      <c r="L21" s="268"/>
      <c r="M21" s="267"/>
      <c r="N21" s="267"/>
      <c r="O21" s="267"/>
      <c r="P21" s="267"/>
      <c r="Q21" s="269"/>
      <c r="R21" s="269"/>
      <c r="S21" s="268"/>
      <c r="T21" s="269"/>
      <c r="U21" s="270"/>
    </row>
    <row r="22" spans="1:44">
      <c r="A22" s="253" t="s">
        <v>552</v>
      </c>
      <c r="B22" s="254" t="s">
        <v>553</v>
      </c>
      <c r="C22" s="255" t="s">
        <v>341</v>
      </c>
      <c r="D22" s="263"/>
      <c r="E22" s="271"/>
      <c r="F22" s="256"/>
      <c r="G22" s="257">
        <v>1</v>
      </c>
      <c r="H22" s="258"/>
      <c r="I22" s="259"/>
      <c r="J22" s="259"/>
      <c r="K22" s="259"/>
      <c r="L22" s="260"/>
      <c r="M22" s="259"/>
      <c r="N22" s="259"/>
      <c r="O22" s="259"/>
      <c r="P22" s="259"/>
      <c r="Q22" s="259"/>
      <c r="R22" s="259"/>
      <c r="S22" s="260"/>
      <c r="T22" s="272"/>
      <c r="U22" s="273"/>
    </row>
    <row r="23" spans="1:44">
      <c r="A23" s="261"/>
      <c r="B23" s="261"/>
      <c r="C23" s="255"/>
      <c r="D23" s="263" t="s">
        <v>154</v>
      </c>
      <c r="E23" s="262" t="s">
        <v>339</v>
      </c>
      <c r="F23" s="274"/>
      <c r="G23" s="265"/>
      <c r="H23" s="266"/>
      <c r="I23" s="269"/>
      <c r="J23" s="269"/>
      <c r="K23" s="269"/>
      <c r="L23" s="270"/>
      <c r="M23" s="269"/>
      <c r="N23" s="269"/>
      <c r="O23" s="269"/>
      <c r="P23" s="269"/>
      <c r="Q23" s="269"/>
      <c r="R23" s="269"/>
      <c r="S23" s="270"/>
      <c r="T23" s="269"/>
      <c r="U23" s="270"/>
    </row>
    <row r="24" spans="1:44">
      <c r="A24" s="253" t="s">
        <v>554</v>
      </c>
      <c r="B24" s="254" t="s">
        <v>555</v>
      </c>
      <c r="C24" s="255" t="s">
        <v>369</v>
      </c>
      <c r="D24" s="255"/>
      <c r="E24" s="271"/>
      <c r="F24" s="275"/>
      <c r="G24" s="257">
        <v>1</v>
      </c>
      <c r="H24" s="258"/>
      <c r="I24" s="259"/>
      <c r="J24" s="259"/>
      <c r="K24" s="259"/>
      <c r="L24" s="260"/>
      <c r="M24" s="259"/>
      <c r="N24" s="259"/>
      <c r="O24" s="259"/>
      <c r="P24" s="259"/>
      <c r="Q24" s="259"/>
      <c r="R24" s="259"/>
      <c r="S24" s="260"/>
      <c r="T24" s="259"/>
      <c r="U24" s="260"/>
    </row>
    <row r="25" spans="1:44">
      <c r="A25" s="261"/>
      <c r="B25" s="261"/>
      <c r="C25" s="262"/>
      <c r="D25" s="263" t="s">
        <v>154</v>
      </c>
      <c r="E25" s="262" t="s">
        <v>339</v>
      </c>
      <c r="F25" s="275"/>
      <c r="G25" s="257"/>
      <c r="H25" s="258"/>
      <c r="I25" s="269"/>
      <c r="J25" s="269"/>
      <c r="K25" s="269"/>
      <c r="L25" s="270"/>
      <c r="M25" s="269"/>
      <c r="N25" s="269"/>
      <c r="O25" s="269"/>
      <c r="P25" s="269"/>
      <c r="Q25" s="269"/>
      <c r="R25" s="269"/>
      <c r="S25" s="270"/>
      <c r="T25" s="269"/>
      <c r="U25" s="270"/>
    </row>
    <row r="26" spans="1:44">
      <c r="A26" s="253" t="s">
        <v>556</v>
      </c>
      <c r="B26" s="254" t="s">
        <v>557</v>
      </c>
      <c r="C26" s="255" t="s">
        <v>365</v>
      </c>
      <c r="D26" s="255"/>
      <c r="E26" s="271"/>
      <c r="F26" s="256"/>
      <c r="G26" s="257">
        <v>1</v>
      </c>
      <c r="H26" s="258"/>
      <c r="I26" s="259"/>
      <c r="J26" s="259"/>
      <c r="K26" s="259"/>
      <c r="L26" s="260"/>
      <c r="M26" s="259"/>
      <c r="N26" s="259"/>
      <c r="O26" s="259"/>
      <c r="P26" s="259"/>
      <c r="Q26" s="259"/>
      <c r="R26" s="259"/>
      <c r="S26" s="260"/>
      <c r="T26" s="272"/>
      <c r="U26" s="273"/>
    </row>
    <row r="27" spans="1:44">
      <c r="A27" s="261"/>
      <c r="B27" s="261"/>
      <c r="C27" s="262"/>
      <c r="D27" s="263" t="s">
        <v>333</v>
      </c>
      <c r="E27" s="262" t="s">
        <v>339</v>
      </c>
      <c r="F27" s="274"/>
      <c r="G27" s="265"/>
      <c r="H27" s="266"/>
      <c r="I27" s="269"/>
      <c r="J27" s="269"/>
      <c r="K27" s="269"/>
      <c r="L27" s="270"/>
      <c r="M27" s="269"/>
      <c r="N27" s="269"/>
      <c r="O27" s="269"/>
      <c r="P27" s="269"/>
      <c r="Q27" s="269"/>
      <c r="R27" s="269"/>
      <c r="S27" s="270"/>
      <c r="T27" s="269"/>
      <c r="U27" s="270"/>
    </row>
    <row r="28" spans="1:44">
      <c r="A28" s="253" t="s">
        <v>558</v>
      </c>
      <c r="B28" s="254" t="s">
        <v>559</v>
      </c>
      <c r="C28" s="255" t="s">
        <v>341</v>
      </c>
      <c r="D28" s="255"/>
      <c r="E28" s="271"/>
      <c r="F28" s="275"/>
      <c r="G28" s="257">
        <v>1</v>
      </c>
      <c r="H28" s="258"/>
      <c r="I28" s="259"/>
      <c r="J28" s="259"/>
      <c r="K28" s="259"/>
      <c r="L28" s="260"/>
      <c r="M28" s="259"/>
      <c r="N28" s="259"/>
      <c r="O28" s="259"/>
      <c r="P28" s="259"/>
      <c r="Q28" s="259"/>
      <c r="R28" s="259"/>
      <c r="S28" s="260"/>
      <c r="T28" s="259"/>
      <c r="U28" s="260"/>
    </row>
    <row r="29" spans="1:44">
      <c r="A29" s="261"/>
      <c r="B29" s="261"/>
      <c r="C29" s="262"/>
      <c r="D29" s="263" t="s">
        <v>333</v>
      </c>
      <c r="E29" s="262" t="s">
        <v>339</v>
      </c>
      <c r="F29" s="275"/>
      <c r="G29" s="257"/>
      <c r="H29" s="258"/>
      <c r="I29" s="269"/>
      <c r="J29" s="269"/>
      <c r="K29" s="269"/>
      <c r="L29" s="270"/>
      <c r="M29" s="269"/>
      <c r="N29" s="269"/>
      <c r="O29" s="269"/>
      <c r="P29" s="269"/>
      <c r="Q29" s="269"/>
      <c r="R29" s="269"/>
      <c r="S29" s="270"/>
      <c r="T29" s="269"/>
      <c r="U29" s="270"/>
    </row>
    <row r="30" spans="1:44">
      <c r="A30" s="253" t="s">
        <v>560</v>
      </c>
      <c r="B30" s="254" t="s">
        <v>561</v>
      </c>
      <c r="C30" s="255" t="s">
        <v>156</v>
      </c>
      <c r="D30" s="255"/>
      <c r="E30" s="271"/>
      <c r="F30" s="275"/>
      <c r="G30" s="257">
        <v>1</v>
      </c>
      <c r="H30" s="258"/>
      <c r="I30" s="259"/>
      <c r="J30" s="259"/>
      <c r="K30" s="259"/>
      <c r="L30" s="260"/>
      <c r="M30" s="259"/>
      <c r="N30" s="259"/>
      <c r="O30" s="259"/>
      <c r="P30" s="259"/>
      <c r="Q30" s="259"/>
      <c r="R30" s="276"/>
      <c r="S30" s="260"/>
      <c r="T30" s="259"/>
      <c r="U30" s="277">
        <v>0.05</v>
      </c>
    </row>
    <row r="31" spans="1:44">
      <c r="A31" s="261"/>
      <c r="B31" s="261"/>
      <c r="C31" s="262"/>
      <c r="D31" s="263" t="s">
        <v>345</v>
      </c>
      <c r="E31" s="262" t="s">
        <v>339</v>
      </c>
      <c r="F31" s="275"/>
      <c r="G31" s="257"/>
      <c r="H31" s="258"/>
      <c r="I31" s="269"/>
      <c r="J31" s="269"/>
      <c r="K31" s="269"/>
      <c r="L31" s="270"/>
      <c r="M31" s="269"/>
      <c r="N31" s="269"/>
      <c r="O31" s="269"/>
      <c r="P31" s="269"/>
      <c r="Q31" s="269"/>
      <c r="R31" s="269"/>
      <c r="S31" s="270"/>
      <c r="T31" s="269"/>
      <c r="U31" s="270"/>
    </row>
    <row r="32" spans="1:44">
      <c r="A32" s="253" t="s">
        <v>562</v>
      </c>
      <c r="B32" s="254" t="s">
        <v>563</v>
      </c>
      <c r="C32" s="255" t="s">
        <v>330</v>
      </c>
      <c r="D32" s="255"/>
      <c r="E32" s="271"/>
      <c r="F32" s="256"/>
      <c r="G32" s="257">
        <v>1</v>
      </c>
      <c r="H32" s="258"/>
      <c r="I32" s="259"/>
      <c r="J32" s="259"/>
      <c r="K32" s="259"/>
      <c r="L32" s="260"/>
      <c r="M32" s="259"/>
      <c r="N32" s="259"/>
      <c r="O32" s="259"/>
      <c r="P32" s="259"/>
      <c r="Q32" s="259"/>
      <c r="R32" s="259"/>
      <c r="S32" s="260"/>
      <c r="T32" s="259"/>
      <c r="U32" s="260"/>
      <c r="AR32" s="22"/>
    </row>
    <row r="33" spans="1:45">
      <c r="A33" s="261"/>
      <c r="B33" s="261"/>
      <c r="C33" s="262"/>
      <c r="D33" s="263" t="s">
        <v>158</v>
      </c>
      <c r="E33" s="262" t="s">
        <v>564</v>
      </c>
      <c r="F33" s="274"/>
      <c r="G33" s="265"/>
      <c r="H33" s="266"/>
      <c r="I33" s="269"/>
      <c r="J33" s="269"/>
      <c r="K33" s="269"/>
      <c r="L33" s="270"/>
      <c r="M33" s="269"/>
      <c r="N33" s="269"/>
      <c r="O33" s="269"/>
      <c r="P33" s="269"/>
      <c r="Q33" s="269"/>
      <c r="R33" s="269"/>
      <c r="S33" s="270"/>
      <c r="T33" s="269"/>
      <c r="U33" s="270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22"/>
      <c r="AS33" s="34"/>
    </row>
    <row r="34" spans="1:45">
      <c r="A34" s="253" t="s">
        <v>565</v>
      </c>
      <c r="B34" s="254" t="s">
        <v>566</v>
      </c>
      <c r="C34" s="255" t="s">
        <v>157</v>
      </c>
      <c r="D34" s="255"/>
      <c r="E34" s="271"/>
      <c r="F34" s="256"/>
      <c r="G34" s="257">
        <v>1</v>
      </c>
      <c r="H34" s="258"/>
      <c r="I34" s="259"/>
      <c r="J34" s="259"/>
      <c r="K34" s="259"/>
      <c r="L34" s="260"/>
      <c r="M34" s="259"/>
      <c r="N34" s="259"/>
      <c r="O34" s="259"/>
      <c r="P34" s="259"/>
      <c r="Q34" s="259"/>
      <c r="R34" s="259"/>
      <c r="S34" s="260"/>
      <c r="T34" s="272"/>
      <c r="U34" s="273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"/>
      <c r="AS34" s="226"/>
    </row>
    <row r="35" spans="1:45">
      <c r="A35" s="261"/>
      <c r="B35" s="254"/>
      <c r="C35" s="255"/>
      <c r="D35" s="263" t="s">
        <v>348</v>
      </c>
      <c r="E35" s="262"/>
      <c r="F35" s="274"/>
      <c r="G35" s="265"/>
      <c r="H35" s="266"/>
      <c r="I35" s="269"/>
      <c r="J35" s="269"/>
      <c r="K35" s="269"/>
      <c r="L35" s="270"/>
      <c r="M35" s="269"/>
      <c r="N35" s="269"/>
      <c r="O35" s="269"/>
      <c r="P35" s="269"/>
      <c r="Q35" s="269"/>
      <c r="R35" s="269"/>
      <c r="S35" s="270"/>
      <c r="T35" s="269"/>
      <c r="U35" s="270"/>
      <c r="Y35" s="22"/>
      <c r="Z35" s="246"/>
      <c r="AA35" s="247"/>
      <c r="AB35" s="248"/>
    </row>
    <row r="36" spans="1:4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78"/>
      <c r="O36" s="22"/>
      <c r="P36" s="22"/>
      <c r="Q36" s="55"/>
      <c r="R36" s="22"/>
      <c r="S36" s="55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14"/>
    </row>
    <row r="37" spans="1:45">
      <c r="A37" s="249"/>
      <c r="B37" s="34"/>
      <c r="C37" s="34"/>
      <c r="D37" s="249"/>
      <c r="E37" s="34"/>
      <c r="F37" s="249"/>
      <c r="G37" s="249"/>
      <c r="H37" s="249"/>
      <c r="I37" s="249"/>
      <c r="J37" s="249"/>
      <c r="K37" s="249"/>
      <c r="L37" s="249"/>
      <c r="M37" s="249"/>
      <c r="N37" s="34"/>
      <c r="O37" s="226"/>
      <c r="P37" s="226"/>
      <c r="Q37" s="226"/>
      <c r="R37" s="226"/>
      <c r="S37" s="226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spans="1:45">
      <c r="A38" s="249"/>
      <c r="B38" s="34"/>
      <c r="C38" s="34"/>
      <c r="D38" s="249"/>
      <c r="E38" s="34"/>
      <c r="F38" s="249"/>
      <c r="G38" s="249"/>
      <c r="H38" s="249"/>
      <c r="I38" s="249"/>
      <c r="J38" s="249"/>
      <c r="K38" s="249"/>
      <c r="L38" s="249"/>
      <c r="M38" s="249"/>
      <c r="N38" s="34"/>
      <c r="O38" s="226"/>
      <c r="P38" s="226"/>
      <c r="Q38" s="226"/>
      <c r="R38" s="226"/>
      <c r="S38" s="226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42" spans="1:45" ht="18">
      <c r="A42" s="47" t="s">
        <v>567</v>
      </c>
      <c r="B42" s="221"/>
      <c r="C42" s="222"/>
      <c r="D42" s="223"/>
      <c r="E42" s="232" t="str">
        <f>"~FI_T: "&amp;Region</f>
        <v>~FI_T: FIM</v>
      </c>
      <c r="F42" s="33"/>
      <c r="G42" s="279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</row>
    <row r="43" spans="1:45" ht="32.25" customHeight="1" thickBot="1">
      <c r="A43" s="233" t="s">
        <v>529</v>
      </c>
      <c r="B43" s="233" t="s">
        <v>530</v>
      </c>
      <c r="C43" s="234" t="s">
        <v>531</v>
      </c>
      <c r="D43" s="234" t="s">
        <v>532</v>
      </c>
      <c r="E43" s="234" t="s">
        <v>533</v>
      </c>
      <c r="F43" s="280" t="str">
        <f ca="1">"\I:FINAL ENERGY (input) - "&amp;BaseYear</f>
        <v>\I:FINAL ENERGY (input) - 2010</v>
      </c>
      <c r="G43" s="235" t="str">
        <f ca="1">"\I:FINAL ENERGY (output) - "&amp;BaseYear</f>
        <v>\I:FINAL ENERGY (output) - 2010</v>
      </c>
      <c r="H43" s="235" t="s">
        <v>238</v>
      </c>
      <c r="I43" s="235" t="s">
        <v>535</v>
      </c>
      <c r="J43" s="280" t="str">
        <f ca="1">"\I:FINAL ENERGY (input) - "&amp;Auxyear</f>
        <v>\I:FINAL ENERGY (input) - 2017</v>
      </c>
      <c r="K43" s="235" t="str">
        <f ca="1">"\I:FINAL ENERGY (output) - "&amp;Auxyear</f>
        <v>\I:FINAL ENERGY (output) - 2017</v>
      </c>
      <c r="L43" s="235" t="str">
        <f ca="1">"Input~"&amp;Auxyear</f>
        <v>Input~2017</v>
      </c>
      <c r="M43" s="235" t="str">
        <f ca="1">"Output~"&amp;Auxyear</f>
        <v>Output~2017</v>
      </c>
      <c r="N43" s="280" t="s">
        <v>568</v>
      </c>
      <c r="O43" s="235" t="s">
        <v>569</v>
      </c>
      <c r="P43" s="235" t="s">
        <v>537</v>
      </c>
      <c r="Q43" s="235" t="s">
        <v>539</v>
      </c>
      <c r="R43" s="235" t="s">
        <v>570</v>
      </c>
      <c r="S43" s="235" t="s">
        <v>540</v>
      </c>
      <c r="T43" s="235" t="s">
        <v>571</v>
      </c>
    </row>
    <row r="44" spans="1:45">
      <c r="A44" s="237" t="s">
        <v>572</v>
      </c>
      <c r="B44" s="107" t="s">
        <v>573</v>
      </c>
      <c r="C44" s="238" t="s">
        <v>229</v>
      </c>
      <c r="D44" s="281"/>
      <c r="E44" s="282" t="s">
        <v>543</v>
      </c>
      <c r="F44" s="283">
        <f ca="1">MAX(-0.0005*IEAData2!$L$140,-IEAData2!C140)</f>
        <v>0.35721484524000002</v>
      </c>
      <c r="G44" s="284"/>
      <c r="H44" s="285"/>
      <c r="I44" s="284"/>
      <c r="J44" s="283">
        <f ca="1">MAX(-0.0005*AuxData2!$L$140,-AuxData2!C140)</f>
        <v>0.72420210035999999</v>
      </c>
      <c r="K44" s="284"/>
      <c r="L44" s="285"/>
      <c r="M44" s="284"/>
      <c r="N44" s="81"/>
      <c r="O44" s="239"/>
      <c r="P44" s="239">
        <v>50</v>
      </c>
      <c r="Q44" s="286"/>
      <c r="R44" s="286"/>
      <c r="S44" s="286">
        <v>1</v>
      </c>
      <c r="T44" s="286"/>
    </row>
    <row r="45" spans="1:45">
      <c r="A45" s="107"/>
      <c r="B45" s="107"/>
      <c r="C45" s="238" t="s">
        <v>274</v>
      </c>
      <c r="D45" s="281"/>
      <c r="E45" s="287"/>
      <c r="F45" s="283">
        <f ca="1">-IEAData2!F140</f>
        <v>0</v>
      </c>
      <c r="G45" s="284"/>
      <c r="H45" s="31" t="str">
        <f>IF(F45&gt;0,F45/F$44,"")</f>
        <v/>
      </c>
      <c r="I45" s="284"/>
      <c r="J45" s="283">
        <f ca="1">-AuxData2!F140</f>
        <v>0</v>
      </c>
      <c r="K45" s="284"/>
      <c r="L45" s="31" t="str">
        <f>IF(J45&gt;0,J45/J$44,"")</f>
        <v/>
      </c>
      <c r="M45" s="284"/>
      <c r="N45" s="81">
        <f>IF(F45&gt;0,"",2)</f>
        <v>2</v>
      </c>
      <c r="O45" s="239"/>
      <c r="P45" s="239"/>
      <c r="Q45" s="286"/>
      <c r="R45" s="286"/>
      <c r="S45" s="286"/>
      <c r="T45" s="286"/>
    </row>
    <row r="46" spans="1:45">
      <c r="A46" s="106"/>
      <c r="B46" s="288"/>
      <c r="C46" s="238" t="str">
        <f ca="1">IEAData2!$I$145</f>
        <v>UPNELC</v>
      </c>
      <c r="D46" s="238"/>
      <c r="E46" s="238"/>
      <c r="F46" s="289">
        <f ca="1">-IEAData2!I140</f>
        <v>0</v>
      </c>
      <c r="G46" s="31"/>
      <c r="H46" s="31">
        <f>IF(F$44&gt;0,F46/F$44,0)</f>
        <v>0</v>
      </c>
      <c r="I46" s="284"/>
      <c r="J46" s="289">
        <f ca="1">-AuxData2!I140</f>
        <v>0</v>
      </c>
      <c r="K46" s="31"/>
      <c r="L46" s="31">
        <f>IF(J$44&gt;0,J46/J$44,0)</f>
        <v>0</v>
      </c>
      <c r="M46" s="284"/>
      <c r="N46" s="81"/>
      <c r="O46" s="31"/>
      <c r="P46" s="31"/>
      <c r="Q46" s="31"/>
      <c r="R46" s="284"/>
      <c r="S46" s="284"/>
      <c r="T46" s="284"/>
    </row>
    <row r="47" spans="1:45">
      <c r="A47" s="107"/>
      <c r="B47" s="290"/>
      <c r="C47" s="242"/>
      <c r="D47" s="243" t="s">
        <v>524</v>
      </c>
      <c r="E47" s="242"/>
      <c r="F47" s="291"/>
      <c r="G47" s="46">
        <f ca="1">MAX(-$V47*IEAData2!L140,-IEAData2!C139)</f>
        <v>0.10593937747008002</v>
      </c>
      <c r="H47" s="244"/>
      <c r="I47" s="46">
        <f>IF(F$44&gt;0,G47/F$44,0)</f>
        <v>0.29657047819192145</v>
      </c>
      <c r="J47" s="291"/>
      <c r="K47" s="46">
        <f ca="1">MAX(-$V47*AuxData2!L140,-AuxData2!C139)</f>
        <v>9.9609126788159988E-2</v>
      </c>
      <c r="L47" s="244"/>
      <c r="M47" s="46">
        <f>IF(J$44&gt;0,K47/J$44,0)</f>
        <v>0.13754327243547679</v>
      </c>
      <c r="N47" s="292"/>
      <c r="O47" s="46"/>
      <c r="P47" s="46"/>
      <c r="Q47" s="46"/>
      <c r="R47" s="293"/>
      <c r="S47" s="293"/>
      <c r="T47" s="293"/>
      <c r="V47" s="215">
        <v>6.6E-4</v>
      </c>
    </row>
    <row r="48" spans="1:45">
      <c r="A48" s="237" t="s">
        <v>574</v>
      </c>
      <c r="B48" s="107" t="s">
        <v>575</v>
      </c>
      <c r="C48" s="238" t="s">
        <v>524</v>
      </c>
      <c r="D48" s="294" t="s">
        <v>507</v>
      </c>
      <c r="E48" s="238"/>
      <c r="F48" s="283"/>
      <c r="G48" s="31"/>
      <c r="H48" s="285"/>
      <c r="I48" s="258">
        <v>20000</v>
      </c>
      <c r="J48" s="283"/>
      <c r="K48" s="31"/>
      <c r="L48" s="285"/>
      <c r="M48" s="258">
        <v>20000</v>
      </c>
      <c r="N48" s="81"/>
      <c r="O48" s="31"/>
      <c r="P48" s="31"/>
      <c r="Q48" s="31"/>
      <c r="R48" s="284"/>
      <c r="S48" s="284"/>
      <c r="T48" s="284"/>
    </row>
    <row r="49" spans="1:23">
      <c r="A49" s="107"/>
      <c r="B49" s="288"/>
      <c r="C49" s="238" t="s">
        <v>229</v>
      </c>
      <c r="D49" s="294"/>
      <c r="E49" s="238"/>
      <c r="F49" s="283"/>
      <c r="G49" s="31"/>
      <c r="H49" s="285">
        <v>1</v>
      </c>
      <c r="I49" s="31"/>
      <c r="J49" s="283"/>
      <c r="K49" s="31"/>
      <c r="L49" s="285">
        <v>1</v>
      </c>
      <c r="M49" s="31"/>
      <c r="N49" s="81"/>
      <c r="O49" s="31"/>
      <c r="P49" s="31"/>
      <c r="Q49" s="31"/>
      <c r="R49" s="284"/>
      <c r="S49" s="284"/>
      <c r="T49" s="284"/>
    </row>
    <row r="53" spans="1:23" ht="18">
      <c r="A53" s="15" t="s">
        <v>576</v>
      </c>
    </row>
    <row r="54" spans="1:23">
      <c r="A54" s="11"/>
      <c r="B54" s="295"/>
      <c r="D54" s="295"/>
    </row>
    <row r="55" spans="1:23">
      <c r="A55" s="295"/>
      <c r="B55" s="295"/>
      <c r="C55" s="295"/>
      <c r="E55" s="232" t="str">
        <f>"~FI_T: "&amp;Region</f>
        <v>~FI_T: FIM</v>
      </c>
    </row>
    <row r="56" spans="1:23" ht="23.25" thickBot="1">
      <c r="A56" s="296" t="s">
        <v>529</v>
      </c>
      <c r="B56" s="296" t="s">
        <v>530</v>
      </c>
      <c r="C56" s="297" t="s">
        <v>531</v>
      </c>
      <c r="D56" s="297" t="s">
        <v>532</v>
      </c>
      <c r="E56" s="298" t="s">
        <v>533</v>
      </c>
      <c r="F56" s="299" t="s">
        <v>534</v>
      </c>
      <c r="G56" s="299" t="s">
        <v>577</v>
      </c>
      <c r="H56" s="299" t="s">
        <v>578</v>
      </c>
      <c r="I56" s="299" t="s">
        <v>536</v>
      </c>
      <c r="J56" s="299" t="s">
        <v>569</v>
      </c>
      <c r="K56" s="299" t="s">
        <v>537</v>
      </c>
      <c r="L56" s="299" t="s">
        <v>538</v>
      </c>
      <c r="M56" s="299" t="s">
        <v>579</v>
      </c>
      <c r="N56" s="299" t="s">
        <v>539</v>
      </c>
      <c r="O56" s="299" t="s">
        <v>570</v>
      </c>
      <c r="P56" s="299" t="s">
        <v>540</v>
      </c>
      <c r="Q56" s="299" t="s">
        <v>571</v>
      </c>
      <c r="R56" s="299" t="s">
        <v>580</v>
      </c>
      <c r="S56" s="299" t="s">
        <v>581</v>
      </c>
      <c r="T56" s="299" t="s">
        <v>582</v>
      </c>
      <c r="W56" s="11"/>
    </row>
    <row r="57" spans="1:23">
      <c r="A57" s="107" t="s">
        <v>583</v>
      </c>
      <c r="B57" s="107" t="s">
        <v>584</v>
      </c>
      <c r="C57" s="238" t="s">
        <v>229</v>
      </c>
      <c r="D57" s="238"/>
      <c r="E57" s="300" t="s">
        <v>585</v>
      </c>
      <c r="F57" s="79">
        <v>1</v>
      </c>
      <c r="G57" s="301">
        <f xml:space="preserve"> 1/0.94</f>
        <v>1.0638297872340425</v>
      </c>
      <c r="H57" s="79"/>
      <c r="I57" s="302">
        <f xml:space="preserve"> 8000/8760</f>
        <v>0.91324200913242004</v>
      </c>
      <c r="J57" s="79"/>
      <c r="K57" s="79">
        <v>50</v>
      </c>
      <c r="L57" s="303">
        <v>4.95</v>
      </c>
      <c r="M57" s="79"/>
      <c r="N57" s="304">
        <f xml:space="preserve"> 0.035*4.95</f>
        <v>0.17325000000000002</v>
      </c>
      <c r="O57" s="79"/>
      <c r="P57" s="303">
        <v>0</v>
      </c>
      <c r="Q57" s="303">
        <v>0</v>
      </c>
      <c r="R57" s="79"/>
      <c r="S57" s="79"/>
      <c r="T57" s="79"/>
      <c r="W57" s="11"/>
    </row>
    <row r="58" spans="1:23">
      <c r="A58" s="305"/>
      <c r="B58" s="305"/>
      <c r="C58" s="242"/>
      <c r="D58" s="242" t="s">
        <v>383</v>
      </c>
      <c r="E58" s="46"/>
      <c r="F58" s="87"/>
      <c r="G58" s="87"/>
      <c r="H58" s="87">
        <v>1</v>
      </c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W58" s="11"/>
    </row>
    <row r="59" spans="1:23">
      <c r="A59" s="107" t="s">
        <v>586</v>
      </c>
      <c r="B59" s="107" t="s">
        <v>587</v>
      </c>
      <c r="C59" s="238" t="s">
        <v>383</v>
      </c>
      <c r="D59" s="238"/>
      <c r="E59" s="300" t="s">
        <v>585</v>
      </c>
      <c r="F59" s="79">
        <v>1</v>
      </c>
      <c r="G59" s="31">
        <f>1/0.98</f>
        <v>1.0204081632653061</v>
      </c>
      <c r="H59" s="79"/>
      <c r="I59" s="79"/>
      <c r="J59" s="79"/>
      <c r="K59" s="79">
        <v>50</v>
      </c>
      <c r="L59" s="79"/>
      <c r="M59" s="79"/>
      <c r="N59" s="79"/>
      <c r="O59" s="79"/>
      <c r="P59" s="79">
        <v>1</v>
      </c>
      <c r="Q59" s="79">
        <v>1</v>
      </c>
      <c r="R59" s="79"/>
      <c r="S59" s="79"/>
      <c r="T59" s="79"/>
      <c r="W59" s="11"/>
    </row>
    <row r="60" spans="1:23">
      <c r="A60" s="106"/>
      <c r="B60" s="306"/>
      <c r="C60" s="242"/>
      <c r="D60" s="242" t="s">
        <v>229</v>
      </c>
      <c r="E60" s="46"/>
      <c r="F60" s="87"/>
      <c r="G60" s="87"/>
      <c r="H60" s="87">
        <v>1</v>
      </c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W60" s="11"/>
    </row>
    <row r="65" spans="1:9" ht="18">
      <c r="A65" s="307" t="s">
        <v>588</v>
      </c>
      <c r="B65" s="308"/>
      <c r="C65" s="308"/>
      <c r="D65" s="308"/>
      <c r="H65" s="309"/>
      <c r="I65" s="309"/>
    </row>
    <row r="66" spans="1:9">
      <c r="A66" s="309"/>
      <c r="B66" s="309"/>
      <c r="C66" s="309"/>
      <c r="D66" s="309"/>
      <c r="E66" s="309"/>
      <c r="F66" s="309"/>
      <c r="G66" s="309"/>
      <c r="H66" s="309"/>
      <c r="I66" s="309"/>
    </row>
    <row r="67" spans="1:9">
      <c r="I67" s="309"/>
    </row>
    <row r="68" spans="1:9">
      <c r="C68" s="310" t="str">
        <f>"~FI_T: FLO_MARK~"&amp;Region</f>
        <v>~FI_T: FLO_MARK~FIM</v>
      </c>
      <c r="I68" s="309"/>
    </row>
    <row r="69" spans="1:9" ht="13.5" thickBot="1">
      <c r="A69" s="311" t="s">
        <v>529</v>
      </c>
      <c r="B69" s="312" t="s">
        <v>322</v>
      </c>
      <c r="C69" s="312" t="s">
        <v>325</v>
      </c>
      <c r="D69" s="312">
        <f ca="1">BaseYear</f>
        <v>2010</v>
      </c>
      <c r="E69" s="312">
        <f ca="1">Auxyear</f>
        <v>2017</v>
      </c>
      <c r="F69" s="312">
        <v>2030</v>
      </c>
      <c r="G69" s="312">
        <v>2050</v>
      </c>
      <c r="H69" s="312">
        <v>2100</v>
      </c>
      <c r="I69" s="309"/>
    </row>
    <row r="70" spans="1:9">
      <c r="A70" s="215" t="s">
        <v>572</v>
      </c>
      <c r="B70" s="215" t="s">
        <v>229</v>
      </c>
      <c r="C70" s="216" t="s">
        <v>338</v>
      </c>
      <c r="D70" s="313">
        <f ca="1">-PPROD2!$F$44/IEAData2!$L$140</f>
        <v>2.2254406575589439E-3</v>
      </c>
      <c r="E70" s="313">
        <f ca="1">-PPROD2!$J$44/AuxData2!$L$140</f>
        <v>4.798489873865797E-3</v>
      </c>
      <c r="F70" s="313">
        <f>$E70*0.7</f>
        <v>3.3589429117060576E-3</v>
      </c>
      <c r="G70" s="313">
        <f>$E70*0.5</f>
        <v>2.3992449369328985E-3</v>
      </c>
      <c r="H70" s="313">
        <f>$E70*0.3</f>
        <v>1.4395469621597391E-3</v>
      </c>
      <c r="I70" s="309"/>
    </row>
    <row r="71" spans="1:9">
      <c r="I71" s="309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U47"/>
  <sheetViews>
    <sheetView topLeftCell="A4" zoomScale="75" workbookViewId="0">
      <pane ySplit="7" topLeftCell="A11" activePane="bottomLeft" state="frozen"/>
      <selection activeCell="G1" sqref="G1"/>
      <selection pane="bottomLeft" activeCell="A45" sqref="A45"/>
    </sheetView>
  </sheetViews>
  <sheetFormatPr defaultColWidth="9.140625" defaultRowHeight="12.75"/>
  <cols>
    <col min="1" max="1" width="14.140625" customWidth="1"/>
    <col min="2" max="2" width="28.85546875" customWidth="1"/>
    <col min="3" max="4" width="9.140625" customWidth="1"/>
    <col min="5" max="5" width="20" customWidth="1"/>
    <col min="8" max="8" width="9.5703125" customWidth="1"/>
  </cols>
  <sheetData>
    <row r="1" spans="1:21">
      <c r="C1" s="314"/>
      <c r="F1" s="229"/>
      <c r="G1" s="315"/>
      <c r="H1" s="57"/>
      <c r="I1" s="57"/>
      <c r="J1" s="57"/>
      <c r="K1" s="48"/>
      <c r="L1" s="316"/>
      <c r="M1" s="57"/>
      <c r="N1" s="57"/>
      <c r="O1" s="57"/>
      <c r="P1" s="57"/>
      <c r="Q1" s="57"/>
      <c r="R1" s="57"/>
      <c r="S1" s="57"/>
      <c r="T1" s="8"/>
      <c r="U1" s="8"/>
    </row>
    <row r="2" spans="1:21">
      <c r="C2" s="314"/>
      <c r="F2" s="11"/>
      <c r="H2" s="57"/>
      <c r="I2" s="57"/>
      <c r="J2" s="57"/>
      <c r="K2" s="48"/>
      <c r="L2" s="316"/>
      <c r="M2" s="57"/>
      <c r="N2" s="57"/>
      <c r="O2" s="57"/>
      <c r="P2" s="57"/>
      <c r="Q2" s="57"/>
      <c r="R2" s="57"/>
      <c r="S2" s="57"/>
      <c r="T2" s="8"/>
      <c r="U2" s="8"/>
    </row>
    <row r="3" spans="1:21">
      <c r="C3" s="314"/>
      <c r="F3" s="11"/>
      <c r="H3" s="57"/>
      <c r="I3" s="57"/>
      <c r="J3" s="57"/>
      <c r="K3" s="48"/>
      <c r="L3" s="316"/>
      <c r="M3" s="57"/>
      <c r="N3" s="57"/>
      <c r="O3" s="57"/>
      <c r="P3" s="57"/>
      <c r="Q3" s="57"/>
      <c r="R3" s="57"/>
      <c r="S3" s="57"/>
      <c r="T3" s="8"/>
      <c r="U3" s="8"/>
    </row>
    <row r="4" spans="1:21">
      <c r="C4" s="314"/>
      <c r="D4" s="314"/>
      <c r="E4" s="314"/>
      <c r="F4" s="314"/>
      <c r="G4" s="315"/>
      <c r="H4" s="57"/>
      <c r="I4" s="57"/>
      <c r="J4" s="57"/>
      <c r="K4" s="48"/>
      <c r="L4" s="57"/>
      <c r="M4" s="57"/>
      <c r="N4" s="57"/>
      <c r="O4" s="57"/>
      <c r="P4" s="57"/>
      <c r="Q4" s="57"/>
      <c r="R4" s="57"/>
      <c r="S4" s="57"/>
      <c r="T4" s="8"/>
    </row>
    <row r="5" spans="1:21">
      <c r="A5" s="317"/>
      <c r="B5" s="318"/>
      <c r="D5" s="225"/>
      <c r="E5" s="228"/>
      <c r="F5" s="226"/>
      <c r="H5" s="226"/>
      <c r="I5" s="225"/>
      <c r="J5" s="226"/>
      <c r="K5" s="226"/>
      <c r="L5" s="226"/>
      <c r="M5" s="226"/>
      <c r="N5" s="55"/>
      <c r="O5" s="55"/>
      <c r="P5" s="55"/>
      <c r="Q5" s="55"/>
      <c r="R5" s="55"/>
      <c r="S5" s="55"/>
    </row>
    <row r="6" spans="1:21" ht="18">
      <c r="A6" s="15" t="str">
        <f ca="1">IF(IEAData2!B2="No","Full region (no distinction between OPEC and Non OPEC)","PART I - NON OPEC Countries only")</f>
        <v>Full region (no distinction between OPEC and Non OPEC)</v>
      </c>
      <c r="B6" s="318"/>
      <c r="D6" s="225"/>
      <c r="E6" s="228"/>
      <c r="F6" s="226"/>
      <c r="H6" s="226"/>
      <c r="I6" s="225"/>
      <c r="J6" s="226"/>
      <c r="K6" s="226"/>
      <c r="L6" s="226"/>
      <c r="M6" s="226"/>
      <c r="N6" s="55"/>
      <c r="O6" s="55"/>
      <c r="P6" s="55"/>
      <c r="Q6" s="55"/>
      <c r="R6" s="55"/>
      <c r="S6" s="55"/>
    </row>
    <row r="7" spans="1:21">
      <c r="A7" s="38"/>
      <c r="B7" s="227"/>
      <c r="C7" s="319"/>
      <c r="D7" s="319"/>
      <c r="E7" s="228"/>
      <c r="F7" s="319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8"/>
      <c r="U7" s="8"/>
    </row>
    <row r="8" spans="1:21">
      <c r="E8" s="228"/>
      <c r="K8" s="34"/>
      <c r="L8" s="34"/>
      <c r="M8" s="34"/>
      <c r="N8" s="34"/>
      <c r="O8" s="34"/>
      <c r="P8" s="34"/>
      <c r="Q8" s="34"/>
      <c r="R8" s="34"/>
      <c r="S8" s="34"/>
      <c r="T8" s="295"/>
      <c r="U8" s="295"/>
    </row>
    <row r="9" spans="1:21" ht="18">
      <c r="A9" s="320" t="s">
        <v>589</v>
      </c>
      <c r="B9" s="321"/>
      <c r="C9" s="322"/>
      <c r="D9" s="322"/>
      <c r="E9" s="232" t="str">
        <f>"~FI_T: "&amp;Region</f>
        <v>~FI_T: FIM</v>
      </c>
      <c r="H9" s="226"/>
      <c r="I9" s="226"/>
      <c r="J9" s="226"/>
      <c r="K9" s="226"/>
      <c r="L9" s="226"/>
      <c r="M9" s="226"/>
      <c r="N9" s="226"/>
      <c r="P9" s="226"/>
      <c r="Q9" s="226"/>
      <c r="R9" s="226"/>
      <c r="S9" s="226"/>
      <c r="T9" s="295"/>
      <c r="U9" s="295"/>
    </row>
    <row r="10" spans="1:21" ht="36.75" thickBot="1">
      <c r="A10" s="234" t="s">
        <v>529</v>
      </c>
      <c r="B10" s="323" t="s">
        <v>530</v>
      </c>
      <c r="C10" s="234" t="s">
        <v>531</v>
      </c>
      <c r="D10" s="234" t="s">
        <v>532</v>
      </c>
      <c r="E10" s="234" t="s">
        <v>323</v>
      </c>
      <c r="F10" s="324" t="s">
        <v>536</v>
      </c>
      <c r="G10" s="325" t="s">
        <v>577</v>
      </c>
      <c r="H10" s="280" t="str">
        <f ca="1">"INPUT~"&amp;Auxyear</f>
        <v>INPUT~2017</v>
      </c>
      <c r="I10" s="252" t="s">
        <v>534</v>
      </c>
      <c r="J10" s="324" t="s">
        <v>537</v>
      </c>
      <c r="K10" s="326" t="s">
        <v>590</v>
      </c>
      <c r="L10" s="327" t="str">
        <f ca="1">"ACT_BND~UP~"&amp;Auxyear</f>
        <v>ACT_BND~UP~2017</v>
      </c>
      <c r="M10" s="328" t="s">
        <v>547</v>
      </c>
      <c r="N10" s="226"/>
    </row>
    <row r="11" spans="1:21">
      <c r="A11" s="329" t="str">
        <f>CONCATENATE("FT-",D13,"0")</f>
        <v>FT-UPNNGA0</v>
      </c>
      <c r="B11" s="330" t="s">
        <v>591</v>
      </c>
      <c r="C11" s="331" t="str">
        <f ca="1">IF(OPEC,IEAData2!R97,"GASNGA")</f>
        <v>GASNGA</v>
      </c>
      <c r="D11" s="30"/>
      <c r="E11" s="331"/>
      <c r="F11" s="332">
        <v>1</v>
      </c>
      <c r="G11" s="333">
        <f ca="1">IF(IEAData2!$C$141&gt;=0,1,(IEAData2!$Q$80-IEAData2!$Q$94*0)/IEAData2!$C$141)</f>
        <v>1</v>
      </c>
      <c r="H11" s="334">
        <f ca="1">IF(AuxData2!$C$141&gt;=0,1,(AuxData2!$Q$80-AuxData2!$Q$94*0)/AuxData2!$C$141)</f>
        <v>1</v>
      </c>
      <c r="I11" s="332"/>
      <c r="J11" s="332"/>
      <c r="K11" s="335"/>
      <c r="L11" s="332"/>
      <c r="M11" s="332"/>
      <c r="N11" s="226"/>
    </row>
    <row r="12" spans="1:21">
      <c r="A12" s="107"/>
      <c r="B12" s="330"/>
      <c r="C12" s="331" t="s">
        <v>249</v>
      </c>
      <c r="D12" s="30"/>
      <c r="E12" s="331"/>
      <c r="F12" s="332"/>
      <c r="G12" s="333">
        <f ca="1">IF(IEAData2!$C$141&gt;=0,0,(IEAData2!$F$80-IEAData2!$F$94*0)/IEAData2!$C$141)</f>
        <v>0</v>
      </c>
      <c r="H12" s="334">
        <f ca="1">IF(AuxData2!$C$141&gt;=0,0,(AuxData2!$F$80-AuxData2!$F$94*0)/AuxData2!$C$141)</f>
        <v>0</v>
      </c>
      <c r="I12" s="332"/>
      <c r="J12" s="332"/>
      <c r="K12" s="335"/>
      <c r="L12" s="332"/>
      <c r="M12" s="332"/>
      <c r="N12" s="226"/>
    </row>
    <row r="13" spans="1:21">
      <c r="A13" s="305"/>
      <c r="B13" s="336"/>
      <c r="C13" s="45"/>
      <c r="D13" s="45" t="str">
        <f ca="1">IEAData2!C130</f>
        <v>UPNNGA</v>
      </c>
      <c r="E13" s="337" t="s">
        <v>427</v>
      </c>
      <c r="F13" s="338"/>
      <c r="G13" s="339"/>
      <c r="H13" s="340"/>
      <c r="I13" s="338"/>
      <c r="J13" s="338"/>
      <c r="K13" s="341"/>
      <c r="L13" s="338"/>
      <c r="M13" s="338"/>
      <c r="N13" s="226"/>
    </row>
    <row r="14" spans="1:21">
      <c r="A14" s="329" t="str">
        <f>CONCATENATE("FT-",D15,"1")</f>
        <v>FT-UPNNGA1</v>
      </c>
      <c r="B14" s="330" t="s">
        <v>592</v>
      </c>
      <c r="C14" s="331" t="str">
        <f ca="1">IF(OPEC,IEAData2!R97,"GASNGA")</f>
        <v>GASNGA</v>
      </c>
      <c r="D14" s="30"/>
      <c r="E14" s="331"/>
      <c r="F14" s="332">
        <v>1</v>
      </c>
      <c r="G14" s="333">
        <v>1</v>
      </c>
      <c r="H14" s="334">
        <v>1</v>
      </c>
      <c r="I14" s="332"/>
      <c r="J14" s="332"/>
      <c r="K14" s="335"/>
      <c r="L14" s="332"/>
      <c r="M14" s="332"/>
      <c r="N14" s="226"/>
    </row>
    <row r="15" spans="1:21">
      <c r="A15" s="305"/>
      <c r="B15" s="336"/>
      <c r="C15" s="45"/>
      <c r="D15" s="45" t="str">
        <f ca="1">IEAData2!$C$130</f>
        <v>UPNNGA</v>
      </c>
      <c r="E15" s="337" t="s">
        <v>427</v>
      </c>
      <c r="F15" s="338"/>
      <c r="G15" s="339"/>
      <c r="H15" s="340"/>
      <c r="I15" s="338"/>
      <c r="J15" s="338"/>
      <c r="K15" s="341"/>
      <c r="L15" s="338"/>
      <c r="M15" s="338"/>
      <c r="N15" s="226"/>
    </row>
    <row r="16" spans="1:21">
      <c r="A16" s="329" t="str">
        <f>CONCATENATE("FT-",D17,"1")</f>
        <v>FT-UPNCOA1</v>
      </c>
      <c r="B16" s="330" t="s">
        <v>593</v>
      </c>
      <c r="C16" s="331" t="s">
        <v>301</v>
      </c>
      <c r="D16" s="30"/>
      <c r="E16" s="331"/>
      <c r="F16" s="332">
        <v>1</v>
      </c>
      <c r="G16" s="333">
        <v>1</v>
      </c>
      <c r="H16" s="334">
        <v>1</v>
      </c>
      <c r="I16" s="332"/>
      <c r="J16" s="332"/>
      <c r="K16" s="335"/>
      <c r="L16" s="332"/>
      <c r="M16" s="332"/>
      <c r="N16" s="226"/>
    </row>
    <row r="17" spans="1:14">
      <c r="A17" s="305"/>
      <c r="B17" s="336"/>
      <c r="C17" s="45"/>
      <c r="D17" s="45" t="str">
        <f ca="1">IEAData2!$D$130</f>
        <v>UPNCOA</v>
      </c>
      <c r="E17" s="337" t="s">
        <v>429</v>
      </c>
      <c r="F17" s="338"/>
      <c r="G17" s="339"/>
      <c r="H17" s="340"/>
      <c r="I17" s="338"/>
      <c r="J17" s="338"/>
      <c r="K17" s="341"/>
      <c r="L17" s="338"/>
      <c r="M17" s="338"/>
      <c r="N17" s="226"/>
    </row>
    <row r="18" spans="1:14">
      <c r="A18" s="329" t="str">
        <f>CONCATENATE("FT-",LEFT(D19,5),"B1")</f>
        <v>FT-UPNCOB1</v>
      </c>
      <c r="B18" s="330" t="s">
        <v>594</v>
      </c>
      <c r="C18" s="342" t="s">
        <v>299</v>
      </c>
      <c r="D18" s="30"/>
      <c r="E18" s="331"/>
      <c r="F18" s="332">
        <v>1</v>
      </c>
      <c r="G18" s="333">
        <v>1</v>
      </c>
      <c r="H18" s="334">
        <v>1</v>
      </c>
      <c r="I18" s="332"/>
      <c r="J18" s="332"/>
      <c r="K18" s="335"/>
      <c r="L18" s="332"/>
      <c r="M18" s="332"/>
      <c r="N18" s="226"/>
    </row>
    <row r="19" spans="1:14">
      <c r="A19" s="305"/>
      <c r="B19" s="336"/>
      <c r="C19" s="45"/>
      <c r="D19" s="45" t="str">
        <f ca="1">IEAData2!$D$130</f>
        <v>UPNCOA</v>
      </c>
      <c r="E19" s="337" t="s">
        <v>429</v>
      </c>
      <c r="F19" s="338"/>
      <c r="G19" s="339"/>
      <c r="H19" s="340"/>
      <c r="I19" s="338"/>
      <c r="J19" s="338"/>
      <c r="K19" s="341"/>
      <c r="L19" s="338"/>
      <c r="M19" s="338"/>
      <c r="N19" s="226"/>
    </row>
    <row r="20" spans="1:14">
      <c r="A20" s="329" t="str">
        <f>CONCATENATE("FT-",D29,"0")</f>
        <v>FT-UPNRPP0</v>
      </c>
      <c r="B20" s="330" t="s">
        <v>595</v>
      </c>
      <c r="C20" s="342" t="s">
        <v>276</v>
      </c>
      <c r="D20" s="30"/>
      <c r="E20" s="342"/>
      <c r="F20" s="343"/>
      <c r="G20" s="333">
        <f ca="1">IF(IEAData2!$F$141&gt;=0,0,(IEAData2!$Z$80-IEAData2!$Z$94*0)/IEAData2!$F$141)</f>
        <v>0</v>
      </c>
      <c r="H20" s="334">
        <f ca="1">IF(AuxData2!$F$141&gt;=0,0,(AuxData2!$Z$80-AuxData2!$Z$94*0)/AuxData2!$F$141)</f>
        <v>0</v>
      </c>
      <c r="I20" s="343"/>
      <c r="J20" s="343"/>
      <c r="K20" s="344"/>
      <c r="L20" s="343"/>
      <c r="M20" s="343"/>
      <c r="N20" s="226"/>
    </row>
    <row r="21" spans="1:14">
      <c r="A21" s="107"/>
      <c r="B21" s="330"/>
      <c r="C21" s="342" t="s">
        <v>401</v>
      </c>
      <c r="D21" s="30"/>
      <c r="E21" s="342"/>
      <c r="F21" s="343"/>
      <c r="G21" s="333">
        <f ca="1">IF(IEAData2!$F$141&gt;=0,0,(IEAData2!$AA$80-IEAData2!$AA$94*0)/IEAData2!$F$141)</f>
        <v>0</v>
      </c>
      <c r="H21" s="334">
        <f ca="1">IF(AuxData2!$F$141&gt;=0,0,(AuxData2!$AA$80-AuxData2!$AA$94*0)/AuxData2!$F$141)</f>
        <v>0</v>
      </c>
      <c r="I21" s="343"/>
      <c r="J21" s="343"/>
      <c r="K21" s="344"/>
      <c r="L21" s="343"/>
      <c r="M21" s="343"/>
      <c r="N21" s="226"/>
    </row>
    <row r="22" spans="1:14">
      <c r="A22" s="107"/>
      <c r="B22" s="330"/>
      <c r="C22" s="342" t="s">
        <v>407</v>
      </c>
      <c r="D22" s="30"/>
      <c r="E22" s="342"/>
      <c r="F22" s="343"/>
      <c r="G22" s="333">
        <f ca="1">IF(IEAData2!$F$141&gt;=0,0,(IEAData2!$AB$80-IEAData2!$AB$94*0)/IEAData2!$F$141)</f>
        <v>0</v>
      </c>
      <c r="H22" s="334">
        <f ca="1">IF(AuxData2!$F$141&gt;=0,0,(AuxData2!$AB$80-AuxData2!$AB$94*0)/AuxData2!$F$141)</f>
        <v>0</v>
      </c>
      <c r="I22" s="343"/>
      <c r="J22" s="343"/>
      <c r="K22" s="344"/>
      <c r="L22" s="343"/>
      <c r="M22" s="343"/>
      <c r="N22" s="226"/>
    </row>
    <row r="23" spans="1:14">
      <c r="A23" s="107"/>
      <c r="B23" s="330"/>
      <c r="C23" s="342" t="s">
        <v>409</v>
      </c>
      <c r="D23" s="30"/>
      <c r="E23" s="342"/>
      <c r="F23" s="343"/>
      <c r="G23" s="333">
        <f ca="1">IF(IEAData2!$F$141&gt;=0,0,(IEAData2!$AC$80-IEAData2!$AC$94*0)/IEAData2!$F$141)</f>
        <v>0</v>
      </c>
      <c r="H23" s="334">
        <f ca="1">IF(AuxData2!$F$141&gt;=0,0,(AuxData2!$AC$80-AuxData2!$AC$94*0)/AuxData2!$F$141)</f>
        <v>0</v>
      </c>
      <c r="I23" s="343"/>
      <c r="J23" s="343"/>
      <c r="K23" s="344"/>
      <c r="L23" s="343"/>
      <c r="M23" s="343"/>
      <c r="N23" s="226"/>
    </row>
    <row r="24" spans="1:14">
      <c r="A24" s="107"/>
      <c r="B24" s="330"/>
      <c r="C24" s="342" t="s">
        <v>286</v>
      </c>
      <c r="D24" s="30"/>
      <c r="E24" s="342"/>
      <c r="F24" s="343"/>
      <c r="G24" s="333">
        <f ca="1">IF(IEAData2!$F$141&gt;=0,0,(IEAData2!$AD$80-IEAData2!$AD$94*0)/IEAData2!$F$141)</f>
        <v>0</v>
      </c>
      <c r="H24" s="334">
        <f ca="1">IF(AuxData2!$F$141&gt;=0,0,(AuxData2!$AD$80-AuxData2!$AD$94*0)/AuxData2!$F$141)</f>
        <v>0</v>
      </c>
      <c r="I24" s="343"/>
      <c r="J24" s="343"/>
      <c r="K24" s="344"/>
      <c r="L24" s="343"/>
      <c r="M24" s="343"/>
      <c r="N24" s="226"/>
    </row>
    <row r="25" spans="1:14">
      <c r="A25" s="107"/>
      <c r="B25" s="330"/>
      <c r="C25" s="342" t="s">
        <v>274</v>
      </c>
      <c r="D25" s="30"/>
      <c r="E25" s="342"/>
      <c r="F25" s="343"/>
      <c r="G25" s="333">
        <f ca="1">IF(IEAData2!$F$141&gt;=0,0,(IEAData2!$AE$80-IEAData2!$AE$94*0)/IEAData2!$F$141)</f>
        <v>0</v>
      </c>
      <c r="H25" s="334">
        <f ca="1">IF(AuxData2!$F$141&gt;=0,0,(AuxData2!$AE$80-AuxData2!$AE$94*0)/AuxData2!$F$141)</f>
        <v>0</v>
      </c>
      <c r="I25" s="343"/>
      <c r="J25" s="343"/>
      <c r="K25" s="344"/>
      <c r="L25" s="343"/>
      <c r="M25" s="343"/>
      <c r="N25" s="226"/>
    </row>
    <row r="26" spans="1:14">
      <c r="A26" s="107"/>
      <c r="B26" s="330"/>
      <c r="C26" s="342" t="s">
        <v>287</v>
      </c>
      <c r="D26" s="30"/>
      <c r="E26" s="342"/>
      <c r="F26" s="343"/>
      <c r="G26" s="333">
        <f ca="1">IF(IEAData2!$F$141&gt;=0,1,(IEAData2!$AF$80-IEAData2!$AF$94*0)/IEAData2!$F$141)</f>
        <v>0.33596960586921149</v>
      </c>
      <c r="H26" s="334">
        <f ca="1">IF(AuxData2!$F$141&gt;=0,1,(AuxData2!$AF$80-AuxData2!$AF$94*0)/AuxData2!$F$141)</f>
        <v>0.36945873132500612</v>
      </c>
      <c r="I26" s="343"/>
      <c r="J26" s="343"/>
      <c r="K26" s="344"/>
      <c r="L26" s="343"/>
      <c r="M26" s="343"/>
      <c r="N26" s="226"/>
    </row>
    <row r="27" spans="1:14">
      <c r="A27" s="107"/>
      <c r="B27" s="330"/>
      <c r="C27" s="342" t="s">
        <v>278</v>
      </c>
      <c r="D27" s="30"/>
      <c r="E27" s="342"/>
      <c r="F27" s="343"/>
      <c r="G27" s="333">
        <f ca="1">IF(IEAData2!$F$141&gt;=0,0,(IEAData2!$AG$80-IEAData2!$AG$94*0)/IEAData2!$F$141)</f>
        <v>0</v>
      </c>
      <c r="H27" s="334">
        <f ca="1">IF(AuxData2!$F$141&gt;=0,0,(AuxData2!$AG$80-AuxData2!$AG$94*0)/AuxData2!$F$141)</f>
        <v>0</v>
      </c>
      <c r="I27" s="343"/>
      <c r="J27" s="343"/>
      <c r="K27" s="344"/>
      <c r="L27" s="343"/>
      <c r="M27" s="343"/>
      <c r="N27" s="226"/>
    </row>
    <row r="28" spans="1:14">
      <c r="A28" s="107"/>
      <c r="B28" s="330"/>
      <c r="C28" s="342" t="s">
        <v>304</v>
      </c>
      <c r="D28" s="30"/>
      <c r="E28" s="342"/>
      <c r="F28" s="343"/>
      <c r="G28" s="333">
        <f ca="1">IF(IEAData2!$F$141&gt;=0,0,(IEAData2!$AL$80-IEAData2!$AL$94*0)/IEAData2!$F$141)</f>
        <v>0.66403039413078857</v>
      </c>
      <c r="H28" s="334">
        <f ca="1">IF(AuxData2!$F$141&gt;=0,0,(AuxData2!$AL$80-AuxData2!$AL$94*0)/AuxData2!$F$141)</f>
        <v>0.63054126867499394</v>
      </c>
      <c r="I28" s="343"/>
      <c r="J28" s="343"/>
      <c r="K28" s="344"/>
      <c r="L28" s="343"/>
      <c r="M28" s="343"/>
      <c r="N28" s="226"/>
    </row>
    <row r="29" spans="1:14">
      <c r="A29" s="106"/>
      <c r="B29" s="336"/>
      <c r="C29" s="45"/>
      <c r="D29" s="45" t="str">
        <f ca="1">IEAData2!F130</f>
        <v>UPNRPP</v>
      </c>
      <c r="E29" s="337" t="s">
        <v>438</v>
      </c>
      <c r="F29" s="345"/>
      <c r="G29" s="346"/>
      <c r="H29" s="347"/>
      <c r="I29" s="345"/>
      <c r="J29" s="345"/>
      <c r="K29" s="348"/>
      <c r="L29" s="345"/>
      <c r="M29" s="345"/>
      <c r="N29" s="226"/>
    </row>
    <row r="30" spans="1:14">
      <c r="A30" s="329" t="str">
        <f>CONCATENATE("FT-",D33,"0")</f>
        <v>FT-UPNRPG0</v>
      </c>
      <c r="B30" s="330" t="s">
        <v>596</v>
      </c>
      <c r="C30" s="342" t="s">
        <v>260</v>
      </c>
      <c r="D30" s="30"/>
      <c r="E30" s="342"/>
      <c r="F30" s="343">
        <v>1</v>
      </c>
      <c r="G30" s="333">
        <f ca="1">IF(IEAData2!$G$141=0,1,(IEAData2!$W$80-IEAData2!$W$94*0)/IEAData2!$G$141)</f>
        <v>1</v>
      </c>
      <c r="H30" s="334">
        <f ca="1">IF(AuxData2!$G$141=0,1,(AuxData2!$W$80-AuxData2!$W$94*0)/AuxData2!$G$141)</f>
        <v>1</v>
      </c>
      <c r="I30" s="343"/>
      <c r="J30" s="343"/>
      <c r="K30" s="344"/>
      <c r="L30" s="343"/>
      <c r="M30" s="343"/>
      <c r="N30" s="226"/>
    </row>
    <row r="31" spans="1:14">
      <c r="A31" s="107"/>
      <c r="B31" s="330"/>
      <c r="C31" s="342" t="s">
        <v>265</v>
      </c>
      <c r="D31" s="30"/>
      <c r="E31" s="342"/>
      <c r="F31" s="343"/>
      <c r="G31" s="333">
        <f ca="1">IF(IEAData2!$G$141=0,0,(IEAData2!$X$80-IEAData2!$X$94*0)/IEAData2!$G$141)</f>
        <v>0</v>
      </c>
      <c r="H31" s="334">
        <f ca="1">IF(AuxData2!$G$141=0,0,(AuxData2!$X$80-AuxData2!$X$94*0)/AuxData2!$G$141)</f>
        <v>0</v>
      </c>
      <c r="I31" s="343"/>
      <c r="J31" s="343"/>
      <c r="K31" s="344"/>
      <c r="L31" s="343"/>
      <c r="M31" s="343"/>
      <c r="N31" s="226"/>
    </row>
    <row r="32" spans="1:14">
      <c r="A32" s="107"/>
      <c r="B32" s="330"/>
      <c r="C32" s="342" t="s">
        <v>262</v>
      </c>
      <c r="D32" s="30"/>
      <c r="E32" s="342"/>
      <c r="F32" s="343"/>
      <c r="G32" s="333">
        <f ca="1">IF(IEAData2!$G$141=0,0,(IEAData2!$Y$80-IEAData2!$Y$94*0)/IEAData2!$G$141)</f>
        <v>0</v>
      </c>
      <c r="H32" s="334">
        <f ca="1">IF(AuxData2!$G$141=0,0,(AuxData2!$Y$80-AuxData2!$Y$94*0)/AuxData2!$G$141)</f>
        <v>0</v>
      </c>
      <c r="I32" s="343"/>
      <c r="J32" s="343"/>
      <c r="K32" s="344"/>
      <c r="L32" s="343"/>
      <c r="M32" s="343"/>
      <c r="N32" s="226"/>
    </row>
    <row r="33" spans="1:14">
      <c r="A33" s="349"/>
      <c r="B33" s="336"/>
      <c r="C33" s="45"/>
      <c r="D33" s="45" t="str">
        <f ca="1">IEAData2!G130</f>
        <v>UPNRPG</v>
      </c>
      <c r="E33" s="337" t="s">
        <v>428</v>
      </c>
      <c r="F33" s="345"/>
      <c r="G33" s="346"/>
      <c r="H33" s="347"/>
      <c r="I33" s="345"/>
      <c r="J33" s="345"/>
      <c r="K33" s="348"/>
      <c r="L33" s="345"/>
      <c r="M33" s="345"/>
      <c r="N33" s="226"/>
    </row>
    <row r="34" spans="1:14">
      <c r="A34" s="329" t="str">
        <f>CONCATENATE("FT-",D40,"0")</f>
        <v>FT-UPNREN0</v>
      </c>
      <c r="B34" s="330" t="s">
        <v>597</v>
      </c>
      <c r="C34" s="342" t="str">
        <f ca="1">IEAData2!K97</f>
        <v>BIOCHR</v>
      </c>
      <c r="D34" s="30"/>
      <c r="E34" s="342"/>
      <c r="F34" s="343">
        <v>1</v>
      </c>
      <c r="G34" s="333">
        <f ca="1">IF(IEAData2!$H$141&gt;=0,0,(IEAData2!$J$80-IEAData2!$J$94*0)/IEAData2!$H$141)</f>
        <v>0</v>
      </c>
      <c r="H34" s="334">
        <f ca="1">IF(AuxData2!$H$141&gt;=0,0,(AuxData2!$J$80-AuxData2!$J$94*0)/AuxData2!$H$141)</f>
        <v>0</v>
      </c>
      <c r="I34" s="343"/>
      <c r="J34" s="343"/>
      <c r="K34" s="344"/>
      <c r="L34" s="343"/>
      <c r="M34" s="343"/>
      <c r="N34" s="226"/>
    </row>
    <row r="35" spans="1:14">
      <c r="A35" s="107"/>
      <c r="B35" s="330"/>
      <c r="C35" s="342" t="str">
        <f ca="1">IEAData2!L97</f>
        <v>BIOBSL</v>
      </c>
      <c r="D35" s="30"/>
      <c r="E35" s="342"/>
      <c r="F35" s="343"/>
      <c r="G35" s="333">
        <f ca="1">IF(IEAData2!$H$141&gt;=0,1,(IEAData2!$K$80-IEAData2!$K$94*0)/IEAData2!$H$141)</f>
        <v>1</v>
      </c>
      <c r="H35" s="334">
        <f ca="1">IF(AuxData2!$H$141&gt;=0,1,(AuxData2!$K$80-AuxData2!$K$94*0)/AuxData2!$H$141)</f>
        <v>1</v>
      </c>
      <c r="I35" s="343"/>
      <c r="J35" s="343"/>
      <c r="K35" s="344"/>
      <c r="L35" s="343"/>
      <c r="M35" s="343"/>
      <c r="N35" s="226"/>
    </row>
    <row r="36" spans="1:14">
      <c r="A36" s="107"/>
      <c r="B36" s="330"/>
      <c r="C36" s="342" t="str">
        <f ca="1">IEAData2!M97</f>
        <v>BIOBIN</v>
      </c>
      <c r="D36" s="30"/>
      <c r="E36" s="342"/>
      <c r="F36" s="343"/>
      <c r="G36" s="333">
        <f ca="1">IF(IEAData2!$H$141&gt;=0,0,(IEAData2!$L$80-IEAData2!$L$94*0)/IEAData2!$H$141)</f>
        <v>0</v>
      </c>
      <c r="H36" s="334">
        <f ca="1">IF(AuxData2!$H$141&gt;=0,0,(AuxData2!$L$80-AuxData2!$L$94*0)/AuxData2!$H$141)</f>
        <v>0</v>
      </c>
      <c r="I36" s="343"/>
      <c r="J36" s="343"/>
      <c r="K36" s="344"/>
      <c r="L36" s="343"/>
      <c r="M36" s="343"/>
      <c r="N36" s="226"/>
    </row>
    <row r="37" spans="1:14">
      <c r="A37" s="107"/>
      <c r="B37" s="330"/>
      <c r="C37" s="342" t="str">
        <f ca="1">IEAData2!N97</f>
        <v>BIOBMU</v>
      </c>
      <c r="D37" s="30"/>
      <c r="E37" s="342"/>
      <c r="F37" s="343"/>
      <c r="G37" s="333">
        <f ca="1">IF(IEAData2!$H$141&gt;=0,0,(IEAData2!$M$80-IEAData2!$M$94*0)/IEAData2!$H$141)</f>
        <v>0</v>
      </c>
      <c r="H37" s="334">
        <f ca="1">IF(AuxData2!$H$141&gt;=0,0,(AuxData2!$M$80-AuxData2!$M$94*0)/AuxData2!$H$141)</f>
        <v>0</v>
      </c>
      <c r="I37" s="343"/>
      <c r="J37" s="343"/>
      <c r="K37" s="344"/>
      <c r="L37" s="343"/>
      <c r="M37" s="343"/>
      <c r="N37" s="226"/>
    </row>
    <row r="38" spans="1:14">
      <c r="A38" s="107"/>
      <c r="B38" s="330"/>
      <c r="C38" s="342" t="str">
        <f ca="1">IEAData2!O97</f>
        <v>BIOGAS</v>
      </c>
      <c r="D38" s="330"/>
      <c r="E38" s="342"/>
      <c r="F38" s="343"/>
      <c r="G38" s="333">
        <f ca="1">IF(IEAData2!$H$141&gt;=0,0,(IEAData2!$N$80-IEAData2!$N$94*0)/IEAData2!$H$141)</f>
        <v>0</v>
      </c>
      <c r="H38" s="334">
        <f ca="1">IF(AuxData2!$H$141&gt;=0,0,(AuxData2!$N$80-AuxData2!$N$94*0)/AuxData2!$H$141)</f>
        <v>0</v>
      </c>
      <c r="I38" s="343"/>
      <c r="J38" s="343"/>
      <c r="K38" s="344"/>
      <c r="L38" s="343"/>
      <c r="M38" s="343"/>
      <c r="N38" s="226"/>
    </row>
    <row r="39" spans="1:14">
      <c r="A39" s="107"/>
      <c r="B39" s="330"/>
      <c r="C39" s="342" t="str">
        <f ca="1">IEAData2!P97</f>
        <v>BIOLIQ</v>
      </c>
      <c r="D39" s="30"/>
      <c r="E39" s="342"/>
      <c r="F39" s="343"/>
      <c r="G39" s="333">
        <f ca="1">IF(IEAData2!$H$141&gt;=0,0,(IEAData2!$O$80-IEAData2!$O$94*0)/IEAData2!$H$141)</f>
        <v>0</v>
      </c>
      <c r="H39" s="334">
        <f ca="1">IF(AuxData2!$H$141&gt;=0,0,(AuxData2!$O$80-AuxData2!$O$94*0)/AuxData2!$H$141)</f>
        <v>0</v>
      </c>
      <c r="I39" s="343"/>
      <c r="J39" s="343"/>
      <c r="K39" s="344"/>
      <c r="L39" s="343"/>
      <c r="M39" s="343"/>
      <c r="N39" s="226"/>
    </row>
    <row r="40" spans="1:14">
      <c r="A40" s="349"/>
      <c r="B40" s="336"/>
      <c r="C40" s="45"/>
      <c r="D40" s="45" t="str">
        <f ca="1">IEAData2!H130</f>
        <v>UPNREN</v>
      </c>
      <c r="E40" s="337" t="s">
        <v>437</v>
      </c>
      <c r="F40" s="345"/>
      <c r="G40" s="346"/>
      <c r="H40" s="347"/>
      <c r="I40" s="345"/>
      <c r="J40" s="345"/>
      <c r="K40" s="348"/>
      <c r="L40" s="345"/>
      <c r="M40" s="345"/>
      <c r="N40" s="226"/>
    </row>
    <row r="41" spans="1:14">
      <c r="A41" s="350" t="s">
        <v>598</v>
      </c>
      <c r="B41" s="351" t="s">
        <v>599</v>
      </c>
      <c r="C41" s="352" t="s">
        <v>600</v>
      </c>
      <c r="D41" s="351" t="s">
        <v>431</v>
      </c>
      <c r="E41" s="353" t="s">
        <v>601</v>
      </c>
      <c r="F41" s="354">
        <v>1</v>
      </c>
      <c r="G41" s="355">
        <f>H41^0.4</f>
        <v>1.0193191778751125</v>
      </c>
      <c r="H41" s="356">
        <v>1.0489999999999999</v>
      </c>
      <c r="I41" s="354"/>
      <c r="J41" s="357">
        <v>30</v>
      </c>
      <c r="K41" s="358"/>
      <c r="L41" s="359"/>
      <c r="M41" s="259"/>
    </row>
    <row r="42" spans="1:14">
      <c r="A42" s="253" t="s">
        <v>602</v>
      </c>
      <c r="B42" s="360" t="s">
        <v>603</v>
      </c>
      <c r="C42" s="353" t="str">
        <f ca="1">IEAData2!AR97</f>
        <v>HET</v>
      </c>
      <c r="D42" s="351"/>
      <c r="E42" s="353"/>
      <c r="F42" s="354">
        <v>1</v>
      </c>
      <c r="G42" s="361">
        <v>1</v>
      </c>
      <c r="H42" s="362">
        <v>1</v>
      </c>
      <c r="I42" s="354"/>
      <c r="J42" s="357">
        <v>30</v>
      </c>
      <c r="K42" s="363"/>
      <c r="L42" s="364"/>
      <c r="M42" s="259"/>
    </row>
    <row r="43" spans="1:14">
      <c r="A43" s="261"/>
      <c r="B43" s="365"/>
      <c r="C43" s="366"/>
      <c r="D43" s="367" t="s">
        <v>433</v>
      </c>
      <c r="E43" s="368" t="s">
        <v>434</v>
      </c>
      <c r="F43" s="369"/>
      <c r="G43" s="370"/>
      <c r="H43" s="371"/>
      <c r="I43" s="369"/>
      <c r="J43" s="369"/>
      <c r="K43" s="372"/>
      <c r="L43" s="350"/>
      <c r="M43" s="350"/>
    </row>
    <row r="44" spans="1:14">
      <c r="A44" s="350" t="str">
        <f>CONCATENATE(D44,"000")</f>
        <v>UPNELC000</v>
      </c>
      <c r="B44" s="351" t="s">
        <v>604</v>
      </c>
      <c r="C44" s="366" t="str">
        <f ca="1">D41</f>
        <v>SUPELC</v>
      </c>
      <c r="D44" s="366" t="str">
        <f ca="1">IEAData2!I130</f>
        <v>UPNELC</v>
      </c>
      <c r="E44" s="368" t="s">
        <v>605</v>
      </c>
      <c r="F44" s="369"/>
      <c r="G44" s="370">
        <v>1</v>
      </c>
      <c r="H44" s="371">
        <v>1</v>
      </c>
      <c r="I44" s="369"/>
      <c r="J44" s="369"/>
      <c r="K44" s="372"/>
      <c r="L44" s="350"/>
      <c r="M44" s="350"/>
    </row>
    <row r="45" spans="1:14">
      <c r="A45" s="373" t="s">
        <v>606</v>
      </c>
      <c r="B45" s="374" t="s">
        <v>607</v>
      </c>
      <c r="C45" s="374" t="str">
        <f>D43</f>
        <v>UPNHET</v>
      </c>
      <c r="D45" s="375" t="s">
        <v>223</v>
      </c>
      <c r="E45" s="376" t="s">
        <v>608</v>
      </c>
      <c r="F45" s="350">
        <v>1</v>
      </c>
      <c r="G45" s="370">
        <v>1</v>
      </c>
      <c r="H45" s="371">
        <v>1</v>
      </c>
      <c r="I45" s="350">
        <v>1</v>
      </c>
      <c r="J45" s="357">
        <v>30</v>
      </c>
      <c r="K45" s="372"/>
      <c r="L45" s="350"/>
      <c r="M45" s="350"/>
    </row>
    <row r="46" spans="1:14">
      <c r="A46" s="377"/>
      <c r="B46" s="374"/>
      <c r="C46" s="374"/>
      <c r="D46" s="374"/>
      <c r="E46" s="374"/>
      <c r="F46" s="350"/>
      <c r="G46" s="378"/>
      <c r="H46" s="379"/>
      <c r="I46" s="350"/>
      <c r="J46" s="350"/>
      <c r="K46" s="372"/>
      <c r="L46" s="350"/>
      <c r="M46" s="350"/>
    </row>
    <row r="47" spans="1:14">
      <c r="C47" s="228"/>
      <c r="D47" s="380"/>
      <c r="E47" s="380"/>
      <c r="F47" s="11"/>
      <c r="G47" s="11"/>
      <c r="H47" s="38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48"/>
  <sheetViews>
    <sheetView zoomScale="75" workbookViewId="0">
      <selection activeCell="R5" sqref="R5"/>
    </sheetView>
  </sheetViews>
  <sheetFormatPr defaultColWidth="9.140625" defaultRowHeight="12.75"/>
  <cols>
    <col min="1" max="1" width="9.140625" customWidth="1"/>
    <col min="2" max="2" width="11.140625" customWidth="1"/>
    <col min="3" max="3" width="11.28515625" customWidth="1"/>
    <col min="4" max="4" width="11" customWidth="1"/>
    <col min="10" max="10" width="13.85546875" customWidth="1"/>
    <col min="11" max="11" width="9.42578125" customWidth="1"/>
    <col min="12" max="12" width="10.140625" customWidth="1"/>
    <col min="19" max="19" width="12.42578125" customWidth="1"/>
  </cols>
  <sheetData>
    <row r="1" spans="1:20" ht="18">
      <c r="A1" s="15" t="str">
        <f ca="1">IF(IEAData2!B2="No","Full region (no distinction between OPEC and Non OPEC)","PART I - NON OPEC Countries only")</f>
        <v>Full region (no distinction between OPEC and Non OPEC)</v>
      </c>
      <c r="N1" s="381"/>
    </row>
    <row r="2" spans="1:20">
      <c r="N2" s="381"/>
    </row>
    <row r="3" spans="1:20">
      <c r="D3" s="382"/>
      <c r="N3" s="381"/>
    </row>
    <row r="4" spans="1:20">
      <c r="L4" s="383"/>
    </row>
    <row r="5" spans="1:20" ht="18">
      <c r="A5" s="56" t="s">
        <v>609</v>
      </c>
      <c r="B5" s="223"/>
      <c r="C5" s="223"/>
      <c r="D5" s="223"/>
      <c r="E5" s="223"/>
      <c r="J5" s="56" t="s">
        <v>610</v>
      </c>
      <c r="K5" s="320"/>
      <c r="L5" s="310" t="s">
        <v>611</v>
      </c>
      <c r="R5" s="232" t="b">
        <f>IF(FALSE,"~FI_T: "&amp;Region)</f>
        <v>0</v>
      </c>
      <c r="T5" s="309"/>
    </row>
    <row r="6" spans="1:20" ht="24.75" thickBot="1">
      <c r="A6" s="384" t="s">
        <v>612</v>
      </c>
      <c r="B6" s="252" t="s">
        <v>508</v>
      </c>
      <c r="C6" s="252" t="s">
        <v>506</v>
      </c>
      <c r="D6" s="252" t="s">
        <v>510</v>
      </c>
      <c r="E6" s="385"/>
      <c r="F6" s="386" t="s">
        <v>613</v>
      </c>
      <c r="G6" s="386" t="s">
        <v>614</v>
      </c>
      <c r="H6" s="22"/>
      <c r="J6" s="387" t="s">
        <v>529</v>
      </c>
      <c r="K6" s="387" t="s">
        <v>530</v>
      </c>
      <c r="L6" s="387" t="s">
        <v>545</v>
      </c>
      <c r="M6" s="388" t="s">
        <v>508</v>
      </c>
      <c r="N6" s="388" t="s">
        <v>506</v>
      </c>
      <c r="O6" s="388" t="s">
        <v>510</v>
      </c>
      <c r="R6" s="401" t="s">
        <v>322</v>
      </c>
      <c r="S6" s="402" t="s">
        <v>653</v>
      </c>
      <c r="T6" s="403"/>
    </row>
    <row r="7" spans="1:20">
      <c r="A7" s="107" t="s">
        <v>145</v>
      </c>
      <c r="B7" s="80">
        <f>94.6*0.9905</f>
        <v>93.701300000000003</v>
      </c>
      <c r="C7" s="53">
        <v>1</v>
      </c>
      <c r="D7" s="80">
        <v>1.4</v>
      </c>
      <c r="E7" s="22"/>
      <c r="F7" s="80">
        <v>0.54151624548736499</v>
      </c>
      <c r="G7" s="80">
        <v>1.80505415162455</v>
      </c>
      <c r="H7" s="22"/>
      <c r="J7" s="350" t="s">
        <v>572</v>
      </c>
      <c r="K7" s="350"/>
      <c r="L7" s="350" t="s">
        <v>229</v>
      </c>
      <c r="M7" s="389">
        <f>B33</f>
        <v>56.1</v>
      </c>
      <c r="N7" s="389">
        <f>C33</f>
        <v>1</v>
      </c>
      <c r="O7" s="389">
        <f>D33</f>
        <v>0.53720118184260002</v>
      </c>
      <c r="R7" s="219" t="s">
        <v>514</v>
      </c>
      <c r="S7" s="405">
        <f>12/44*0.000001</f>
        <v>2.7272727272727269E-7</v>
      </c>
      <c r="T7" s="404"/>
    </row>
    <row r="8" spans="1:20">
      <c r="A8" s="107" t="s">
        <v>146</v>
      </c>
      <c r="B8" s="80">
        <v>101.2</v>
      </c>
      <c r="C8" s="390">
        <f>C7</f>
        <v>1</v>
      </c>
      <c r="D8" s="80">
        <f>D7</f>
        <v>1.4</v>
      </c>
      <c r="E8" s="22"/>
      <c r="F8" s="80">
        <v>0.54151624548736499</v>
      </c>
      <c r="G8" s="80">
        <v>1.80505415162455</v>
      </c>
      <c r="H8" s="22"/>
      <c r="I8" s="22"/>
      <c r="J8" s="350"/>
      <c r="K8" s="350"/>
      <c r="L8" s="350" t="s">
        <v>274</v>
      </c>
      <c r="M8" s="389">
        <f>B25</f>
        <v>74.066666666666706</v>
      </c>
      <c r="N8" s="389">
        <f>C25</f>
        <v>5</v>
      </c>
      <c r="O8" s="389">
        <f>D25</f>
        <v>0.6</v>
      </c>
    </row>
    <row r="9" spans="1:20">
      <c r="A9" s="107" t="s">
        <v>147</v>
      </c>
      <c r="B9" s="80">
        <f>108*0.982</f>
        <v>106.056</v>
      </c>
      <c r="C9" s="390">
        <f>C7</f>
        <v>1</v>
      </c>
      <c r="D9" s="80">
        <f t="shared" ref="D9:D14" si="0">D8</f>
        <v>1.4</v>
      </c>
      <c r="E9" s="22"/>
      <c r="F9" s="80">
        <v>0.54151624548736499</v>
      </c>
      <c r="G9" s="80">
        <v>1.80505415162455</v>
      </c>
      <c r="H9" s="22"/>
      <c r="I9" s="22"/>
      <c r="J9" s="350" t="s">
        <v>615</v>
      </c>
      <c r="K9" s="350"/>
      <c r="L9" s="391" t="str">
        <f ca="1">UPS_FUELS2!C11</f>
        <v>GASNGA</v>
      </c>
      <c r="M9" s="389">
        <f t="shared" ref="M9:O10" si="1">B33</f>
        <v>56.1</v>
      </c>
      <c r="N9" s="389">
        <f t="shared" si="1"/>
        <v>1</v>
      </c>
      <c r="O9" s="389">
        <f t="shared" si="1"/>
        <v>0.53720118184260002</v>
      </c>
    </row>
    <row r="10" spans="1:20">
      <c r="A10" s="107" t="s">
        <v>148</v>
      </c>
      <c r="B10" s="80">
        <f>108*0.982</f>
        <v>106.056</v>
      </c>
      <c r="C10" s="390">
        <f>C7</f>
        <v>1</v>
      </c>
      <c r="D10" s="80">
        <f t="shared" si="0"/>
        <v>1.4</v>
      </c>
      <c r="E10" s="22"/>
      <c r="F10" s="80">
        <v>0.54151624548736499</v>
      </c>
      <c r="G10" s="80">
        <v>1.80505415162455</v>
      </c>
      <c r="H10" s="22"/>
      <c r="I10" s="22"/>
      <c r="J10" s="350"/>
      <c r="K10" s="350"/>
      <c r="L10" s="391" t="s">
        <v>149</v>
      </c>
      <c r="M10" s="389">
        <f t="shared" si="1"/>
        <v>56.1</v>
      </c>
      <c r="N10" s="389">
        <f t="shared" si="1"/>
        <v>1</v>
      </c>
      <c r="O10" s="389">
        <f t="shared" si="1"/>
        <v>0.53720118184260002</v>
      </c>
    </row>
    <row r="11" spans="1:20">
      <c r="A11" s="107" t="s">
        <v>150</v>
      </c>
      <c r="B11" s="80">
        <v>44.4</v>
      </c>
      <c r="C11" s="390">
        <f>C7</f>
        <v>1</v>
      </c>
      <c r="D11" s="80">
        <f t="shared" si="0"/>
        <v>1.4</v>
      </c>
      <c r="E11" s="22"/>
      <c r="F11" s="80">
        <v>0.54151624548736499</v>
      </c>
      <c r="G11" s="80">
        <v>1.80505415162455</v>
      </c>
      <c r="H11" s="22"/>
      <c r="I11" s="22"/>
      <c r="J11" s="350" t="s">
        <v>616</v>
      </c>
      <c r="K11" s="350"/>
      <c r="L11" s="391" t="str">
        <f ca="1">UPS_FUELS2!C14</f>
        <v>GASNGA</v>
      </c>
      <c r="M11" s="389">
        <f>B33</f>
        <v>56.1</v>
      </c>
      <c r="N11" s="389">
        <f>C33</f>
        <v>1</v>
      </c>
      <c r="O11" s="389">
        <f>D33</f>
        <v>0.53720118184260002</v>
      </c>
    </row>
    <row r="12" spans="1:20">
      <c r="A12" s="107" t="s">
        <v>151</v>
      </c>
      <c r="B12" s="80">
        <v>0</v>
      </c>
      <c r="C12" s="390">
        <f>C7</f>
        <v>1</v>
      </c>
      <c r="D12" s="80">
        <f t="shared" si="0"/>
        <v>1.4</v>
      </c>
      <c r="E12" s="22"/>
      <c r="F12" s="80">
        <v>0.54151624548736499</v>
      </c>
      <c r="G12" s="80">
        <v>1.80505415162455</v>
      </c>
      <c r="H12" s="22"/>
      <c r="I12" s="22"/>
      <c r="J12" s="350" t="s">
        <v>617</v>
      </c>
      <c r="K12" s="350"/>
      <c r="L12" s="350" t="s">
        <v>301</v>
      </c>
      <c r="M12" s="389">
        <f t="shared" ref="M12:O13" si="2">B7</f>
        <v>93.701300000000003</v>
      </c>
      <c r="N12" s="389">
        <f t="shared" si="2"/>
        <v>1</v>
      </c>
      <c r="O12" s="389">
        <f t="shared" si="2"/>
        <v>1.4</v>
      </c>
    </row>
    <row r="13" spans="1:20">
      <c r="A13" s="106" t="s">
        <v>152</v>
      </c>
      <c r="B13" s="392">
        <v>0</v>
      </c>
      <c r="C13" s="68">
        <f>C7</f>
        <v>1</v>
      </c>
      <c r="D13" s="392">
        <f t="shared" si="0"/>
        <v>1.4</v>
      </c>
      <c r="E13" s="22"/>
      <c r="F13" s="392">
        <v>0.54151624548736499</v>
      </c>
      <c r="G13" s="392">
        <v>1.80505415162455</v>
      </c>
      <c r="H13" s="22"/>
      <c r="I13" s="22"/>
      <c r="J13" s="350" t="s">
        <v>618</v>
      </c>
      <c r="K13" s="350"/>
      <c r="L13" s="350" t="s">
        <v>299</v>
      </c>
      <c r="M13" s="389">
        <f t="shared" si="2"/>
        <v>101.2</v>
      </c>
      <c r="N13" s="389">
        <f t="shared" si="2"/>
        <v>1</v>
      </c>
      <c r="O13" s="389">
        <f t="shared" si="2"/>
        <v>1.4</v>
      </c>
    </row>
    <row r="14" spans="1:20">
      <c r="A14" s="107" t="s">
        <v>183</v>
      </c>
      <c r="B14" s="80">
        <v>100.833333333333</v>
      </c>
      <c r="C14" s="53">
        <f>C7</f>
        <v>1</v>
      </c>
      <c r="D14" s="80">
        <f t="shared" si="0"/>
        <v>1.4</v>
      </c>
      <c r="E14" s="22"/>
      <c r="F14" s="80">
        <v>0.54151624548736499</v>
      </c>
      <c r="G14" s="80">
        <v>1.80505415162455</v>
      </c>
      <c r="H14" s="22"/>
      <c r="I14" s="22"/>
      <c r="J14" s="350" t="s">
        <v>619</v>
      </c>
      <c r="K14" s="350"/>
      <c r="L14" s="393" t="s">
        <v>276</v>
      </c>
      <c r="M14" s="389">
        <f t="shared" ref="M14:O15" si="3">B20</f>
        <v>69.3</v>
      </c>
      <c r="N14" s="389">
        <f t="shared" si="3"/>
        <v>5</v>
      </c>
      <c r="O14" s="389">
        <f t="shared" si="3"/>
        <v>0.6</v>
      </c>
    </row>
    <row r="15" spans="1:20">
      <c r="A15" s="107" t="s">
        <v>162</v>
      </c>
      <c r="B15" s="80">
        <v>73.3333333333333</v>
      </c>
      <c r="C15" s="53">
        <v>3</v>
      </c>
      <c r="D15" s="80">
        <v>0.6</v>
      </c>
      <c r="E15" s="22"/>
      <c r="F15" s="80">
        <v>2.9339853300733498</v>
      </c>
      <c r="G15" s="80">
        <v>0.31784841075794601</v>
      </c>
      <c r="H15" s="22"/>
      <c r="I15" s="22"/>
      <c r="J15" s="350"/>
      <c r="K15" s="350"/>
      <c r="L15" s="393" t="s">
        <v>401</v>
      </c>
      <c r="M15" s="389">
        <f t="shared" si="3"/>
        <v>69.3</v>
      </c>
      <c r="N15" s="389">
        <f t="shared" si="3"/>
        <v>1</v>
      </c>
      <c r="O15" s="389">
        <f t="shared" si="3"/>
        <v>0.6</v>
      </c>
    </row>
    <row r="16" spans="1:20">
      <c r="A16" s="107" t="s">
        <v>164</v>
      </c>
      <c r="B16" s="80">
        <v>63.066666666666698</v>
      </c>
      <c r="C16" s="53">
        <v>3</v>
      </c>
      <c r="D16" s="80">
        <v>0.6</v>
      </c>
      <c r="E16" s="22"/>
      <c r="F16" s="80">
        <v>1.34110247872734</v>
      </c>
      <c r="G16" s="80">
        <v>0</v>
      </c>
      <c r="H16" s="22"/>
      <c r="I16" s="22"/>
      <c r="J16" s="350"/>
      <c r="K16" s="350"/>
      <c r="L16" s="350" t="s">
        <v>407</v>
      </c>
      <c r="M16" s="389">
        <f t="shared" ref="M16:M21" si="4">B22</f>
        <v>69.3</v>
      </c>
      <c r="N16" s="389">
        <f t="shared" ref="N16:N21" si="5">C22</f>
        <v>1</v>
      </c>
      <c r="O16" s="389">
        <f t="shared" ref="O16:O21" si="6">D22</f>
        <v>0.6</v>
      </c>
    </row>
    <row r="17" spans="1:15">
      <c r="A17" s="107" t="s">
        <v>165</v>
      </c>
      <c r="B17" s="80">
        <v>73.3333333333333</v>
      </c>
      <c r="C17" s="53">
        <v>3</v>
      </c>
      <c r="D17" s="80">
        <v>0.6</v>
      </c>
      <c r="E17" s="22"/>
      <c r="F17" s="80">
        <v>0.15580368735393399</v>
      </c>
      <c r="G17" s="80">
        <v>0.33757465593352398</v>
      </c>
      <c r="H17" s="22"/>
      <c r="I17" s="22"/>
      <c r="J17" s="350"/>
      <c r="K17" s="350"/>
      <c r="L17" s="350" t="s">
        <v>409</v>
      </c>
      <c r="M17" s="389">
        <f t="shared" si="4"/>
        <v>71.5</v>
      </c>
      <c r="N17" s="389">
        <f t="shared" si="5"/>
        <v>1</v>
      </c>
      <c r="O17" s="389">
        <f t="shared" si="6"/>
        <v>0.6</v>
      </c>
    </row>
    <row r="18" spans="1:15">
      <c r="A18" s="107" t="s">
        <v>166</v>
      </c>
      <c r="B18" s="80">
        <v>73.3333333333333</v>
      </c>
      <c r="C18" s="53">
        <v>3</v>
      </c>
      <c r="D18" s="80">
        <v>0.6</v>
      </c>
      <c r="E18" s="22"/>
      <c r="F18" s="80">
        <v>0.15580368735393399</v>
      </c>
      <c r="G18" s="80">
        <v>0.33757465593352398</v>
      </c>
      <c r="H18" s="22"/>
      <c r="I18" s="22"/>
      <c r="J18" s="350"/>
      <c r="K18" s="350"/>
      <c r="L18" s="350" t="s">
        <v>286</v>
      </c>
      <c r="M18" s="389">
        <f t="shared" si="4"/>
        <v>71.866666666666703</v>
      </c>
      <c r="N18" s="389">
        <f t="shared" si="5"/>
        <v>1</v>
      </c>
      <c r="O18" s="389">
        <f t="shared" si="6"/>
        <v>0.6</v>
      </c>
    </row>
    <row r="19" spans="1:15">
      <c r="A19" s="107" t="s">
        <v>167</v>
      </c>
      <c r="B19" s="80">
        <v>73.3333333333333</v>
      </c>
      <c r="C19" s="53">
        <v>3</v>
      </c>
      <c r="D19" s="80">
        <v>0.6</v>
      </c>
      <c r="E19" s="22"/>
      <c r="F19" s="80">
        <v>0.15580368735393399</v>
      </c>
      <c r="G19" s="80">
        <v>0.33757465593352398</v>
      </c>
      <c r="H19" s="22"/>
      <c r="I19" s="22"/>
      <c r="J19" s="350"/>
      <c r="K19" s="350"/>
      <c r="L19" s="350" t="s">
        <v>274</v>
      </c>
      <c r="M19" s="389">
        <f t="shared" si="4"/>
        <v>74.066666666666706</v>
      </c>
      <c r="N19" s="389">
        <f t="shared" si="5"/>
        <v>5</v>
      </c>
      <c r="O19" s="389">
        <f t="shared" si="6"/>
        <v>0.6</v>
      </c>
    </row>
    <row r="20" spans="1:15">
      <c r="A20" s="107" t="s">
        <v>171</v>
      </c>
      <c r="B20" s="80">
        <v>69.3</v>
      </c>
      <c r="C20" s="53">
        <v>5</v>
      </c>
      <c r="D20" s="80">
        <v>0.6</v>
      </c>
      <c r="E20" s="22"/>
      <c r="F20" s="80">
        <v>6.92</v>
      </c>
      <c r="G20" s="80">
        <v>6.6</v>
      </c>
      <c r="H20" s="22"/>
      <c r="I20" s="22"/>
      <c r="J20" s="350"/>
      <c r="K20" s="350"/>
      <c r="L20" s="350" t="s">
        <v>287</v>
      </c>
      <c r="M20" s="389">
        <f t="shared" si="4"/>
        <v>77.366666666666703</v>
      </c>
      <c r="N20" s="389">
        <f t="shared" si="5"/>
        <v>5</v>
      </c>
      <c r="O20" s="389">
        <f t="shared" si="6"/>
        <v>0.6</v>
      </c>
    </row>
    <row r="21" spans="1:15">
      <c r="A21" s="107" t="s">
        <v>172</v>
      </c>
      <c r="B21" s="80">
        <v>69.3</v>
      </c>
      <c r="C21" s="53">
        <v>1</v>
      </c>
      <c r="D21" s="80">
        <v>0.6</v>
      </c>
      <c r="E21" s="22"/>
      <c r="F21" s="80">
        <v>60</v>
      </c>
      <c r="G21" s="80">
        <v>6.86</v>
      </c>
      <c r="H21" s="22"/>
      <c r="I21" s="22"/>
      <c r="J21" s="350"/>
      <c r="K21" s="350"/>
      <c r="L21" s="350" t="s">
        <v>278</v>
      </c>
      <c r="M21" s="389">
        <f t="shared" si="4"/>
        <v>73.3333333333333</v>
      </c>
      <c r="N21" s="389">
        <f t="shared" si="5"/>
        <v>5</v>
      </c>
      <c r="O21" s="389">
        <f t="shared" si="6"/>
        <v>0.6</v>
      </c>
    </row>
    <row r="22" spans="1:15">
      <c r="A22" s="107" t="s">
        <v>173</v>
      </c>
      <c r="B22" s="80">
        <v>69.3</v>
      </c>
      <c r="C22" s="53">
        <v>1</v>
      </c>
      <c r="D22" s="80">
        <v>0.6</v>
      </c>
      <c r="E22" s="22"/>
      <c r="F22" s="80">
        <v>2</v>
      </c>
      <c r="G22" s="80">
        <v>6.4</v>
      </c>
      <c r="H22" s="22"/>
      <c r="I22" s="22"/>
      <c r="J22" s="350"/>
      <c r="K22" s="350"/>
      <c r="L22" s="350" t="s">
        <v>304</v>
      </c>
      <c r="M22" s="389">
        <f>B14</f>
        <v>100.833333333333</v>
      </c>
      <c r="N22" s="389">
        <f>C14</f>
        <v>1</v>
      </c>
      <c r="O22" s="389">
        <f>D14</f>
        <v>1.4</v>
      </c>
    </row>
    <row r="23" spans="1:15">
      <c r="A23" s="107" t="s">
        <v>174</v>
      </c>
      <c r="B23" s="80">
        <v>71.5</v>
      </c>
      <c r="C23" s="53">
        <v>1</v>
      </c>
      <c r="D23" s="80">
        <v>0.6</v>
      </c>
      <c r="E23" s="22"/>
      <c r="F23" s="80">
        <v>5.53</v>
      </c>
      <c r="G23" s="80">
        <v>6.1</v>
      </c>
      <c r="H23" s="22"/>
      <c r="I23" s="22"/>
      <c r="J23" s="350" t="s">
        <v>620</v>
      </c>
      <c r="K23" s="350"/>
      <c r="L23" s="350" t="s">
        <v>260</v>
      </c>
      <c r="M23" s="389">
        <f t="shared" ref="M23:O25" si="7">B35</f>
        <v>56.1</v>
      </c>
      <c r="N23" s="389">
        <f t="shared" si="7"/>
        <v>1</v>
      </c>
      <c r="O23" s="389">
        <f t="shared" si="7"/>
        <v>0.53720118184260002</v>
      </c>
    </row>
    <row r="24" spans="1:15">
      <c r="A24" s="107" t="s">
        <v>175</v>
      </c>
      <c r="B24" s="80">
        <v>71.866666666666703</v>
      </c>
      <c r="C24" s="53">
        <v>1</v>
      </c>
      <c r="D24" s="80">
        <v>0.6</v>
      </c>
      <c r="E24" s="22"/>
      <c r="F24" s="80">
        <v>5.53</v>
      </c>
      <c r="G24" s="80">
        <v>6.1</v>
      </c>
      <c r="H24" s="22"/>
      <c r="I24" s="22"/>
      <c r="J24" s="350"/>
      <c r="K24" s="350"/>
      <c r="L24" s="350" t="s">
        <v>265</v>
      </c>
      <c r="M24" s="389">
        <f t="shared" si="7"/>
        <v>61.6</v>
      </c>
      <c r="N24" s="389">
        <f t="shared" si="7"/>
        <v>1</v>
      </c>
      <c r="O24" s="389">
        <f t="shared" si="7"/>
        <v>0.53720118184260002</v>
      </c>
    </row>
    <row r="25" spans="1:15">
      <c r="A25" s="107" t="s">
        <v>176</v>
      </c>
      <c r="B25" s="80">
        <v>74.066666666666706</v>
      </c>
      <c r="C25" s="53">
        <v>5</v>
      </c>
      <c r="D25" s="80">
        <v>0.6</v>
      </c>
      <c r="E25" s="22"/>
      <c r="F25" s="80">
        <v>1.32</v>
      </c>
      <c r="G25" s="80">
        <v>3.36</v>
      </c>
      <c r="H25" s="22"/>
      <c r="I25" s="22"/>
      <c r="J25" s="350"/>
      <c r="K25" s="350"/>
      <c r="L25" s="350" t="s">
        <v>262</v>
      </c>
      <c r="M25" s="389">
        <f t="shared" si="7"/>
        <v>63.066666666666698</v>
      </c>
      <c r="N25" s="389">
        <f t="shared" si="7"/>
        <v>1</v>
      </c>
      <c r="O25" s="389">
        <f t="shared" si="7"/>
        <v>0.53720118184260002</v>
      </c>
    </row>
    <row r="26" spans="1:15">
      <c r="A26" s="107" t="s">
        <v>177</v>
      </c>
      <c r="B26" s="80">
        <v>77.366666666666703</v>
      </c>
      <c r="C26" s="53">
        <v>5</v>
      </c>
      <c r="D26" s="80">
        <v>0.6</v>
      </c>
      <c r="E26" s="22"/>
      <c r="F26" s="80">
        <v>0.72</v>
      </c>
      <c r="G26" s="80">
        <v>3.11</v>
      </c>
      <c r="H26" s="22"/>
      <c r="I26" s="22"/>
    </row>
    <row r="27" spans="1:15">
      <c r="A27" s="107" t="s">
        <v>178</v>
      </c>
      <c r="B27" s="80">
        <v>73.3333333333333</v>
      </c>
      <c r="C27" s="53">
        <f>C25</f>
        <v>5</v>
      </c>
      <c r="D27" s="80">
        <v>0.6</v>
      </c>
      <c r="E27" s="22"/>
      <c r="F27" s="80">
        <v>1.32</v>
      </c>
      <c r="G27" s="80">
        <v>3.36</v>
      </c>
      <c r="H27" s="22"/>
      <c r="I27" s="22"/>
    </row>
    <row r="28" spans="1:15">
      <c r="A28" s="107" t="s">
        <v>179</v>
      </c>
      <c r="B28" s="80">
        <v>73.3333333333333</v>
      </c>
      <c r="C28" s="53">
        <f>C25</f>
        <v>5</v>
      </c>
      <c r="D28" s="80">
        <v>0.6</v>
      </c>
      <c r="E28" s="22"/>
      <c r="F28" s="80">
        <v>1.32</v>
      </c>
      <c r="G28" s="80">
        <v>3.36</v>
      </c>
      <c r="H28" s="22"/>
      <c r="I28" s="22"/>
    </row>
    <row r="29" spans="1:15">
      <c r="A29" s="107" t="s">
        <v>180</v>
      </c>
      <c r="B29" s="80">
        <v>73.3333333333333</v>
      </c>
      <c r="C29" s="53">
        <f>C25</f>
        <v>5</v>
      </c>
      <c r="D29" s="80">
        <v>0.6</v>
      </c>
      <c r="E29" s="22"/>
      <c r="F29" s="80">
        <v>1.32</v>
      </c>
      <c r="G29" s="80">
        <v>3.36</v>
      </c>
      <c r="H29" s="22"/>
      <c r="I29" s="22"/>
    </row>
    <row r="30" spans="1:15">
      <c r="A30" s="107" t="s">
        <v>181</v>
      </c>
      <c r="B30" s="80">
        <v>80.6666666666667</v>
      </c>
      <c r="C30" s="53">
        <f>C25</f>
        <v>5</v>
      </c>
      <c r="D30" s="80">
        <v>0.6</v>
      </c>
      <c r="E30" s="22"/>
      <c r="F30" s="80">
        <v>1.32</v>
      </c>
      <c r="G30" s="80">
        <v>3.36</v>
      </c>
      <c r="H30" s="22"/>
      <c r="I30" s="22"/>
    </row>
    <row r="31" spans="1:15">
      <c r="A31" s="107" t="s">
        <v>182</v>
      </c>
      <c r="B31" s="80">
        <v>80.6666666666667</v>
      </c>
      <c r="C31" s="53">
        <f>C25</f>
        <v>5</v>
      </c>
      <c r="D31" s="80">
        <v>0.6</v>
      </c>
      <c r="E31" s="22"/>
      <c r="F31" s="80">
        <v>1.32</v>
      </c>
      <c r="G31" s="80">
        <v>3.36</v>
      </c>
      <c r="H31" s="22"/>
      <c r="I31" s="22"/>
    </row>
    <row r="32" spans="1:15">
      <c r="A32" s="106" t="s">
        <v>184</v>
      </c>
      <c r="B32" s="392">
        <v>73.3333333333333</v>
      </c>
      <c r="C32" s="68">
        <f>C25</f>
        <v>5</v>
      </c>
      <c r="D32" s="392">
        <f>D31</f>
        <v>0.6</v>
      </c>
      <c r="E32" s="22"/>
      <c r="F32" s="392">
        <v>1.32</v>
      </c>
      <c r="G32" s="392">
        <v>3.36</v>
      </c>
      <c r="H32" s="22"/>
      <c r="I32" s="22"/>
    </row>
    <row r="33" spans="1:9" ht="14.25" customHeight="1">
      <c r="A33" s="107" t="s">
        <v>160</v>
      </c>
      <c r="B33" s="80">
        <v>56.1</v>
      </c>
      <c r="C33" s="53">
        <v>1</v>
      </c>
      <c r="D33" s="80">
        <f>0.02/37.23*1000</f>
        <v>0.53720118184260002</v>
      </c>
      <c r="E33" s="22"/>
      <c r="F33" s="80">
        <v>0.13</v>
      </c>
      <c r="G33" s="80">
        <v>0.62</v>
      </c>
      <c r="H33" s="22"/>
      <c r="I33" s="22"/>
    </row>
    <row r="34" spans="1:9">
      <c r="A34" s="107" t="s">
        <v>149</v>
      </c>
      <c r="B34" s="80">
        <v>56.1</v>
      </c>
      <c r="C34" s="53">
        <v>1</v>
      </c>
      <c r="D34" s="80">
        <f>D33</f>
        <v>0.53720118184260002</v>
      </c>
      <c r="E34" s="22"/>
      <c r="F34" s="80">
        <v>0.13</v>
      </c>
      <c r="G34" s="80">
        <v>0.62</v>
      </c>
      <c r="H34" s="22"/>
      <c r="I34" s="22"/>
    </row>
    <row r="35" spans="1:9">
      <c r="A35" s="107" t="s">
        <v>168</v>
      </c>
      <c r="B35" s="80">
        <v>56.1</v>
      </c>
      <c r="C35" s="53">
        <v>1</v>
      </c>
      <c r="D35" s="80">
        <f>D34</f>
        <v>0.53720118184260002</v>
      </c>
      <c r="E35" s="22"/>
      <c r="F35" s="80">
        <v>0</v>
      </c>
      <c r="G35" s="80">
        <v>0.62</v>
      </c>
      <c r="H35" s="22"/>
      <c r="I35" s="22"/>
    </row>
    <row r="36" spans="1:9">
      <c r="A36" s="107" t="s">
        <v>169</v>
      </c>
      <c r="B36" s="239">
        <v>61.6</v>
      </c>
      <c r="C36" s="53">
        <v>1</v>
      </c>
      <c r="D36" s="80">
        <f>D35</f>
        <v>0.53720118184260002</v>
      </c>
      <c r="E36" s="22"/>
      <c r="F36" s="80">
        <v>0.13</v>
      </c>
      <c r="G36" s="239">
        <v>0.62</v>
      </c>
      <c r="H36" s="22"/>
      <c r="I36" s="22"/>
    </row>
    <row r="37" spans="1:9">
      <c r="A37" s="106" t="s">
        <v>170</v>
      </c>
      <c r="B37" s="392">
        <v>63.066666666666698</v>
      </c>
      <c r="C37" s="68">
        <v>1</v>
      </c>
      <c r="D37" s="392">
        <f>D36</f>
        <v>0.53720118184260002</v>
      </c>
      <c r="E37" s="22"/>
      <c r="F37" s="69">
        <v>1.18</v>
      </c>
      <c r="G37" s="392">
        <v>9</v>
      </c>
      <c r="H37" s="22"/>
      <c r="I37" s="22"/>
    </row>
    <row r="38" spans="1:9">
      <c r="A38" s="107" t="s">
        <v>153</v>
      </c>
      <c r="B38" s="239">
        <v>1E-4</v>
      </c>
      <c r="C38" s="394">
        <v>200</v>
      </c>
      <c r="D38" s="239">
        <v>4</v>
      </c>
      <c r="E38" s="22"/>
      <c r="F38" s="239">
        <v>0.02</v>
      </c>
      <c r="G38" s="239">
        <v>8.89</v>
      </c>
      <c r="H38" s="278"/>
      <c r="I38" s="22"/>
    </row>
    <row r="39" spans="1:9">
      <c r="A39" s="107" t="s">
        <v>361</v>
      </c>
      <c r="B39" s="239">
        <v>1E-4</v>
      </c>
      <c r="C39" s="239">
        <v>30</v>
      </c>
      <c r="D39" s="239">
        <v>4</v>
      </c>
      <c r="E39" s="22"/>
      <c r="F39" s="239">
        <v>0.02</v>
      </c>
      <c r="G39" s="239">
        <v>8.89</v>
      </c>
      <c r="H39" s="278"/>
      <c r="I39" s="278"/>
    </row>
    <row r="40" spans="1:9">
      <c r="A40" s="107" t="s">
        <v>155</v>
      </c>
      <c r="B40" s="239">
        <v>85.85</v>
      </c>
      <c r="C40" s="239">
        <v>30</v>
      </c>
      <c r="D40" s="239">
        <v>4</v>
      </c>
      <c r="E40" s="22"/>
      <c r="F40" s="239">
        <v>0.02</v>
      </c>
      <c r="G40" s="239">
        <v>0</v>
      </c>
      <c r="H40" s="278"/>
      <c r="I40" s="278"/>
    </row>
    <row r="41" spans="1:9">
      <c r="A41" s="107" t="s">
        <v>156</v>
      </c>
      <c r="B41" s="239">
        <f>110*0.3</f>
        <v>33</v>
      </c>
      <c r="C41" s="239">
        <v>30</v>
      </c>
      <c r="D41" s="239">
        <v>4</v>
      </c>
      <c r="E41" s="22"/>
      <c r="F41" s="239">
        <v>0.02</v>
      </c>
      <c r="G41" s="239">
        <v>0</v>
      </c>
      <c r="H41" s="278"/>
      <c r="I41" s="278"/>
    </row>
    <row r="42" spans="1:9">
      <c r="A42" s="107" t="s">
        <v>423</v>
      </c>
      <c r="B42" s="239">
        <v>1E-4</v>
      </c>
      <c r="C42" s="239">
        <v>30</v>
      </c>
      <c r="D42" s="239">
        <v>4</v>
      </c>
      <c r="E42" s="22"/>
      <c r="F42" s="239">
        <v>0.02</v>
      </c>
      <c r="G42" s="239">
        <v>0</v>
      </c>
      <c r="H42" s="278"/>
      <c r="I42" s="278"/>
    </row>
    <row r="43" spans="1:9">
      <c r="A43" s="107" t="s">
        <v>419</v>
      </c>
      <c r="B43" s="239">
        <v>1E-4</v>
      </c>
      <c r="C43" s="239">
        <v>30</v>
      </c>
      <c r="D43" s="395">
        <v>4</v>
      </c>
      <c r="E43" s="22"/>
      <c r="F43" s="239">
        <v>0.02</v>
      </c>
      <c r="G43" s="80">
        <v>0</v>
      </c>
      <c r="H43" s="278"/>
      <c r="I43" s="278"/>
    </row>
    <row r="44" spans="1:9">
      <c r="A44" s="396" t="s">
        <v>621</v>
      </c>
      <c r="B44" s="249"/>
      <c r="C44" s="249"/>
      <c r="D44" s="249"/>
      <c r="G44" s="22"/>
      <c r="H44" s="278"/>
      <c r="I44" s="278"/>
    </row>
    <row r="45" spans="1:9">
      <c r="A45" s="249" t="s">
        <v>622</v>
      </c>
      <c r="B45" s="249"/>
      <c r="C45" s="249"/>
      <c r="D45" s="249"/>
      <c r="I45" s="278"/>
    </row>
    <row r="46" spans="1:9">
      <c r="A46" s="249" t="s">
        <v>623</v>
      </c>
      <c r="B46" s="249"/>
      <c r="C46" s="249"/>
      <c r="D46" s="249"/>
    </row>
    <row r="48" spans="1:9">
      <c r="A48" s="249"/>
      <c r="B48" s="249"/>
      <c r="C48" s="249"/>
      <c r="D48" s="24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211"/>
  <sheetViews>
    <sheetView zoomScale="75" workbookViewId="0">
      <selection activeCell="D129" sqref="D129"/>
    </sheetView>
  </sheetViews>
  <sheetFormatPr defaultColWidth="9.140625" defaultRowHeight="12.75"/>
  <cols>
    <col min="1" max="1" width="15.85546875" customWidth="1"/>
    <col min="2" max="2" width="17.42578125" customWidth="1"/>
    <col min="15" max="15" width="9.7109375" bestFit="1" customWidth="1"/>
  </cols>
  <sheetData>
    <row r="1" spans="1:52">
      <c r="A1" s="429" t="s">
        <v>316</v>
      </c>
      <c r="B1" s="2">
        <v>2017</v>
      </c>
      <c r="C1" s="3"/>
      <c r="F1" s="4" t="s">
        <v>1</v>
      </c>
      <c r="G1" s="4" t="str">
        <f ca="1">MID(CELL("filename",F1),FIND("VT_",CELL("filename",F1))+3,3)</f>
        <v>FI_</v>
      </c>
      <c r="H1" s="4" t="s">
        <v>2</v>
      </c>
      <c r="I1" s="5">
        <v>1.0000000000000001E-9</v>
      </c>
      <c r="J1" s="6"/>
      <c r="M1" s="7"/>
      <c r="N1" s="7"/>
      <c r="O1" s="7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8"/>
      <c r="AY1" s="8"/>
    </row>
    <row r="2" spans="1:52">
      <c r="A2" s="415" t="s">
        <v>317</v>
      </c>
      <c r="B2" s="416" t="s">
        <v>318</v>
      </c>
      <c r="C2" s="3"/>
      <c r="D2" s="11"/>
      <c r="E2" s="11"/>
      <c r="F2" s="13"/>
      <c r="G2" s="14"/>
      <c r="H2" s="12"/>
      <c r="I2" s="6"/>
      <c r="J2" s="6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8"/>
      <c r="AY2" s="8"/>
    </row>
    <row r="3" spans="1:52">
      <c r="A3" s="11"/>
      <c r="B3" s="11"/>
      <c r="C3" s="3"/>
      <c r="D3" s="11"/>
      <c r="E3" s="11"/>
      <c r="F3" s="13"/>
      <c r="G3" s="14"/>
      <c r="H3" s="12"/>
      <c r="I3" s="6"/>
      <c r="J3" s="6"/>
      <c r="L3" s="7"/>
      <c r="M3" s="7"/>
      <c r="N3" s="7"/>
      <c r="O3" s="7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8"/>
      <c r="AY3" s="8"/>
    </row>
    <row r="4" spans="1:52" ht="18">
      <c r="A4" s="15" t="s">
        <v>663</v>
      </c>
      <c r="B4" s="11"/>
      <c r="C4" s="3"/>
      <c r="D4" s="11"/>
      <c r="E4" s="11"/>
      <c r="F4" s="13"/>
      <c r="G4" s="14"/>
      <c r="H4" s="12"/>
      <c r="I4" s="6"/>
      <c r="J4" s="6"/>
      <c r="L4" s="7"/>
      <c r="M4" s="7"/>
      <c r="N4" s="16" t="s">
        <v>6</v>
      </c>
      <c r="O4" s="16">
        <v>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8"/>
      <c r="AY4" s="8"/>
    </row>
    <row r="5" spans="1:52" ht="18">
      <c r="A5" s="15"/>
      <c r="B5" s="11"/>
      <c r="C5" s="3"/>
      <c r="D5" s="11"/>
      <c r="E5" s="11"/>
      <c r="F5" s="13"/>
      <c r="G5" s="14"/>
      <c r="H5" s="12"/>
      <c r="I5" s="6"/>
      <c r="J5" s="6"/>
      <c r="L5" s="7"/>
      <c r="M5" s="7"/>
      <c r="N5" s="417" t="s">
        <v>664</v>
      </c>
      <c r="O5" s="16">
        <f>IF(Region="FIN",1,0)</f>
        <v>1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8"/>
      <c r="AY5" s="8"/>
    </row>
    <row r="6" spans="1:52" ht="18">
      <c r="A6" s="430"/>
      <c r="B6" s="17" t="s">
        <v>7</v>
      </c>
      <c r="C6" s="18"/>
      <c r="D6" s="19"/>
      <c r="E6" s="19"/>
      <c r="F6" s="20"/>
      <c r="G6" s="20"/>
      <c r="H6" s="20"/>
      <c r="I6" s="20"/>
      <c r="J6" s="21"/>
      <c r="L6" s="7"/>
      <c r="M6" s="7"/>
      <c r="N6" s="7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8"/>
      <c r="AY6" s="8"/>
    </row>
    <row r="7" spans="1:52" ht="13.5" thickBot="1">
      <c r="A7" s="430"/>
      <c r="B7" s="23"/>
      <c r="C7" s="24" t="s">
        <v>8</v>
      </c>
      <c r="D7" s="25"/>
      <c r="E7" s="14"/>
      <c r="F7" s="26"/>
      <c r="G7" s="26"/>
      <c r="H7" s="26"/>
      <c r="I7" s="26"/>
      <c r="J7" s="26"/>
      <c r="L7" s="7"/>
      <c r="M7" s="7"/>
      <c r="N7" s="27" t="s">
        <v>9</v>
      </c>
      <c r="O7" s="28">
        <v>0.22</v>
      </c>
      <c r="P7" s="29">
        <f>IF($O$4,O7)</f>
        <v>0.22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8"/>
      <c r="AY7" s="8"/>
    </row>
    <row r="8" spans="1:52">
      <c r="A8" s="430"/>
      <c r="B8" s="30" t="s">
        <v>10</v>
      </c>
      <c r="C8" s="31">
        <v>0</v>
      </c>
      <c r="D8" s="22" t="s">
        <v>11</v>
      </c>
      <c r="E8" s="26"/>
      <c r="F8" s="26"/>
      <c r="G8" s="26"/>
      <c r="H8" s="26"/>
      <c r="I8" s="26"/>
      <c r="J8" s="26"/>
      <c r="L8" s="7"/>
      <c r="M8" s="7"/>
      <c r="N8" s="27" t="s">
        <v>12</v>
      </c>
      <c r="O8" s="418">
        <f ca="1">1.02*110*120/1000/SCND_TRF!K90</f>
        <v>2.0848789426261425E-2</v>
      </c>
      <c r="P8" s="419">
        <f ca="1">O5*O8</f>
        <v>2.0848789426261425E-2</v>
      </c>
      <c r="Q8" s="6"/>
      <c r="R8" s="6"/>
      <c r="S8" s="6"/>
      <c r="T8" s="6"/>
      <c r="U8" s="6"/>
      <c r="V8" s="6"/>
      <c r="W8" s="6"/>
      <c r="X8" s="6"/>
      <c r="Y8" s="431"/>
      <c r="Z8" s="6"/>
      <c r="AA8" s="431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8"/>
      <c r="AY8" s="8"/>
    </row>
    <row r="9" spans="1:52">
      <c r="A9" s="430"/>
      <c r="B9" s="30" t="s">
        <v>13</v>
      </c>
      <c r="C9" s="31">
        <v>1</v>
      </c>
      <c r="D9" s="25"/>
      <c r="E9" s="26"/>
      <c r="F9" s="26"/>
      <c r="G9" s="26"/>
      <c r="H9" s="26"/>
      <c r="I9" s="22"/>
      <c r="J9" s="26"/>
      <c r="L9" s="7"/>
      <c r="M9" s="7"/>
      <c r="N9" s="27"/>
      <c r="O9" s="28"/>
      <c r="P9" s="3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8"/>
      <c r="AY9" s="8"/>
    </row>
    <row r="10" spans="1:52">
      <c r="A10" s="430"/>
      <c r="B10" s="6"/>
      <c r="C10" s="6"/>
      <c r="D10" s="33"/>
      <c r="E10" s="6"/>
      <c r="F10" s="6"/>
      <c r="G10" s="12"/>
      <c r="H10" s="12"/>
      <c r="I10" s="6"/>
      <c r="J10" s="6"/>
      <c r="L10" s="7"/>
      <c r="M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8"/>
      <c r="AY10" s="8"/>
    </row>
    <row r="11" spans="1:52">
      <c r="A11" s="430"/>
      <c r="B11" s="6"/>
      <c r="C11" s="6"/>
      <c r="D11" s="6"/>
      <c r="E11" s="6"/>
      <c r="F11" s="6"/>
      <c r="G11" s="12"/>
      <c r="H11" s="12"/>
      <c r="I11" s="6"/>
      <c r="J11" s="6"/>
      <c r="L11" s="7"/>
      <c r="M11" s="7"/>
      <c r="Q11" s="6"/>
      <c r="R11" s="6"/>
      <c r="S11" s="6"/>
      <c r="T11" s="6"/>
      <c r="U11" s="6"/>
      <c r="V11" s="6"/>
      <c r="W11" s="6"/>
      <c r="X11" s="6"/>
      <c r="Y11" s="6"/>
      <c r="Z11" s="34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8"/>
      <c r="AY11" s="8"/>
    </row>
    <row r="12" spans="1:52" ht="18">
      <c r="A12" s="430"/>
      <c r="B12" s="17" t="s">
        <v>14</v>
      </c>
      <c r="C12" s="18"/>
      <c r="D12" s="19"/>
      <c r="E12" s="19"/>
      <c r="F12" s="20"/>
      <c r="G12" s="20"/>
      <c r="H12" s="20"/>
      <c r="I12" s="20"/>
      <c r="J12" s="35"/>
      <c r="K12" s="36"/>
      <c r="L12" s="37"/>
      <c r="M12" s="37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</row>
    <row r="13" spans="1:52" ht="13.5" thickBot="1">
      <c r="A13" s="430"/>
      <c r="B13" s="23"/>
      <c r="C13" s="24" t="s">
        <v>8</v>
      </c>
      <c r="D13" s="25"/>
      <c r="E13" s="22"/>
      <c r="F13" s="26"/>
      <c r="G13" s="26"/>
      <c r="H13" s="26"/>
      <c r="I13" s="26"/>
      <c r="J13" s="26"/>
      <c r="K13" s="22"/>
      <c r="L13" s="37"/>
      <c r="M13" s="37"/>
      <c r="N13" s="37"/>
      <c r="O13" s="37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</row>
    <row r="14" spans="1:52">
      <c r="A14" s="39"/>
      <c r="B14" s="30" t="s">
        <v>15</v>
      </c>
      <c r="C14" s="31">
        <f>IF(V52+S52+R52=0,0,R52/(R52+S52+V52))</f>
        <v>0</v>
      </c>
      <c r="D14" s="25"/>
      <c r="E14" s="26"/>
      <c r="F14" s="40">
        <v>1</v>
      </c>
      <c r="G14" s="41" t="s">
        <v>16</v>
      </c>
      <c r="H14" s="42"/>
      <c r="I14" s="26"/>
      <c r="J14" s="43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2"/>
    </row>
    <row r="15" spans="1:52">
      <c r="A15" s="39"/>
      <c r="B15" s="30" t="s">
        <v>17</v>
      </c>
      <c r="C15" s="31">
        <f>IF(V52+S52+R52=0,0,S52/(R52+S52+V52))</f>
        <v>0</v>
      </c>
      <c r="D15" s="25"/>
      <c r="E15" s="26"/>
      <c r="F15" s="40" t="s">
        <v>18</v>
      </c>
      <c r="G15" s="41" t="s">
        <v>18</v>
      </c>
      <c r="H15" s="42"/>
      <c r="I15" s="26"/>
      <c r="J15" s="26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2"/>
    </row>
    <row r="16" spans="1:52">
      <c r="A16" s="39"/>
      <c r="B16" s="30" t="s">
        <v>19</v>
      </c>
      <c r="C16" s="31">
        <f>IF(V52+S52+R52=0,0,V52*F16/(V52+S52+R52))</f>
        <v>0</v>
      </c>
      <c r="D16" s="25"/>
      <c r="E16" s="26"/>
      <c r="F16" s="44">
        <v>0</v>
      </c>
      <c r="G16" s="41" t="s">
        <v>20</v>
      </c>
      <c r="H16" s="42"/>
      <c r="I16" s="14"/>
      <c r="J16" s="26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2"/>
    </row>
    <row r="17" spans="1:52">
      <c r="A17" s="39"/>
      <c r="B17" s="30" t="s">
        <v>21</v>
      </c>
      <c r="C17" s="31">
        <f>IF(V52+S52+R52=0,0,V52*F17/(V52+S52+R52))</f>
        <v>0</v>
      </c>
      <c r="D17" s="25"/>
      <c r="E17" s="26"/>
      <c r="F17" s="44">
        <v>1</v>
      </c>
      <c r="G17" s="41" t="s">
        <v>22</v>
      </c>
      <c r="H17" s="42"/>
      <c r="I17" s="14"/>
      <c r="J17" s="26"/>
      <c r="K17" s="22"/>
      <c r="M17" s="22"/>
      <c r="N17" s="22"/>
      <c r="O17" s="22"/>
      <c r="P17" s="22"/>
      <c r="Q17" s="22"/>
      <c r="R17" s="22"/>
      <c r="S17" s="22"/>
      <c r="T17" s="22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2"/>
    </row>
    <row r="18" spans="1:52">
      <c r="A18" s="39"/>
      <c r="B18" s="45" t="s">
        <v>23</v>
      </c>
      <c r="C18" s="46">
        <f>IF(V52+S52+R52=0,0,V52*F18/(V52+S52+R52))</f>
        <v>0</v>
      </c>
      <c r="D18" s="25"/>
      <c r="E18" s="26"/>
      <c r="F18" s="44">
        <v>0</v>
      </c>
      <c r="G18" s="41" t="s">
        <v>24</v>
      </c>
      <c r="H18" s="42"/>
      <c r="I18" s="14"/>
      <c r="J18" s="26"/>
      <c r="K18" s="22"/>
      <c r="L18" s="22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2"/>
    </row>
    <row r="19" spans="1:52">
      <c r="A19" s="39"/>
      <c r="L19" s="22"/>
      <c r="M19" s="25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2"/>
    </row>
    <row r="20" spans="1:52">
      <c r="A20" s="39"/>
      <c r="B20" s="30" t="s">
        <v>25</v>
      </c>
      <c r="C20" s="31">
        <f>SUM(C14:C18)</f>
        <v>0</v>
      </c>
      <c r="D20" s="25"/>
      <c r="E20" s="26"/>
      <c r="F20" s="26"/>
      <c r="G20" s="26"/>
      <c r="H20" s="26"/>
      <c r="I20" s="14"/>
      <c r="J20" s="26"/>
      <c r="L20" s="22"/>
      <c r="M20" s="25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2"/>
    </row>
    <row r="21" spans="1:52" ht="18">
      <c r="A21" s="39"/>
      <c r="B21" s="47" t="s">
        <v>26</v>
      </c>
      <c r="C21" s="18"/>
      <c r="D21" s="18"/>
      <c r="E21" s="18"/>
      <c r="F21" s="19"/>
      <c r="G21" s="19"/>
      <c r="H21" s="20"/>
      <c r="I21" s="48"/>
      <c r="J21" s="48"/>
      <c r="L21" s="22"/>
      <c r="M21" s="25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2"/>
    </row>
    <row r="22" spans="1:52" ht="34.5" thickBot="1">
      <c r="A22" s="39"/>
      <c r="B22" s="23"/>
      <c r="C22" s="420" t="str">
        <f>C129</f>
        <v>GAS</v>
      </c>
      <c r="D22" s="420" t="str">
        <f>D129</f>
        <v>COAL</v>
      </c>
      <c r="E22" s="420" t="str">
        <f>E129</f>
        <v>CRUDE OIL</v>
      </c>
      <c r="F22" s="420" t="str">
        <f>F129</f>
        <v>OIL PRODUCTS</v>
      </c>
      <c r="G22" s="420" t="s">
        <v>27</v>
      </c>
      <c r="H22" s="420" t="str">
        <f>H129</f>
        <v>RENEWABLES</v>
      </c>
      <c r="I22" s="420" t="str">
        <f>I129</f>
        <v>ELECTRICITY</v>
      </c>
      <c r="J22" s="420" t="str">
        <f>J129</f>
        <v>HEAT</v>
      </c>
      <c r="M22" s="25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2"/>
    </row>
    <row r="23" spans="1:52">
      <c r="A23" s="39"/>
      <c r="B23" s="45" t="s">
        <v>28</v>
      </c>
      <c r="C23" s="52">
        <f>C24+C25+C26</f>
        <v>1</v>
      </c>
      <c r="D23" s="52" t="s">
        <v>29</v>
      </c>
      <c r="E23" s="52">
        <f>E24+E25+E26</f>
        <v>1</v>
      </c>
      <c r="F23" s="52">
        <f>E23</f>
        <v>1</v>
      </c>
      <c r="G23" s="52" t="s">
        <v>29</v>
      </c>
      <c r="H23" s="52" t="s">
        <v>29</v>
      </c>
      <c r="I23" s="52">
        <f>I24+I25+I26</f>
        <v>1</v>
      </c>
      <c r="J23" s="52">
        <f>J24+J25+J26</f>
        <v>1</v>
      </c>
      <c r="L23" s="14"/>
      <c r="M23" s="25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2"/>
    </row>
    <row r="24" spans="1:52">
      <c r="A24" s="39"/>
      <c r="B24" s="30" t="s">
        <v>30</v>
      </c>
      <c r="C24" s="53">
        <v>0.3</v>
      </c>
      <c r="D24" s="42">
        <v>0</v>
      </c>
      <c r="E24" s="53">
        <v>0.2</v>
      </c>
      <c r="F24" s="42">
        <f>E24</f>
        <v>0.2</v>
      </c>
      <c r="G24" s="42">
        <v>0</v>
      </c>
      <c r="H24" s="42">
        <v>0</v>
      </c>
      <c r="I24" s="53">
        <v>0.3</v>
      </c>
      <c r="J24" s="53">
        <v>0.3</v>
      </c>
      <c r="L24" s="22"/>
      <c r="M24" s="2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2"/>
    </row>
    <row r="25" spans="1:52">
      <c r="A25" s="39"/>
      <c r="B25" s="30" t="s">
        <v>31</v>
      </c>
      <c r="C25" s="53">
        <v>0.4</v>
      </c>
      <c r="D25" s="42">
        <v>0</v>
      </c>
      <c r="E25" s="53">
        <v>0.5</v>
      </c>
      <c r="F25" s="42">
        <f>E25</f>
        <v>0.5</v>
      </c>
      <c r="G25" s="42">
        <v>0</v>
      </c>
      <c r="H25" s="42">
        <v>0</v>
      </c>
      <c r="I25" s="53">
        <v>0.4</v>
      </c>
      <c r="J25" s="53">
        <v>0.4</v>
      </c>
      <c r="K25" s="22"/>
      <c r="L25" s="22"/>
      <c r="M25" s="25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2"/>
    </row>
    <row r="26" spans="1:52">
      <c r="A26" s="22"/>
      <c r="B26" s="30" t="s">
        <v>32</v>
      </c>
      <c r="C26" s="53">
        <v>0.3</v>
      </c>
      <c r="D26" s="42">
        <v>0</v>
      </c>
      <c r="E26" s="53">
        <v>0.3</v>
      </c>
      <c r="F26" s="42">
        <f>E26</f>
        <v>0.3</v>
      </c>
      <c r="G26" s="42">
        <v>0</v>
      </c>
      <c r="H26" s="42">
        <v>0</v>
      </c>
      <c r="I26" s="53">
        <v>0.3</v>
      </c>
      <c r="J26" s="53">
        <v>0.3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54"/>
      <c r="AY26" s="54"/>
      <c r="AZ26" s="22"/>
    </row>
    <row r="27" spans="1:52">
      <c r="A27" s="14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5"/>
      <c r="AY27" s="55"/>
      <c r="AZ27" s="22"/>
    </row>
    <row r="28" spans="1:52">
      <c r="A28" s="22"/>
      <c r="K28" s="49"/>
      <c r="L28" s="49"/>
      <c r="M28" s="49"/>
      <c r="N28" s="49"/>
      <c r="O28" s="49"/>
      <c r="P28" s="49"/>
      <c r="Q28" s="49"/>
      <c r="R28" s="49"/>
      <c r="S28" s="57"/>
      <c r="T28" s="49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48"/>
      <c r="AY28" s="48"/>
      <c r="AZ28" s="22"/>
    </row>
    <row r="29" spans="1:52" ht="18">
      <c r="A29" s="22"/>
      <c r="B29" s="56" t="s">
        <v>33</v>
      </c>
      <c r="C29" s="18"/>
      <c r="D29" s="18"/>
      <c r="E29" s="18"/>
      <c r="F29" s="18"/>
      <c r="G29" s="19"/>
      <c r="H29" s="19"/>
      <c r="I29" s="19"/>
      <c r="J29" s="48"/>
      <c r="K29" s="49"/>
      <c r="L29" s="49"/>
      <c r="M29" s="49"/>
      <c r="N29" s="49"/>
      <c r="O29" s="49"/>
      <c r="P29" s="49"/>
      <c r="Q29" s="49"/>
      <c r="R29" s="49"/>
      <c r="S29" s="57"/>
      <c r="T29" s="49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48"/>
      <c r="AY29" s="48"/>
      <c r="AZ29" s="22"/>
    </row>
    <row r="30" spans="1:52" ht="13.5" thickBot="1">
      <c r="A30" s="22"/>
      <c r="B30" s="58"/>
      <c r="C30" s="59" t="s">
        <v>34</v>
      </c>
      <c r="D30" s="22"/>
      <c r="E30" s="14" t="s">
        <v>35</v>
      </c>
      <c r="F30" s="22"/>
      <c r="G30" s="22"/>
      <c r="H30" s="22"/>
      <c r="I30" s="22"/>
      <c r="J30" s="22"/>
      <c r="K30" s="60"/>
      <c r="L30" s="49"/>
      <c r="M30" s="49"/>
      <c r="N30" s="49"/>
      <c r="O30" s="49"/>
      <c r="P30" s="49"/>
      <c r="Q30" s="49"/>
      <c r="R30" s="49"/>
      <c r="S30" s="57"/>
      <c r="T30" s="49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48"/>
      <c r="AY30" s="48"/>
      <c r="AZ30" s="22"/>
    </row>
    <row r="31" spans="1:52">
      <c r="A31" s="22"/>
      <c r="B31" s="30" t="s">
        <v>36</v>
      </c>
      <c r="C31" s="42">
        <f>B52/MAX(0.001,(B52+C52))</f>
        <v>0</v>
      </c>
      <c r="D31" s="22"/>
      <c r="E31" s="22"/>
      <c r="F31" s="22"/>
      <c r="G31" s="22"/>
      <c r="H31" s="22"/>
      <c r="I31" s="22"/>
      <c r="J31" s="22"/>
      <c r="K31" s="49"/>
      <c r="L31" s="49"/>
      <c r="M31" s="49"/>
      <c r="N31" s="49"/>
      <c r="O31" s="49"/>
      <c r="P31" s="49"/>
      <c r="Q31" s="49"/>
      <c r="R31" s="49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48"/>
      <c r="AY31" s="48"/>
      <c r="AZ31" s="22"/>
    </row>
    <row r="32" spans="1:52">
      <c r="A32" s="22"/>
      <c r="B32" s="30" t="s">
        <v>37</v>
      </c>
      <c r="C32" s="42">
        <f>1-C31</f>
        <v>1</v>
      </c>
      <c r="D32" s="22"/>
      <c r="E32" s="22"/>
      <c r="F32" s="22"/>
      <c r="G32" s="22"/>
      <c r="H32" s="22"/>
      <c r="I32" s="22"/>
      <c r="J32" s="22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54"/>
      <c r="AY32" s="54"/>
      <c r="AZ32" s="22"/>
    </row>
    <row r="33" spans="1:52">
      <c r="A33" s="61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2"/>
      <c r="AW33" s="62"/>
      <c r="AX33" s="63"/>
      <c r="AY33" s="63"/>
      <c r="AZ33" s="22"/>
    </row>
    <row r="34" spans="1:52">
      <c r="A34" s="64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54"/>
      <c r="AY34" s="54"/>
      <c r="AZ34" s="22"/>
    </row>
    <row r="35" spans="1:52" ht="18">
      <c r="A35" s="22"/>
      <c r="B35" s="56" t="s">
        <v>38</v>
      </c>
      <c r="C35" s="18"/>
      <c r="D35" s="18"/>
      <c r="E35" s="18"/>
      <c r="F35" s="18"/>
      <c r="G35" s="18"/>
      <c r="H35" s="65"/>
      <c r="I35" s="18"/>
      <c r="J35" s="66"/>
      <c r="K35" s="66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54"/>
      <c r="AY35" s="54"/>
      <c r="AZ35" s="22"/>
    </row>
    <row r="36" spans="1:52" ht="34.5" thickBot="1">
      <c r="A36" s="22"/>
      <c r="B36" s="58"/>
      <c r="C36" s="420" t="str">
        <f>C129</f>
        <v>GAS</v>
      </c>
      <c r="D36" s="420" t="str">
        <f>D129</f>
        <v>COAL</v>
      </c>
      <c r="E36" s="420" t="str">
        <f>E129</f>
        <v>CRUDE OIL</v>
      </c>
      <c r="F36" s="420" t="str">
        <f>F129</f>
        <v>OIL PRODUCTS</v>
      </c>
      <c r="G36" s="420" t="s">
        <v>27</v>
      </c>
      <c r="H36" s="420" t="str">
        <f>H129</f>
        <v>RENEWABLES</v>
      </c>
      <c r="I36" s="420" t="str">
        <f>I129</f>
        <v>ELECTRICITY</v>
      </c>
      <c r="J36" s="420" t="str">
        <f>J129</f>
        <v>HEAT</v>
      </c>
      <c r="K36" s="62"/>
      <c r="L36" s="62"/>
      <c r="M36" s="62"/>
      <c r="N36" s="62"/>
      <c r="O36" s="62"/>
      <c r="P36" s="62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54"/>
      <c r="AY36" s="54"/>
      <c r="AZ36" s="22"/>
    </row>
    <row r="37" spans="1:52">
      <c r="A37" s="67"/>
      <c r="B37" s="45" t="s">
        <v>39</v>
      </c>
      <c r="C37" s="52">
        <f>C38+C39</f>
        <v>1</v>
      </c>
      <c r="D37" s="52">
        <f>D38+D39</f>
        <v>1</v>
      </c>
      <c r="E37" s="52">
        <f>E38+E39</f>
        <v>1</v>
      </c>
      <c r="F37" s="52">
        <f t="shared" ref="F37:G39" si="0">E37</f>
        <v>1</v>
      </c>
      <c r="G37" s="52">
        <f t="shared" si="0"/>
        <v>1</v>
      </c>
      <c r="H37" s="52" t="s">
        <v>29</v>
      </c>
      <c r="I37" s="52">
        <f>I38+I39</f>
        <v>1</v>
      </c>
      <c r="J37" s="52">
        <f>J38+J39</f>
        <v>1</v>
      </c>
      <c r="K37" s="57"/>
      <c r="L37" s="57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13"/>
      <c r="AY37" s="13"/>
      <c r="AZ37" s="22"/>
    </row>
    <row r="38" spans="1:52">
      <c r="A38" s="22"/>
      <c r="B38" s="45" t="s">
        <v>40</v>
      </c>
      <c r="C38" s="68">
        <v>0.5</v>
      </c>
      <c r="D38" s="68">
        <v>0.5</v>
      </c>
      <c r="E38" s="68">
        <v>0.5</v>
      </c>
      <c r="F38" s="52">
        <f t="shared" si="0"/>
        <v>0.5</v>
      </c>
      <c r="G38" s="52">
        <f t="shared" si="0"/>
        <v>0.5</v>
      </c>
      <c r="H38" s="52">
        <v>0</v>
      </c>
      <c r="I38" s="69">
        <v>0.5</v>
      </c>
      <c r="J38" s="69">
        <v>0.5</v>
      </c>
      <c r="K38" s="57"/>
      <c r="L38" s="57"/>
      <c r="M38" s="62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48"/>
      <c r="AY38" s="48"/>
      <c r="AZ38" s="22"/>
    </row>
    <row r="39" spans="1:52">
      <c r="A39" s="22"/>
      <c r="B39" s="71" t="s">
        <v>41</v>
      </c>
      <c r="C39" s="72">
        <v>0.5</v>
      </c>
      <c r="D39" s="72">
        <v>0.5</v>
      </c>
      <c r="E39" s="72">
        <v>0.5</v>
      </c>
      <c r="F39" s="73">
        <f t="shared" si="0"/>
        <v>0.5</v>
      </c>
      <c r="G39" s="73">
        <f t="shared" si="0"/>
        <v>0.5</v>
      </c>
      <c r="H39" s="73">
        <v>0</v>
      </c>
      <c r="I39" s="74">
        <v>0.5</v>
      </c>
      <c r="J39" s="74">
        <v>0.5</v>
      </c>
      <c r="K39" s="57"/>
      <c r="M39" s="57"/>
      <c r="N39" s="75"/>
      <c r="O39" s="76" t="s">
        <v>42</v>
      </c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54"/>
      <c r="AY39" s="54"/>
      <c r="AZ39" s="22"/>
    </row>
    <row r="40" spans="1:52">
      <c r="A40" s="14"/>
      <c r="B40" s="30" t="s">
        <v>43</v>
      </c>
      <c r="C40" s="42">
        <f t="shared" ref="C40:J40" si="1">SUM(C41:C46)</f>
        <v>0.83333333333333337</v>
      </c>
      <c r="D40" s="42">
        <f t="shared" si="1"/>
        <v>0.83333333333333337</v>
      </c>
      <c r="E40" s="42">
        <f t="shared" si="1"/>
        <v>0.83333333333333337</v>
      </c>
      <c r="F40" s="42">
        <f t="shared" si="1"/>
        <v>0.83333333333333337</v>
      </c>
      <c r="G40" s="42">
        <f t="shared" si="1"/>
        <v>0.83333333333333337</v>
      </c>
      <c r="H40" s="42">
        <f t="shared" si="1"/>
        <v>0.83333333333333337</v>
      </c>
      <c r="I40" s="42">
        <f t="shared" si="1"/>
        <v>0.83333333333333337</v>
      </c>
      <c r="J40" s="42">
        <f t="shared" si="1"/>
        <v>0.83333333333333337</v>
      </c>
      <c r="K40" s="57"/>
      <c r="L40" s="14"/>
      <c r="M40" s="57"/>
      <c r="N40" s="77" t="s">
        <v>666</v>
      </c>
      <c r="O40" s="78">
        <v>0</v>
      </c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54"/>
      <c r="AY40" s="54"/>
      <c r="AZ40" s="22"/>
    </row>
    <row r="41" spans="1:52">
      <c r="A41" s="14"/>
      <c r="B41" s="79" t="s">
        <v>45</v>
      </c>
      <c r="C41" s="80">
        <f t="shared" ref="C41:J41" si="2">$C$8*$F$14/1.2</f>
        <v>0</v>
      </c>
      <c r="D41" s="80">
        <f t="shared" si="2"/>
        <v>0</v>
      </c>
      <c r="E41" s="80">
        <f t="shared" si="2"/>
        <v>0</v>
      </c>
      <c r="F41" s="80">
        <f t="shared" si="2"/>
        <v>0</v>
      </c>
      <c r="G41" s="80">
        <f t="shared" si="2"/>
        <v>0</v>
      </c>
      <c r="H41" s="80">
        <f t="shared" si="2"/>
        <v>0</v>
      </c>
      <c r="I41" s="80">
        <f t="shared" si="2"/>
        <v>0</v>
      </c>
      <c r="J41" s="80">
        <f t="shared" si="2"/>
        <v>0</v>
      </c>
      <c r="K41" s="57"/>
      <c r="L41" s="57"/>
      <c r="M41" s="57"/>
      <c r="N41" s="81" t="s">
        <v>667</v>
      </c>
      <c r="O41" s="82">
        <v>0</v>
      </c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54"/>
      <c r="AY41" s="54"/>
      <c r="AZ41" s="22"/>
    </row>
    <row r="42" spans="1:52">
      <c r="A42" s="22"/>
      <c r="B42" s="79" t="s">
        <v>47</v>
      </c>
      <c r="C42" s="80">
        <f t="shared" ref="C42:J42" si="3">$C$9*$F$14/1.2</f>
        <v>0.83333333333333337</v>
      </c>
      <c r="D42" s="80">
        <f t="shared" si="3"/>
        <v>0.83333333333333337</v>
      </c>
      <c r="E42" s="80">
        <f t="shared" si="3"/>
        <v>0.83333333333333337</v>
      </c>
      <c r="F42" s="80">
        <f t="shared" si="3"/>
        <v>0.83333333333333337</v>
      </c>
      <c r="G42" s="80">
        <f t="shared" si="3"/>
        <v>0.83333333333333337</v>
      </c>
      <c r="H42" s="80">
        <f t="shared" si="3"/>
        <v>0.83333333333333337</v>
      </c>
      <c r="I42" s="80">
        <f t="shared" si="3"/>
        <v>0.83333333333333337</v>
      </c>
      <c r="J42" s="80">
        <f t="shared" si="3"/>
        <v>0.83333333333333337</v>
      </c>
      <c r="K42" s="57"/>
      <c r="M42" s="57"/>
      <c r="N42" s="81" t="s">
        <v>46</v>
      </c>
      <c r="O42" s="82">
        <v>12.9714977</v>
      </c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54"/>
      <c r="AY42" s="54"/>
      <c r="AZ42" s="22"/>
    </row>
    <row r="43" spans="1:52">
      <c r="A43" s="22"/>
      <c r="B43" s="79" t="s">
        <v>19</v>
      </c>
      <c r="C43" s="80">
        <f t="shared" ref="C43:J43" si="4">$C$16*3</f>
        <v>0</v>
      </c>
      <c r="D43" s="80">
        <f t="shared" si="4"/>
        <v>0</v>
      </c>
      <c r="E43" s="80">
        <f t="shared" si="4"/>
        <v>0</v>
      </c>
      <c r="F43" s="80">
        <f t="shared" si="4"/>
        <v>0</v>
      </c>
      <c r="G43" s="80">
        <f t="shared" si="4"/>
        <v>0</v>
      </c>
      <c r="H43" s="80">
        <f t="shared" si="4"/>
        <v>0</v>
      </c>
      <c r="I43" s="80">
        <f t="shared" si="4"/>
        <v>0</v>
      </c>
      <c r="J43" s="80">
        <f t="shared" si="4"/>
        <v>0</v>
      </c>
      <c r="K43" s="57"/>
      <c r="L43" s="14"/>
      <c r="M43" s="57"/>
      <c r="N43" s="81" t="s">
        <v>668</v>
      </c>
      <c r="O43" s="82">
        <v>0</v>
      </c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54"/>
      <c r="AY43" s="54"/>
      <c r="AZ43" s="22"/>
    </row>
    <row r="44" spans="1:52">
      <c r="A44" s="22"/>
      <c r="B44" s="79" t="s">
        <v>21</v>
      </c>
      <c r="C44" s="80">
        <f t="shared" ref="C44:J44" si="5">$C$17*2</f>
        <v>0</v>
      </c>
      <c r="D44" s="80">
        <f t="shared" si="5"/>
        <v>0</v>
      </c>
      <c r="E44" s="80">
        <f t="shared" si="5"/>
        <v>0</v>
      </c>
      <c r="F44" s="80">
        <f t="shared" si="5"/>
        <v>0</v>
      </c>
      <c r="G44" s="80">
        <f t="shared" si="5"/>
        <v>0</v>
      </c>
      <c r="H44" s="80">
        <f t="shared" si="5"/>
        <v>0</v>
      </c>
      <c r="I44" s="80">
        <f t="shared" si="5"/>
        <v>0</v>
      </c>
      <c r="J44" s="80">
        <f t="shared" si="5"/>
        <v>0</v>
      </c>
      <c r="K44" s="57"/>
      <c r="M44" s="57"/>
      <c r="N44" s="83" t="s">
        <v>668</v>
      </c>
      <c r="O44" s="84">
        <v>0</v>
      </c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54"/>
      <c r="AY44" s="54"/>
      <c r="AZ44" s="22"/>
    </row>
    <row r="45" spans="1:52">
      <c r="A45" s="22"/>
      <c r="B45" s="79" t="s">
        <v>17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57"/>
      <c r="L45" s="14"/>
      <c r="M45" s="57"/>
      <c r="N45" s="85" t="str">
        <f>IF(ISNA(MATCH(Region,$N$40:$N$44,0)),NA(),Region)</f>
        <v>FIN</v>
      </c>
      <c r="O45" s="86">
        <f ca="1">IF(ISNA(N45),0,OFFSET($O$39,RegIndex,0))</f>
        <v>12.9714977</v>
      </c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54"/>
      <c r="AY45" s="54"/>
      <c r="AZ45" s="22"/>
    </row>
    <row r="46" spans="1:52">
      <c r="A46" s="22"/>
      <c r="B46" s="87" t="s">
        <v>23</v>
      </c>
      <c r="C46" s="80">
        <f t="shared" ref="C46:J46" si="6">$C$18*5</f>
        <v>0</v>
      </c>
      <c r="D46" s="80">
        <f t="shared" si="6"/>
        <v>0</v>
      </c>
      <c r="E46" s="80">
        <f t="shared" si="6"/>
        <v>0</v>
      </c>
      <c r="F46" s="80">
        <f t="shared" si="6"/>
        <v>0</v>
      </c>
      <c r="G46" s="80">
        <f t="shared" si="6"/>
        <v>0</v>
      </c>
      <c r="H46" s="80">
        <f t="shared" si="6"/>
        <v>0</v>
      </c>
      <c r="I46" s="80">
        <f t="shared" si="6"/>
        <v>0</v>
      </c>
      <c r="J46" s="80">
        <f t="shared" si="6"/>
        <v>0</v>
      </c>
      <c r="K46" s="57"/>
      <c r="L46" s="14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54"/>
      <c r="AY46" s="54"/>
      <c r="AZ46" s="22"/>
    </row>
    <row r="47" spans="1:52">
      <c r="A47" s="22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54"/>
      <c r="AY47" s="54"/>
      <c r="AZ47" s="22"/>
    </row>
    <row r="48" spans="1:52">
      <c r="A48" s="88"/>
      <c r="B48" s="89"/>
      <c r="C48" s="26"/>
      <c r="D48" s="26"/>
      <c r="E48" s="26"/>
      <c r="F48" s="26"/>
      <c r="G48" s="26"/>
      <c r="H48" s="26"/>
      <c r="I48" s="26"/>
      <c r="J48" s="26"/>
      <c r="K48" s="48"/>
      <c r="L48" s="90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88"/>
    </row>
    <row r="49" spans="1:52" ht="18">
      <c r="A49" s="25"/>
      <c r="B49" s="47" t="s">
        <v>50</v>
      </c>
      <c r="C49" s="91"/>
      <c r="D49" s="36"/>
      <c r="E49" s="25"/>
      <c r="F49" s="92"/>
      <c r="G49" s="92"/>
      <c r="H49" s="55"/>
      <c r="I49" s="55"/>
      <c r="J49" s="55"/>
      <c r="K49" s="55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22"/>
    </row>
    <row r="50" spans="1:52">
      <c r="A50" s="93"/>
      <c r="B50" s="422">
        <f>0.041868</f>
        <v>4.1868000000000002E-2</v>
      </c>
      <c r="C50" s="423">
        <f t="shared" ref="C50:AW50" si="7">$B$50</f>
        <v>4.1868000000000002E-2</v>
      </c>
      <c r="D50" s="423">
        <f t="shared" si="7"/>
        <v>4.1868000000000002E-2</v>
      </c>
      <c r="E50" s="423">
        <f t="shared" si="7"/>
        <v>4.1868000000000002E-2</v>
      </c>
      <c r="F50" s="423">
        <f t="shared" si="7"/>
        <v>4.1868000000000002E-2</v>
      </c>
      <c r="G50" s="423">
        <f t="shared" si="7"/>
        <v>4.1868000000000002E-2</v>
      </c>
      <c r="H50" s="423">
        <f t="shared" si="7"/>
        <v>4.1868000000000002E-2</v>
      </c>
      <c r="I50" s="423">
        <f t="shared" si="7"/>
        <v>4.1868000000000002E-2</v>
      </c>
      <c r="J50" s="423">
        <f t="shared" si="7"/>
        <v>4.1868000000000002E-2</v>
      </c>
      <c r="K50" s="423">
        <f t="shared" si="7"/>
        <v>4.1868000000000002E-2</v>
      </c>
      <c r="L50" s="423">
        <f t="shared" si="7"/>
        <v>4.1868000000000002E-2</v>
      </c>
      <c r="M50" s="423">
        <f t="shared" si="7"/>
        <v>4.1868000000000002E-2</v>
      </c>
      <c r="N50" s="423">
        <f t="shared" si="7"/>
        <v>4.1868000000000002E-2</v>
      </c>
      <c r="O50" s="423">
        <f t="shared" si="7"/>
        <v>4.1868000000000002E-2</v>
      </c>
      <c r="P50" s="423">
        <f t="shared" si="7"/>
        <v>4.1868000000000002E-2</v>
      </c>
      <c r="Q50" s="423">
        <f t="shared" si="7"/>
        <v>4.1868000000000002E-2</v>
      </c>
      <c r="R50" s="423">
        <f t="shared" si="7"/>
        <v>4.1868000000000002E-2</v>
      </c>
      <c r="S50" s="423">
        <f t="shared" si="7"/>
        <v>4.1868000000000002E-2</v>
      </c>
      <c r="T50" s="423">
        <f t="shared" si="7"/>
        <v>4.1868000000000002E-2</v>
      </c>
      <c r="U50" s="423">
        <f t="shared" si="7"/>
        <v>4.1868000000000002E-2</v>
      </c>
      <c r="V50" s="423">
        <f t="shared" si="7"/>
        <v>4.1868000000000002E-2</v>
      </c>
      <c r="W50" s="423">
        <f t="shared" si="7"/>
        <v>4.1868000000000002E-2</v>
      </c>
      <c r="X50" s="423">
        <f t="shared" si="7"/>
        <v>4.1868000000000002E-2</v>
      </c>
      <c r="Y50" s="423">
        <f t="shared" si="7"/>
        <v>4.1868000000000002E-2</v>
      </c>
      <c r="Z50" s="423">
        <f t="shared" si="7"/>
        <v>4.1868000000000002E-2</v>
      </c>
      <c r="AA50" s="423">
        <f t="shared" si="7"/>
        <v>4.1868000000000002E-2</v>
      </c>
      <c r="AB50" s="423">
        <f t="shared" si="7"/>
        <v>4.1868000000000002E-2</v>
      </c>
      <c r="AC50" s="423">
        <f t="shared" si="7"/>
        <v>4.1868000000000002E-2</v>
      </c>
      <c r="AD50" s="423">
        <f t="shared" si="7"/>
        <v>4.1868000000000002E-2</v>
      </c>
      <c r="AE50" s="423">
        <f t="shared" si="7"/>
        <v>4.1868000000000002E-2</v>
      </c>
      <c r="AF50" s="423">
        <f t="shared" si="7"/>
        <v>4.1868000000000002E-2</v>
      </c>
      <c r="AG50" s="423">
        <f t="shared" si="7"/>
        <v>4.1868000000000002E-2</v>
      </c>
      <c r="AH50" s="423">
        <f t="shared" si="7"/>
        <v>4.1868000000000002E-2</v>
      </c>
      <c r="AI50" s="423">
        <f t="shared" si="7"/>
        <v>4.1868000000000002E-2</v>
      </c>
      <c r="AJ50" s="423">
        <f t="shared" si="7"/>
        <v>4.1868000000000002E-2</v>
      </c>
      <c r="AK50" s="423">
        <f t="shared" si="7"/>
        <v>4.1868000000000002E-2</v>
      </c>
      <c r="AL50" s="423">
        <f t="shared" si="7"/>
        <v>4.1868000000000002E-2</v>
      </c>
      <c r="AM50" s="423">
        <f t="shared" si="7"/>
        <v>4.1868000000000002E-2</v>
      </c>
      <c r="AN50" s="423">
        <f t="shared" si="7"/>
        <v>4.1868000000000002E-2</v>
      </c>
      <c r="AO50" s="423">
        <f t="shared" si="7"/>
        <v>4.1868000000000002E-2</v>
      </c>
      <c r="AP50" s="423">
        <f t="shared" si="7"/>
        <v>4.1868000000000002E-2</v>
      </c>
      <c r="AQ50" s="423">
        <f t="shared" si="7"/>
        <v>4.1868000000000002E-2</v>
      </c>
      <c r="AR50" s="423">
        <f t="shared" si="7"/>
        <v>4.1868000000000002E-2</v>
      </c>
      <c r="AS50" s="423">
        <f t="shared" si="7"/>
        <v>4.1868000000000002E-2</v>
      </c>
      <c r="AT50" s="423">
        <f t="shared" si="7"/>
        <v>4.1868000000000002E-2</v>
      </c>
      <c r="AU50" s="423">
        <f t="shared" si="7"/>
        <v>4.1868000000000002E-2</v>
      </c>
      <c r="AV50" s="423">
        <f t="shared" si="7"/>
        <v>4.1868000000000002E-2</v>
      </c>
      <c r="AW50" s="423">
        <f t="shared" si="7"/>
        <v>4.1868000000000002E-2</v>
      </c>
      <c r="AX50" s="55"/>
      <c r="AY50" s="55"/>
      <c r="AZ50" s="22"/>
    </row>
    <row r="51" spans="1:52" ht="45.75" thickBot="1">
      <c r="A51" s="96" t="s">
        <v>51</v>
      </c>
      <c r="B51" s="424" t="s">
        <v>52</v>
      </c>
      <c r="C51" s="420" t="s">
        <v>53</v>
      </c>
      <c r="D51" s="425" t="s">
        <v>54</v>
      </c>
      <c r="E51" s="425" t="s">
        <v>55</v>
      </c>
      <c r="F51" s="425" t="s">
        <v>56</v>
      </c>
      <c r="G51" s="425" t="s">
        <v>57</v>
      </c>
      <c r="H51" s="425" t="s">
        <v>58</v>
      </c>
      <c r="I51" s="425" t="s">
        <v>59</v>
      </c>
      <c r="J51" s="425" t="s">
        <v>60</v>
      </c>
      <c r="K51" s="425" t="s">
        <v>61</v>
      </c>
      <c r="L51" s="425" t="s">
        <v>62</v>
      </c>
      <c r="M51" s="426" t="s">
        <v>63</v>
      </c>
      <c r="N51" s="420" t="s">
        <v>64</v>
      </c>
      <c r="O51" s="420" t="s">
        <v>65</v>
      </c>
      <c r="P51" s="425" t="s">
        <v>66</v>
      </c>
      <c r="Q51" s="425" t="s">
        <v>67</v>
      </c>
      <c r="R51" s="425" t="s">
        <v>68</v>
      </c>
      <c r="S51" s="425" t="s">
        <v>17</v>
      </c>
      <c r="T51" s="425" t="s">
        <v>69</v>
      </c>
      <c r="U51" s="425" t="s">
        <v>70</v>
      </c>
      <c r="V51" s="425" t="s">
        <v>71</v>
      </c>
      <c r="W51" s="425" t="s">
        <v>72</v>
      </c>
      <c r="X51" s="425" t="s">
        <v>73</v>
      </c>
      <c r="Y51" s="425" t="s">
        <v>74</v>
      </c>
      <c r="Z51" s="425" t="s">
        <v>75</v>
      </c>
      <c r="AA51" s="425" t="s">
        <v>76</v>
      </c>
      <c r="AB51" s="425" t="s">
        <v>77</v>
      </c>
      <c r="AC51" s="425" t="s">
        <v>78</v>
      </c>
      <c r="AD51" s="425" t="s">
        <v>79</v>
      </c>
      <c r="AE51" s="425" t="s">
        <v>80</v>
      </c>
      <c r="AF51" s="425" t="s">
        <v>81</v>
      </c>
      <c r="AG51" s="425" t="s">
        <v>82</v>
      </c>
      <c r="AH51" s="425" t="s">
        <v>83</v>
      </c>
      <c r="AI51" s="425" t="s">
        <v>84</v>
      </c>
      <c r="AJ51" s="425" t="s">
        <v>85</v>
      </c>
      <c r="AK51" s="425" t="s">
        <v>86</v>
      </c>
      <c r="AL51" s="425" t="s">
        <v>87</v>
      </c>
      <c r="AM51" s="425" t="s">
        <v>88</v>
      </c>
      <c r="AN51" s="425" t="s">
        <v>89</v>
      </c>
      <c r="AO51" s="425" t="s">
        <v>90</v>
      </c>
      <c r="AP51" s="425" t="s">
        <v>91</v>
      </c>
      <c r="AQ51" s="420" t="s">
        <v>92</v>
      </c>
      <c r="AR51" s="425" t="s">
        <v>93</v>
      </c>
      <c r="AS51" s="425" t="s">
        <v>94</v>
      </c>
      <c r="AT51" s="425" t="s">
        <v>95</v>
      </c>
      <c r="AU51" s="425" t="s">
        <v>96</v>
      </c>
      <c r="AV51" s="425" t="s">
        <v>97</v>
      </c>
      <c r="AW51" s="425" t="s">
        <v>98</v>
      </c>
      <c r="AX51" s="55"/>
      <c r="AY51" s="100" t="s">
        <v>99</v>
      </c>
      <c r="AZ51" s="100" t="s">
        <v>100</v>
      </c>
    </row>
    <row r="52" spans="1:52">
      <c r="A52" s="79" t="s">
        <v>101</v>
      </c>
      <c r="B52" s="101">
        <v>0</v>
      </c>
      <c r="C52" s="102">
        <v>30.603201099999996</v>
      </c>
      <c r="D52" s="102">
        <v>0</v>
      </c>
      <c r="E52" s="102">
        <v>0</v>
      </c>
      <c r="F52" s="102">
        <v>0</v>
      </c>
      <c r="G52" s="102">
        <v>0</v>
      </c>
      <c r="H52" s="102">
        <v>0</v>
      </c>
      <c r="I52" s="102">
        <v>0</v>
      </c>
      <c r="J52" s="102">
        <v>0</v>
      </c>
      <c r="K52" s="102">
        <v>360.53599920000005</v>
      </c>
      <c r="L52" s="102">
        <v>2.0010015000000001</v>
      </c>
      <c r="M52" s="102">
        <v>23.807999599999999</v>
      </c>
      <c r="N52" s="102">
        <v>5.2140021000000001</v>
      </c>
      <c r="O52" s="102">
        <v>14.9636399</v>
      </c>
      <c r="P52" s="102">
        <v>0</v>
      </c>
      <c r="Q52" s="102">
        <v>0</v>
      </c>
      <c r="R52" s="102">
        <v>0</v>
      </c>
      <c r="S52" s="102">
        <v>0</v>
      </c>
      <c r="T52" s="102">
        <v>0</v>
      </c>
      <c r="U52" s="102">
        <v>0</v>
      </c>
      <c r="V52" s="102">
        <v>0</v>
      </c>
      <c r="W52" s="102">
        <v>0</v>
      </c>
      <c r="X52" s="102">
        <v>0</v>
      </c>
      <c r="Y52" s="102">
        <v>0</v>
      </c>
      <c r="Z52" s="102">
        <v>0</v>
      </c>
      <c r="AA52" s="102">
        <v>0</v>
      </c>
      <c r="AB52" s="102">
        <v>0</v>
      </c>
      <c r="AC52" s="102">
        <v>0</v>
      </c>
      <c r="AD52" s="102">
        <v>0</v>
      </c>
      <c r="AE52" s="102">
        <v>0</v>
      </c>
      <c r="AF52" s="102">
        <v>0</v>
      </c>
      <c r="AG52" s="102">
        <v>0</v>
      </c>
      <c r="AH52" s="102">
        <v>0</v>
      </c>
      <c r="AI52" s="102">
        <v>0</v>
      </c>
      <c r="AJ52" s="102">
        <v>0</v>
      </c>
      <c r="AK52" s="102">
        <v>0</v>
      </c>
      <c r="AL52" s="102">
        <v>0</v>
      </c>
      <c r="AM52" s="102">
        <v>0</v>
      </c>
      <c r="AN52" s="102">
        <v>245.2036348</v>
      </c>
      <c r="AO52" s="102">
        <v>53.179201200000008</v>
      </c>
      <c r="AP52" s="102">
        <v>0</v>
      </c>
      <c r="AQ52" s="102">
        <v>0.2321329</v>
      </c>
      <c r="AR52" s="102">
        <v>0</v>
      </c>
      <c r="AS52" s="102">
        <v>17.262000599999997</v>
      </c>
      <c r="AT52" s="102">
        <v>0</v>
      </c>
      <c r="AU52" s="102">
        <v>0</v>
      </c>
      <c r="AV52" s="102">
        <v>7.6684004999999997</v>
      </c>
      <c r="AW52" s="102">
        <v>760.67121339999994</v>
      </c>
      <c r="AX52" s="54"/>
      <c r="AY52" s="26"/>
      <c r="AZ52" s="14"/>
    </row>
    <row r="53" spans="1:52">
      <c r="A53" s="79" t="s">
        <v>102</v>
      </c>
      <c r="B53" s="101">
        <v>0</v>
      </c>
      <c r="C53" s="102">
        <v>0</v>
      </c>
      <c r="D53" s="102">
        <v>0</v>
      </c>
      <c r="E53" s="102">
        <v>0</v>
      </c>
      <c r="F53" s="102">
        <v>0</v>
      </c>
      <c r="G53" s="102">
        <v>0</v>
      </c>
      <c r="H53" s="102">
        <v>0</v>
      </c>
      <c r="I53" s="102">
        <v>0</v>
      </c>
      <c r="J53" s="102">
        <v>0</v>
      </c>
      <c r="K53" s="102">
        <v>0</v>
      </c>
      <c r="L53" s="102">
        <v>0</v>
      </c>
      <c r="M53" s="102">
        <v>0</v>
      </c>
      <c r="N53" s="102">
        <v>0</v>
      </c>
      <c r="O53" s="102">
        <v>0</v>
      </c>
      <c r="P53" s="102">
        <v>0</v>
      </c>
      <c r="Q53" s="102">
        <v>0</v>
      </c>
      <c r="R53" s="102">
        <v>0</v>
      </c>
      <c r="S53" s="102">
        <v>0</v>
      </c>
      <c r="T53" s="102">
        <v>0</v>
      </c>
      <c r="U53" s="102">
        <v>0</v>
      </c>
      <c r="V53" s="102">
        <v>0</v>
      </c>
      <c r="W53" s="102">
        <v>0</v>
      </c>
      <c r="X53" s="102">
        <v>0</v>
      </c>
      <c r="Y53" s="102">
        <v>0</v>
      </c>
      <c r="Z53" s="102">
        <v>0</v>
      </c>
      <c r="AA53" s="102">
        <v>0</v>
      </c>
      <c r="AB53" s="102">
        <v>0</v>
      </c>
      <c r="AC53" s="102">
        <v>0</v>
      </c>
      <c r="AD53" s="102">
        <v>0</v>
      </c>
      <c r="AE53" s="102">
        <v>0</v>
      </c>
      <c r="AF53" s="102">
        <v>0</v>
      </c>
      <c r="AG53" s="102">
        <v>0</v>
      </c>
      <c r="AH53" s="102">
        <v>0</v>
      </c>
      <c r="AI53" s="102">
        <v>0</v>
      </c>
      <c r="AJ53" s="102">
        <v>0</v>
      </c>
      <c r="AK53" s="102">
        <v>0</v>
      </c>
      <c r="AL53" s="102">
        <v>0</v>
      </c>
      <c r="AM53" s="102">
        <v>0</v>
      </c>
      <c r="AN53" s="102">
        <v>0</v>
      </c>
      <c r="AO53" s="102">
        <v>0</v>
      </c>
      <c r="AP53" s="102">
        <v>0</v>
      </c>
      <c r="AQ53" s="102">
        <v>0</v>
      </c>
      <c r="AR53" s="102">
        <v>0</v>
      </c>
      <c r="AS53" s="102">
        <v>0</v>
      </c>
      <c r="AT53" s="102">
        <v>0</v>
      </c>
      <c r="AU53" s="102">
        <v>0</v>
      </c>
      <c r="AV53" s="102">
        <v>0</v>
      </c>
      <c r="AW53" s="102">
        <v>0</v>
      </c>
      <c r="AX53" s="54"/>
      <c r="AY53" s="22"/>
      <c r="AZ53" s="22"/>
    </row>
    <row r="54" spans="1:52">
      <c r="A54" s="103" t="s">
        <v>103</v>
      </c>
      <c r="B54" s="101">
        <v>105.74895930000002</v>
      </c>
      <c r="C54" s="102">
        <v>0.25791939999999997</v>
      </c>
      <c r="D54" s="102">
        <v>7.4714995000000002</v>
      </c>
      <c r="E54" s="102">
        <v>0</v>
      </c>
      <c r="F54" s="102">
        <v>0</v>
      </c>
      <c r="G54" s="102">
        <v>0</v>
      </c>
      <c r="H54" s="102">
        <v>0</v>
      </c>
      <c r="I54" s="102">
        <v>0</v>
      </c>
      <c r="J54" s="102">
        <v>0</v>
      </c>
      <c r="K54" s="102">
        <v>2.5070014</v>
      </c>
      <c r="L54" s="102">
        <v>0</v>
      </c>
      <c r="M54" s="102">
        <v>0</v>
      </c>
      <c r="N54" s="102">
        <v>0</v>
      </c>
      <c r="O54" s="102">
        <v>3.5864672999999994</v>
      </c>
      <c r="P54" s="102">
        <v>0</v>
      </c>
      <c r="Q54" s="102">
        <v>80.189097999999987</v>
      </c>
      <c r="R54" s="102">
        <v>469.85724089999997</v>
      </c>
      <c r="S54" s="102">
        <v>60.148000000000003</v>
      </c>
      <c r="T54" s="102">
        <v>0</v>
      </c>
      <c r="U54" s="102">
        <v>2.0825018000000002</v>
      </c>
      <c r="V54" s="102">
        <v>0</v>
      </c>
      <c r="W54" s="102">
        <v>0</v>
      </c>
      <c r="X54" s="102">
        <v>0</v>
      </c>
      <c r="Y54" s="102">
        <v>32.521998999999994</v>
      </c>
      <c r="Z54" s="102">
        <v>26.664000100000003</v>
      </c>
      <c r="AA54" s="102">
        <v>0.13200139999999999</v>
      </c>
      <c r="AB54" s="102">
        <v>0</v>
      </c>
      <c r="AC54" s="102">
        <v>6.7510015000000001</v>
      </c>
      <c r="AD54" s="102">
        <v>6.0199988000000006</v>
      </c>
      <c r="AE54" s="102">
        <v>75.913198699999995</v>
      </c>
      <c r="AF54" s="102">
        <v>36.080000200000001</v>
      </c>
      <c r="AG54" s="102">
        <v>16.059999600000001</v>
      </c>
      <c r="AH54" s="102">
        <v>0.69760040000000001</v>
      </c>
      <c r="AI54" s="102">
        <v>6.3420014000000009</v>
      </c>
      <c r="AJ54" s="102">
        <v>8.0730003000000004</v>
      </c>
      <c r="AK54" s="102">
        <v>8.00014E-2</v>
      </c>
      <c r="AL54" s="102">
        <v>1.6320020999999998</v>
      </c>
      <c r="AM54" s="102">
        <v>2.2400007999999998</v>
      </c>
      <c r="AN54" s="102">
        <v>0</v>
      </c>
      <c r="AO54" s="102">
        <v>0</v>
      </c>
      <c r="AP54" s="102">
        <v>0</v>
      </c>
      <c r="AQ54" s="102">
        <v>0</v>
      </c>
      <c r="AR54" s="102">
        <v>0</v>
      </c>
      <c r="AS54" s="102">
        <v>0</v>
      </c>
      <c r="AT54" s="102">
        <v>0</v>
      </c>
      <c r="AU54" s="102">
        <v>79.93439819999999</v>
      </c>
      <c r="AV54" s="102">
        <v>0</v>
      </c>
      <c r="AW54" s="102">
        <v>1030.9898913</v>
      </c>
      <c r="AX54" s="54"/>
      <c r="AY54" s="26">
        <f>SUM(R54:AM54)</f>
        <v>751.29454840000005</v>
      </c>
      <c r="AZ54" s="14"/>
    </row>
    <row r="55" spans="1:52">
      <c r="A55" s="103" t="s">
        <v>104</v>
      </c>
      <c r="B55" s="101">
        <v>0</v>
      </c>
      <c r="C55" s="102">
        <v>0</v>
      </c>
      <c r="D55" s="102">
        <v>-2.9006988000000002</v>
      </c>
      <c r="E55" s="102">
        <v>0</v>
      </c>
      <c r="F55" s="102">
        <v>0</v>
      </c>
      <c r="G55" s="102">
        <v>0</v>
      </c>
      <c r="H55" s="102">
        <v>0</v>
      </c>
      <c r="I55" s="102">
        <v>0</v>
      </c>
      <c r="J55" s="102">
        <v>0</v>
      </c>
      <c r="K55" s="102">
        <v>-1.1679999999999999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2">
        <v>0</v>
      </c>
      <c r="T55" s="102">
        <v>0</v>
      </c>
      <c r="U55" s="102">
        <v>0</v>
      </c>
      <c r="V55" s="102">
        <v>0</v>
      </c>
      <c r="W55" s="102">
        <v>0</v>
      </c>
      <c r="X55" s="102">
        <v>0</v>
      </c>
      <c r="Y55" s="102">
        <v>0</v>
      </c>
      <c r="Z55" s="102">
        <v>-137.41199849999998</v>
      </c>
      <c r="AA55" s="102">
        <v>-8.7998199999999999E-2</v>
      </c>
      <c r="AB55" s="102">
        <v>0</v>
      </c>
      <c r="AC55" s="102">
        <v>-0.21500059999999999</v>
      </c>
      <c r="AD55" s="102">
        <v>-5.1600006999999994</v>
      </c>
      <c r="AE55" s="102">
        <v>-159.2814008</v>
      </c>
      <c r="AF55" s="102">
        <v>-47.600001300000002</v>
      </c>
      <c r="AG55" s="102">
        <v>-3.3880004000000001</v>
      </c>
      <c r="AH55" s="102">
        <v>-4.4036009000000007</v>
      </c>
      <c r="AI55" s="102">
        <v>-18.144000199999997</v>
      </c>
      <c r="AJ55" s="102">
        <v>-0.39000039999999997</v>
      </c>
      <c r="AK55" s="102">
        <v>0</v>
      </c>
      <c r="AL55" s="102">
        <v>0</v>
      </c>
      <c r="AM55" s="102">
        <v>-14.480001700000001</v>
      </c>
      <c r="AN55" s="102">
        <v>0</v>
      </c>
      <c r="AO55" s="102">
        <v>0</v>
      </c>
      <c r="AP55" s="102">
        <v>0</v>
      </c>
      <c r="AQ55" s="102">
        <v>0</v>
      </c>
      <c r="AR55" s="102">
        <v>0</v>
      </c>
      <c r="AS55" s="102">
        <v>0</v>
      </c>
      <c r="AT55" s="102">
        <v>0</v>
      </c>
      <c r="AU55" s="102">
        <v>-6.4044013999999994</v>
      </c>
      <c r="AV55" s="102">
        <v>0</v>
      </c>
      <c r="AW55" s="102">
        <v>-402.44110259999997</v>
      </c>
      <c r="AX55" s="54"/>
      <c r="AY55" s="14"/>
      <c r="AZ55" s="26">
        <f>SUM(R55:AM55)</f>
        <v>-390.56200369999999</v>
      </c>
    </row>
    <row r="56" spans="1:52">
      <c r="A56" s="79" t="s">
        <v>105</v>
      </c>
      <c r="B56" s="101">
        <v>0</v>
      </c>
      <c r="C56" s="102">
        <v>0</v>
      </c>
      <c r="D56" s="102">
        <v>0</v>
      </c>
      <c r="E56" s="102">
        <v>0</v>
      </c>
      <c r="F56" s="102">
        <v>0</v>
      </c>
      <c r="G56" s="102">
        <v>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>
        <v>-0.19350129999999999</v>
      </c>
      <c r="R56" s="102">
        <v>0</v>
      </c>
      <c r="S56" s="102">
        <v>0</v>
      </c>
      <c r="T56" s="102">
        <v>0</v>
      </c>
      <c r="U56" s="102">
        <v>0</v>
      </c>
      <c r="V56" s="102">
        <v>0</v>
      </c>
      <c r="W56" s="102">
        <v>0</v>
      </c>
      <c r="X56" s="102">
        <v>0</v>
      </c>
      <c r="Y56" s="102">
        <v>0</v>
      </c>
      <c r="Z56" s="102">
        <v>0</v>
      </c>
      <c r="AA56" s="102">
        <v>0</v>
      </c>
      <c r="AB56" s="102">
        <v>0</v>
      </c>
      <c r="AC56" s="102">
        <v>0</v>
      </c>
      <c r="AD56" s="102">
        <v>0</v>
      </c>
      <c r="AE56" s="102">
        <v>-2.9819980999999993</v>
      </c>
      <c r="AF56" s="102">
        <v>-11.520001099999998</v>
      </c>
      <c r="AG56" s="102">
        <v>0</v>
      </c>
      <c r="AH56" s="102">
        <v>0</v>
      </c>
      <c r="AI56" s="102">
        <v>0</v>
      </c>
      <c r="AJ56" s="102">
        <v>0</v>
      </c>
      <c r="AK56" s="102">
        <v>0</v>
      </c>
      <c r="AL56" s="102">
        <v>0</v>
      </c>
      <c r="AM56" s="102">
        <v>0</v>
      </c>
      <c r="AN56" s="102">
        <v>0</v>
      </c>
      <c r="AO56" s="102">
        <v>0</v>
      </c>
      <c r="AP56" s="102">
        <v>0</v>
      </c>
      <c r="AQ56" s="102">
        <v>0</v>
      </c>
      <c r="AR56" s="102">
        <v>0</v>
      </c>
      <c r="AS56" s="102">
        <v>0</v>
      </c>
      <c r="AT56" s="102">
        <v>0</v>
      </c>
      <c r="AU56" s="102">
        <v>0</v>
      </c>
      <c r="AV56" s="102">
        <v>0</v>
      </c>
      <c r="AW56" s="102">
        <v>-14.6955005</v>
      </c>
      <c r="AX56" s="54"/>
      <c r="AY56" s="54"/>
      <c r="AZ56" s="22"/>
    </row>
    <row r="57" spans="1:52">
      <c r="A57" s="87" t="s">
        <v>106</v>
      </c>
      <c r="B57" s="104">
        <v>11.605319700000001</v>
      </c>
      <c r="C57" s="105">
        <v>22.872576299999999</v>
      </c>
      <c r="D57" s="105">
        <v>-1.4064005000000002</v>
      </c>
      <c r="E57" s="105">
        <v>0</v>
      </c>
      <c r="F57" s="105">
        <v>0</v>
      </c>
      <c r="G57" s="105">
        <v>0</v>
      </c>
      <c r="H57" s="105">
        <v>0</v>
      </c>
      <c r="I57" s="105">
        <v>0</v>
      </c>
      <c r="J57" s="105">
        <v>0</v>
      </c>
      <c r="K57" s="105">
        <v>0</v>
      </c>
      <c r="L57" s="105">
        <v>0</v>
      </c>
      <c r="M57" s="105">
        <v>0</v>
      </c>
      <c r="N57" s="105">
        <v>0</v>
      </c>
      <c r="O57" s="105">
        <v>-3.4751000000000005E-3</v>
      </c>
      <c r="P57" s="105">
        <v>0</v>
      </c>
      <c r="Q57" s="105">
        <v>0.89999869999999993</v>
      </c>
      <c r="R57" s="105">
        <v>5.8017618000000004</v>
      </c>
      <c r="S57" s="105">
        <v>0</v>
      </c>
      <c r="T57" s="105">
        <v>2.5499997999999997</v>
      </c>
      <c r="U57" s="105">
        <v>0</v>
      </c>
      <c r="V57" s="105">
        <v>0</v>
      </c>
      <c r="W57" s="105">
        <v>0</v>
      </c>
      <c r="X57" s="105">
        <v>0</v>
      </c>
      <c r="Y57" s="105">
        <v>-4.7380006000000003</v>
      </c>
      <c r="Z57" s="105">
        <v>-0.5280014999999999</v>
      </c>
      <c r="AA57" s="105">
        <v>0</v>
      </c>
      <c r="AB57" s="105">
        <v>0</v>
      </c>
      <c r="AC57" s="105">
        <v>0.17199789999999998</v>
      </c>
      <c r="AD57" s="105">
        <v>0</v>
      </c>
      <c r="AE57" s="105">
        <v>11.1186001</v>
      </c>
      <c r="AF57" s="105">
        <v>-0.84000189999999997</v>
      </c>
      <c r="AG57" s="105">
        <v>-0.61599969999999993</v>
      </c>
      <c r="AH57" s="105">
        <v>0</v>
      </c>
      <c r="AI57" s="105">
        <v>0</v>
      </c>
      <c r="AJ57" s="105">
        <v>0</v>
      </c>
      <c r="AK57" s="105">
        <v>0</v>
      </c>
      <c r="AL57" s="105">
        <v>0</v>
      </c>
      <c r="AM57" s="105">
        <v>4.00007E-2</v>
      </c>
      <c r="AN57" s="105">
        <v>0</v>
      </c>
      <c r="AO57" s="105">
        <v>0</v>
      </c>
      <c r="AP57" s="105">
        <v>0</v>
      </c>
      <c r="AQ57" s="105">
        <v>0</v>
      </c>
      <c r="AR57" s="105">
        <v>0</v>
      </c>
      <c r="AS57" s="105">
        <v>0</v>
      </c>
      <c r="AT57" s="105">
        <v>0</v>
      </c>
      <c r="AU57" s="105">
        <v>0</v>
      </c>
      <c r="AV57" s="105">
        <v>0</v>
      </c>
      <c r="AW57" s="105">
        <v>47.002377500000001</v>
      </c>
      <c r="AX57" s="54"/>
      <c r="AY57" s="54"/>
      <c r="AZ57" s="22"/>
    </row>
    <row r="58" spans="1:52">
      <c r="A58" s="106" t="s">
        <v>107</v>
      </c>
      <c r="B58" s="104">
        <v>117.35427900000001</v>
      </c>
      <c r="C58" s="105">
        <v>53.733696800000004</v>
      </c>
      <c r="D58" s="105">
        <v>3.1644002000000002</v>
      </c>
      <c r="E58" s="105">
        <v>0</v>
      </c>
      <c r="F58" s="105">
        <v>0</v>
      </c>
      <c r="G58" s="105">
        <v>0</v>
      </c>
      <c r="H58" s="105">
        <v>0</v>
      </c>
      <c r="I58" s="105">
        <v>0</v>
      </c>
      <c r="J58" s="105">
        <v>0</v>
      </c>
      <c r="K58" s="105">
        <v>361.87500069999993</v>
      </c>
      <c r="L58" s="105">
        <v>2.0010015000000001</v>
      </c>
      <c r="M58" s="105">
        <v>23.807999599999999</v>
      </c>
      <c r="N58" s="105">
        <v>5.2140021000000001</v>
      </c>
      <c r="O58" s="105">
        <v>18.546640499999999</v>
      </c>
      <c r="P58" s="105">
        <v>0</v>
      </c>
      <c r="Q58" s="105">
        <v>80.895599499999989</v>
      </c>
      <c r="R58" s="105">
        <v>475.65899859999996</v>
      </c>
      <c r="S58" s="105">
        <v>60.148000000000003</v>
      </c>
      <c r="T58" s="105">
        <v>2.5499997999999997</v>
      </c>
      <c r="U58" s="105">
        <v>2.0825018000000002</v>
      </c>
      <c r="V58" s="105">
        <v>0</v>
      </c>
      <c r="W58" s="105">
        <v>0</v>
      </c>
      <c r="X58" s="105">
        <v>0</v>
      </c>
      <c r="Y58" s="105">
        <v>27.783998400000002</v>
      </c>
      <c r="Z58" s="105">
        <v>-111.276</v>
      </c>
      <c r="AA58" s="105">
        <v>4.3999099999999999E-2</v>
      </c>
      <c r="AB58" s="105">
        <v>0</v>
      </c>
      <c r="AC58" s="105">
        <v>-21.586002000000001</v>
      </c>
      <c r="AD58" s="105">
        <v>0.85999799999999993</v>
      </c>
      <c r="AE58" s="105">
        <v>-75.231600200000003</v>
      </c>
      <c r="AF58" s="105">
        <v>-23.88</v>
      </c>
      <c r="AG58" s="105">
        <v>12.0559995</v>
      </c>
      <c r="AH58" s="105">
        <v>-3.7060003999999998</v>
      </c>
      <c r="AI58" s="105">
        <v>-11.801998899999999</v>
      </c>
      <c r="AJ58" s="105">
        <v>7.6829999000000004</v>
      </c>
      <c r="AK58" s="105">
        <v>8.00014E-2</v>
      </c>
      <c r="AL58" s="105">
        <v>1.6320020999999998</v>
      </c>
      <c r="AM58" s="105">
        <v>-12.200000299999999</v>
      </c>
      <c r="AN58" s="105">
        <v>245.2036348</v>
      </c>
      <c r="AO58" s="105">
        <v>53.179201200000008</v>
      </c>
      <c r="AP58" s="105">
        <v>0</v>
      </c>
      <c r="AQ58" s="105">
        <v>0.2321329</v>
      </c>
      <c r="AR58" s="105">
        <v>0</v>
      </c>
      <c r="AS58" s="105">
        <v>17.262000599999997</v>
      </c>
      <c r="AT58" s="105">
        <v>0</v>
      </c>
      <c r="AU58" s="105">
        <v>73.530000900000005</v>
      </c>
      <c r="AV58" s="105">
        <v>7.6684004999999997</v>
      </c>
      <c r="AW58" s="105">
        <v>1393.2328866</v>
      </c>
      <c r="AX58" s="54"/>
      <c r="AY58" s="54"/>
      <c r="AZ58" s="22"/>
    </row>
    <row r="59" spans="1:52">
      <c r="A59" s="106" t="s">
        <v>108</v>
      </c>
      <c r="B59" s="104">
        <v>0</v>
      </c>
      <c r="C59" s="105">
        <v>0</v>
      </c>
      <c r="D59" s="105">
        <v>0</v>
      </c>
      <c r="E59" s="105">
        <v>0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0</v>
      </c>
      <c r="M59" s="105">
        <v>0</v>
      </c>
      <c r="N59" s="105">
        <v>0</v>
      </c>
      <c r="O59" s="105">
        <v>0</v>
      </c>
      <c r="P59" s="105">
        <v>0</v>
      </c>
      <c r="Q59" s="105">
        <v>0</v>
      </c>
      <c r="R59" s="105">
        <v>0</v>
      </c>
      <c r="S59" s="105">
        <v>0</v>
      </c>
      <c r="T59" s="105">
        <v>75.735000100000008</v>
      </c>
      <c r="U59" s="105">
        <v>0</v>
      </c>
      <c r="V59" s="105">
        <v>0</v>
      </c>
      <c r="W59" s="105">
        <v>0</v>
      </c>
      <c r="X59" s="105">
        <v>0</v>
      </c>
      <c r="Y59" s="105">
        <v>-1.3799986</v>
      </c>
      <c r="Z59" s="105">
        <v>-25.959997999999999</v>
      </c>
      <c r="AA59" s="105">
        <v>0</v>
      </c>
      <c r="AB59" s="105">
        <v>0</v>
      </c>
      <c r="AC59" s="105">
        <v>0</v>
      </c>
      <c r="AD59" s="105">
        <v>-0.85999799999999993</v>
      </c>
      <c r="AE59" s="105">
        <v>-27.178800599999999</v>
      </c>
      <c r="AF59" s="105">
        <v>-30.599998200000002</v>
      </c>
      <c r="AG59" s="105">
        <v>-0.57200059999999997</v>
      </c>
      <c r="AH59" s="105">
        <v>-0.65399909999999994</v>
      </c>
      <c r="AI59" s="105">
        <v>0</v>
      </c>
      <c r="AJ59" s="105">
        <v>0</v>
      </c>
      <c r="AK59" s="105">
        <v>0</v>
      </c>
      <c r="AL59" s="105">
        <v>0</v>
      </c>
      <c r="AM59" s="105">
        <v>12.200000299999999</v>
      </c>
      <c r="AN59" s="105">
        <v>0</v>
      </c>
      <c r="AO59" s="105">
        <v>0</v>
      </c>
      <c r="AP59" s="105">
        <v>0</v>
      </c>
      <c r="AQ59" s="105">
        <v>0</v>
      </c>
      <c r="AR59" s="105">
        <v>0</v>
      </c>
      <c r="AS59" s="105">
        <v>0</v>
      </c>
      <c r="AT59" s="105">
        <v>0</v>
      </c>
      <c r="AU59" s="105">
        <v>0</v>
      </c>
      <c r="AV59" s="105">
        <v>0</v>
      </c>
      <c r="AW59" s="105">
        <v>0.73020719999999995</v>
      </c>
      <c r="AX59" s="54"/>
      <c r="AY59" s="54"/>
      <c r="AZ59" s="22"/>
    </row>
    <row r="60" spans="1:52">
      <c r="A60" s="106" t="s">
        <v>109</v>
      </c>
      <c r="B60" s="104">
        <v>-1.2120577000000001</v>
      </c>
      <c r="C60" s="105">
        <v>6.8746999999999992E-3</v>
      </c>
      <c r="D60" s="105">
        <v>0</v>
      </c>
      <c r="E60" s="105">
        <v>0</v>
      </c>
      <c r="F60" s="105">
        <v>0</v>
      </c>
      <c r="G60" s="105">
        <v>0</v>
      </c>
      <c r="H60" s="105">
        <v>0</v>
      </c>
      <c r="I60" s="105">
        <v>0</v>
      </c>
      <c r="J60" s="105">
        <v>0</v>
      </c>
      <c r="K60" s="105">
        <v>0</v>
      </c>
      <c r="L60" s="105">
        <v>0</v>
      </c>
      <c r="M60" s="105">
        <v>0</v>
      </c>
      <c r="N60" s="105">
        <v>-3.0018999999999996E-3</v>
      </c>
      <c r="O60" s="105">
        <v>0</v>
      </c>
      <c r="P60" s="105">
        <v>0</v>
      </c>
      <c r="Q60" s="105">
        <v>0.8397003999999999</v>
      </c>
      <c r="R60" s="105">
        <v>4.1380195999999998</v>
      </c>
      <c r="S60" s="105">
        <v>-4.1800006000000005</v>
      </c>
      <c r="T60" s="105">
        <v>-0.67999909999999997</v>
      </c>
      <c r="U60" s="105">
        <v>4.2500199999999995E-2</v>
      </c>
      <c r="V60" s="105">
        <v>0</v>
      </c>
      <c r="W60" s="105">
        <v>0</v>
      </c>
      <c r="X60" s="105">
        <v>0</v>
      </c>
      <c r="Y60" s="105">
        <v>5.7040000000000006</v>
      </c>
      <c r="Z60" s="105">
        <v>1.8919982000000002</v>
      </c>
      <c r="AA60" s="105">
        <v>0</v>
      </c>
      <c r="AB60" s="105">
        <v>0</v>
      </c>
      <c r="AC60" s="105">
        <v>-6.1489981999999994</v>
      </c>
      <c r="AD60" s="105">
        <v>0</v>
      </c>
      <c r="AE60" s="105">
        <v>-5.3675990000000002</v>
      </c>
      <c r="AF60" s="105">
        <v>7.1200009</v>
      </c>
      <c r="AG60" s="105">
        <v>3.1680008000000002</v>
      </c>
      <c r="AH60" s="105">
        <v>0</v>
      </c>
      <c r="AI60" s="105">
        <v>2.3520019000000003</v>
      </c>
      <c r="AJ60" s="105">
        <v>-4.5240006999999993</v>
      </c>
      <c r="AK60" s="105">
        <v>0</v>
      </c>
      <c r="AL60" s="105">
        <v>0.15999860000000002</v>
      </c>
      <c r="AM60" s="105">
        <v>7.9200020999999996</v>
      </c>
      <c r="AN60" s="105">
        <v>0</v>
      </c>
      <c r="AO60" s="105">
        <v>0</v>
      </c>
      <c r="AP60" s="105">
        <v>0</v>
      </c>
      <c r="AQ60" s="105">
        <v>0</v>
      </c>
      <c r="AR60" s="105">
        <v>0</v>
      </c>
      <c r="AS60" s="105">
        <v>0</v>
      </c>
      <c r="AT60" s="105">
        <v>0</v>
      </c>
      <c r="AU60" s="105">
        <v>1.43984E-2</v>
      </c>
      <c r="AV60" s="105">
        <v>-2.6000000000000002E-2</v>
      </c>
      <c r="AW60" s="105">
        <v>11.215838499999998</v>
      </c>
      <c r="AX60" s="54"/>
      <c r="AY60" s="54"/>
      <c r="AZ60" s="22"/>
    </row>
    <row r="61" spans="1:52">
      <c r="A61" s="30" t="s">
        <v>110</v>
      </c>
      <c r="B61" s="102">
        <v>-110.8074258</v>
      </c>
      <c r="C61" s="102">
        <v>-45.189530800000007</v>
      </c>
      <c r="D61" s="102">
        <v>1.0841007</v>
      </c>
      <c r="E61" s="102">
        <v>0</v>
      </c>
      <c r="F61" s="102">
        <v>0</v>
      </c>
      <c r="G61" s="102">
        <v>6.7788018000000001</v>
      </c>
      <c r="H61" s="102">
        <v>5.4049997000000003</v>
      </c>
      <c r="I61" s="102">
        <v>2.9569986999999998</v>
      </c>
      <c r="J61" s="102">
        <v>0</v>
      </c>
      <c r="K61" s="102">
        <v>-138.222002</v>
      </c>
      <c r="L61" s="102">
        <v>-1.1170005999999999</v>
      </c>
      <c r="M61" s="102">
        <v>-20.331000300000003</v>
      </c>
      <c r="N61" s="102">
        <v>-4.1649993000000007</v>
      </c>
      <c r="O61" s="102">
        <v>-0.3961383</v>
      </c>
      <c r="P61" s="102">
        <v>0</v>
      </c>
      <c r="Q61" s="102">
        <v>-47.537999000000006</v>
      </c>
      <c r="R61" s="102">
        <v>-479.79701819999997</v>
      </c>
      <c r="S61" s="102">
        <v>-55.967999400000004</v>
      </c>
      <c r="T61" s="102">
        <v>-77.605000799999999</v>
      </c>
      <c r="U61" s="102">
        <v>-2.1250020000000003</v>
      </c>
      <c r="V61" s="102">
        <v>0</v>
      </c>
      <c r="W61" s="102">
        <v>25.195500899999995</v>
      </c>
      <c r="X61" s="102">
        <v>0</v>
      </c>
      <c r="Y61" s="102">
        <v>11.729998500000001</v>
      </c>
      <c r="Z61" s="102">
        <v>193.73199900000003</v>
      </c>
      <c r="AA61" s="102">
        <v>0</v>
      </c>
      <c r="AB61" s="102">
        <v>0</v>
      </c>
      <c r="AC61" s="102">
        <v>32.464999899999995</v>
      </c>
      <c r="AD61" s="102">
        <v>0</v>
      </c>
      <c r="AE61" s="102">
        <v>266.42039870000002</v>
      </c>
      <c r="AF61" s="102">
        <v>58.360001999999994</v>
      </c>
      <c r="AG61" s="102">
        <v>-1.4959981</v>
      </c>
      <c r="AH61" s="102">
        <v>5.6680019000000001</v>
      </c>
      <c r="AI61" s="102">
        <v>12.4319992</v>
      </c>
      <c r="AJ61" s="102">
        <v>5.4210016999999997</v>
      </c>
      <c r="AK61" s="102">
        <v>0</v>
      </c>
      <c r="AL61" s="102">
        <v>4.0000016999999994</v>
      </c>
      <c r="AM61" s="102">
        <v>-0.76000049999999997</v>
      </c>
      <c r="AN61" s="102">
        <v>-245.2036348</v>
      </c>
      <c r="AO61" s="102">
        <v>-53.179201200000008</v>
      </c>
      <c r="AP61" s="102">
        <v>0</v>
      </c>
      <c r="AQ61" s="102">
        <v>-0.15713480000000002</v>
      </c>
      <c r="AR61" s="102">
        <v>0</v>
      </c>
      <c r="AS61" s="102">
        <v>-17.262000599999997</v>
      </c>
      <c r="AT61" s="102">
        <v>0</v>
      </c>
      <c r="AU61" s="102">
        <v>241.55279960000001</v>
      </c>
      <c r="AV61" s="102">
        <v>182.87059819999999</v>
      </c>
      <c r="AW61" s="102">
        <v>-243.91488329999999</v>
      </c>
      <c r="AX61" s="54"/>
      <c r="AY61" s="54"/>
      <c r="AZ61" s="22"/>
    </row>
    <row r="62" spans="1:52">
      <c r="A62" s="79" t="s">
        <v>111</v>
      </c>
      <c r="B62" s="101">
        <v>-11.4562069</v>
      </c>
      <c r="C62" s="102">
        <v>-3.9929259999999998</v>
      </c>
      <c r="D62" s="102">
        <v>0</v>
      </c>
      <c r="E62" s="102">
        <v>0</v>
      </c>
      <c r="F62" s="102">
        <v>0</v>
      </c>
      <c r="G62" s="102">
        <v>-0.51660090000000003</v>
      </c>
      <c r="H62" s="102">
        <v>-4.8859997999999996</v>
      </c>
      <c r="I62" s="102">
        <v>-5.9996999999999993E-3</v>
      </c>
      <c r="J62" s="102">
        <v>0</v>
      </c>
      <c r="K62" s="102">
        <v>-4.0859985999999999</v>
      </c>
      <c r="L62" s="102">
        <v>0</v>
      </c>
      <c r="M62" s="102">
        <v>-0.42500209999999999</v>
      </c>
      <c r="N62" s="102">
        <v>-1.546001</v>
      </c>
      <c r="O62" s="102">
        <v>-1.7454799999999999E-2</v>
      </c>
      <c r="P62" s="102">
        <v>0</v>
      </c>
      <c r="Q62" s="102">
        <v>-6.2998800000000008E-2</v>
      </c>
      <c r="R62" s="102">
        <v>0</v>
      </c>
      <c r="S62" s="102">
        <v>0</v>
      </c>
      <c r="T62" s="102">
        <v>0</v>
      </c>
      <c r="U62" s="102">
        <v>0</v>
      </c>
      <c r="V62" s="102">
        <v>0</v>
      </c>
      <c r="W62" s="102">
        <v>0</v>
      </c>
      <c r="X62" s="102">
        <v>0</v>
      </c>
      <c r="Y62" s="102">
        <v>0</v>
      </c>
      <c r="Z62" s="102">
        <v>0</v>
      </c>
      <c r="AA62" s="102">
        <v>0</v>
      </c>
      <c r="AB62" s="102">
        <v>0</v>
      </c>
      <c r="AC62" s="102">
        <v>0</v>
      </c>
      <c r="AD62" s="102">
        <v>0</v>
      </c>
      <c r="AE62" s="102">
        <v>-0.12780209999999997</v>
      </c>
      <c r="AF62" s="102">
        <v>-0.32000130000000004</v>
      </c>
      <c r="AG62" s="102">
        <v>0</v>
      </c>
      <c r="AH62" s="102">
        <v>0</v>
      </c>
      <c r="AI62" s="102">
        <v>0</v>
      </c>
      <c r="AJ62" s="102">
        <v>0</v>
      </c>
      <c r="AK62" s="102">
        <v>0</v>
      </c>
      <c r="AL62" s="102">
        <v>0</v>
      </c>
      <c r="AM62" s="102">
        <v>-4.00007E-2</v>
      </c>
      <c r="AN62" s="102">
        <v>-245.2036348</v>
      </c>
      <c r="AO62" s="102">
        <v>-49.568400199999999</v>
      </c>
      <c r="AP62" s="102">
        <v>0</v>
      </c>
      <c r="AQ62" s="102">
        <v>-8.641600000000001E-3</v>
      </c>
      <c r="AR62" s="102">
        <v>0</v>
      </c>
      <c r="AS62" s="102">
        <v>-17.262000599999997</v>
      </c>
      <c r="AT62" s="102">
        <v>0</v>
      </c>
      <c r="AU62" s="102">
        <v>158.8464007</v>
      </c>
      <c r="AV62" s="102">
        <v>0</v>
      </c>
      <c r="AW62" s="102">
        <v>-180.67926900000001</v>
      </c>
      <c r="AX62" s="54"/>
      <c r="AY62" s="54"/>
      <c r="AZ62" s="22"/>
    </row>
    <row r="63" spans="1:52">
      <c r="A63" s="79" t="s">
        <v>112</v>
      </c>
      <c r="B63" s="101">
        <v>-0.12461589999999999</v>
      </c>
      <c r="C63" s="102">
        <v>-5.3000700000000005E-2</v>
      </c>
      <c r="D63" s="102">
        <v>0</v>
      </c>
      <c r="E63" s="102">
        <v>0</v>
      </c>
      <c r="F63" s="102">
        <v>0</v>
      </c>
      <c r="G63" s="102">
        <v>0</v>
      </c>
      <c r="H63" s="102">
        <v>0</v>
      </c>
      <c r="I63" s="102">
        <v>0</v>
      </c>
      <c r="J63" s="102">
        <v>0</v>
      </c>
      <c r="K63" s="102">
        <v>-5.1990008000000003</v>
      </c>
      <c r="L63" s="102">
        <v>-0.1929989</v>
      </c>
      <c r="M63" s="102">
        <v>-0.1759964</v>
      </c>
      <c r="N63" s="102">
        <v>-0.41600039999999999</v>
      </c>
      <c r="O63" s="102">
        <v>-1.4192999999999999E-3</v>
      </c>
      <c r="P63" s="102">
        <v>0</v>
      </c>
      <c r="Q63" s="102">
        <v>-8.4598499999999993E-2</v>
      </c>
      <c r="R63" s="102">
        <v>0</v>
      </c>
      <c r="S63" s="102">
        <v>0</v>
      </c>
      <c r="T63" s="102">
        <v>0</v>
      </c>
      <c r="U63" s="102">
        <v>0</v>
      </c>
      <c r="V63" s="102">
        <v>0</v>
      </c>
      <c r="W63" s="102">
        <v>0</v>
      </c>
      <c r="X63" s="102">
        <v>0</v>
      </c>
      <c r="Y63" s="102">
        <v>0</v>
      </c>
      <c r="Z63" s="102">
        <v>0</v>
      </c>
      <c r="AA63" s="102">
        <v>0</v>
      </c>
      <c r="AB63" s="102">
        <v>0</v>
      </c>
      <c r="AC63" s="102">
        <v>0</v>
      </c>
      <c r="AD63" s="102">
        <v>0</v>
      </c>
      <c r="AE63" s="102">
        <v>-8.520140000000001E-2</v>
      </c>
      <c r="AF63" s="102">
        <v>-0.1200021</v>
      </c>
      <c r="AG63" s="102">
        <v>0</v>
      </c>
      <c r="AH63" s="102">
        <v>0</v>
      </c>
      <c r="AI63" s="102">
        <v>0</v>
      </c>
      <c r="AJ63" s="102">
        <v>0</v>
      </c>
      <c r="AK63" s="102">
        <v>0</v>
      </c>
      <c r="AL63" s="102">
        <v>0</v>
      </c>
      <c r="AM63" s="102">
        <v>0</v>
      </c>
      <c r="AN63" s="102">
        <v>0</v>
      </c>
      <c r="AO63" s="102">
        <v>-3.6108009999999999</v>
      </c>
      <c r="AP63" s="102">
        <v>0</v>
      </c>
      <c r="AQ63" s="102">
        <v>-0.1484974</v>
      </c>
      <c r="AR63" s="102">
        <v>0</v>
      </c>
      <c r="AS63" s="102">
        <v>0</v>
      </c>
      <c r="AT63" s="102">
        <v>0</v>
      </c>
      <c r="AU63" s="102">
        <v>5.9148011999999994</v>
      </c>
      <c r="AV63" s="102">
        <v>0</v>
      </c>
      <c r="AW63" s="102">
        <v>-4.2973315000000003</v>
      </c>
      <c r="AX63" s="54"/>
      <c r="AY63" s="54"/>
      <c r="AZ63" s="22"/>
    </row>
    <row r="64" spans="1:52">
      <c r="A64" s="79" t="s">
        <v>113</v>
      </c>
      <c r="B64" s="101">
        <v>-51.293089699999996</v>
      </c>
      <c r="C64" s="102">
        <v>-31.148996499999999</v>
      </c>
      <c r="D64" s="102">
        <v>0</v>
      </c>
      <c r="E64" s="102">
        <v>0</v>
      </c>
      <c r="F64" s="102">
        <v>0</v>
      </c>
      <c r="G64" s="102">
        <v>-5.4901499999999992E-2</v>
      </c>
      <c r="H64" s="102">
        <v>-0.52100120000000005</v>
      </c>
      <c r="I64" s="102">
        <v>-0.35399810000000004</v>
      </c>
      <c r="J64" s="102">
        <v>0</v>
      </c>
      <c r="K64" s="102">
        <v>-57.303998900000003</v>
      </c>
      <c r="L64" s="102">
        <v>-2.9001999999999997E-2</v>
      </c>
      <c r="M64" s="102">
        <v>-13.1870007</v>
      </c>
      <c r="N64" s="102">
        <v>-0.95000169999999995</v>
      </c>
      <c r="O64" s="102">
        <v>-2.8202300000000003E-2</v>
      </c>
      <c r="P64" s="102">
        <v>0</v>
      </c>
      <c r="Q64" s="102">
        <v>-25.919101300000001</v>
      </c>
      <c r="R64" s="102">
        <v>0</v>
      </c>
      <c r="S64" s="102">
        <v>0</v>
      </c>
      <c r="T64" s="102">
        <v>0</v>
      </c>
      <c r="U64" s="102">
        <v>0</v>
      </c>
      <c r="V64" s="102">
        <v>0</v>
      </c>
      <c r="W64" s="102">
        <v>-0.64349860000000003</v>
      </c>
      <c r="X64" s="102">
        <v>0</v>
      </c>
      <c r="Y64" s="102">
        <v>0</v>
      </c>
      <c r="Z64" s="102">
        <v>0</v>
      </c>
      <c r="AA64" s="102">
        <v>0</v>
      </c>
      <c r="AB64" s="102">
        <v>0</v>
      </c>
      <c r="AC64" s="102">
        <v>0</v>
      </c>
      <c r="AD64" s="102">
        <v>0</v>
      </c>
      <c r="AE64" s="102">
        <v>-0.12780209999999997</v>
      </c>
      <c r="AF64" s="102">
        <v>-3.0000013000000001</v>
      </c>
      <c r="AG64" s="102">
        <v>0</v>
      </c>
      <c r="AH64" s="102">
        <v>0</v>
      </c>
      <c r="AI64" s="102">
        <v>0</v>
      </c>
      <c r="AJ64" s="102">
        <v>0</v>
      </c>
      <c r="AK64" s="102">
        <v>0</v>
      </c>
      <c r="AL64" s="102">
        <v>0</v>
      </c>
      <c r="AM64" s="102">
        <v>-0.60000189999999998</v>
      </c>
      <c r="AN64" s="102">
        <v>0</v>
      </c>
      <c r="AO64" s="102">
        <v>0</v>
      </c>
      <c r="AP64" s="102">
        <v>0</v>
      </c>
      <c r="AQ64" s="102">
        <v>0</v>
      </c>
      <c r="AR64" s="102">
        <v>0</v>
      </c>
      <c r="AS64" s="102">
        <v>0</v>
      </c>
      <c r="AT64" s="102">
        <v>0</v>
      </c>
      <c r="AU64" s="102">
        <v>48.653998899999998</v>
      </c>
      <c r="AV64" s="102">
        <v>110.61700190000001</v>
      </c>
      <c r="AW64" s="102">
        <v>-25.889597000000002</v>
      </c>
      <c r="AX64" s="54"/>
      <c r="AY64" s="54"/>
      <c r="AZ64" s="22"/>
    </row>
    <row r="65" spans="1:52">
      <c r="A65" s="79" t="s">
        <v>114</v>
      </c>
      <c r="B65" s="101">
        <v>-0.57200899999999999</v>
      </c>
      <c r="C65" s="102">
        <v>-1.8269353000000002</v>
      </c>
      <c r="D65" s="102">
        <v>0</v>
      </c>
      <c r="E65" s="102">
        <v>0</v>
      </c>
      <c r="F65" s="102">
        <v>0</v>
      </c>
      <c r="G65" s="102">
        <v>0</v>
      </c>
      <c r="H65" s="102">
        <v>0</v>
      </c>
      <c r="I65" s="102">
        <v>0</v>
      </c>
      <c r="J65" s="102">
        <v>0</v>
      </c>
      <c r="K65" s="102">
        <v>-36.778998999999999</v>
      </c>
      <c r="L65" s="102">
        <v>-0.81099990000000011</v>
      </c>
      <c r="M65" s="102">
        <v>-4.2700000999999999</v>
      </c>
      <c r="N65" s="102">
        <v>-0.58799839999999992</v>
      </c>
      <c r="O65" s="102">
        <v>-4.2546300000000002E-2</v>
      </c>
      <c r="P65" s="102">
        <v>0</v>
      </c>
      <c r="Q65" s="102">
        <v>-2.1581990999999996</v>
      </c>
      <c r="R65" s="102">
        <v>0</v>
      </c>
      <c r="S65" s="102">
        <v>0</v>
      </c>
      <c r="T65" s="102">
        <v>0</v>
      </c>
      <c r="U65" s="102">
        <v>0</v>
      </c>
      <c r="V65" s="102">
        <v>0</v>
      </c>
      <c r="W65" s="102">
        <v>0</v>
      </c>
      <c r="X65" s="102">
        <v>0</v>
      </c>
      <c r="Y65" s="102">
        <v>0</v>
      </c>
      <c r="Z65" s="102">
        <v>0</v>
      </c>
      <c r="AA65" s="102">
        <v>0</v>
      </c>
      <c r="AB65" s="102">
        <v>0</v>
      </c>
      <c r="AC65" s="102">
        <v>0</v>
      </c>
      <c r="AD65" s="102">
        <v>0</v>
      </c>
      <c r="AE65" s="102">
        <v>-4.2600700000000005E-2</v>
      </c>
      <c r="AF65" s="102">
        <v>-0.28000060000000004</v>
      </c>
      <c r="AG65" s="102">
        <v>0</v>
      </c>
      <c r="AH65" s="102">
        <v>0</v>
      </c>
      <c r="AI65" s="102">
        <v>0</v>
      </c>
      <c r="AJ65" s="102">
        <v>0</v>
      </c>
      <c r="AK65" s="102">
        <v>0</v>
      </c>
      <c r="AL65" s="102">
        <v>0</v>
      </c>
      <c r="AM65" s="102">
        <v>0</v>
      </c>
      <c r="AN65" s="102">
        <v>0</v>
      </c>
      <c r="AO65" s="102">
        <v>0</v>
      </c>
      <c r="AP65" s="102">
        <v>0</v>
      </c>
      <c r="AQ65" s="102">
        <v>0</v>
      </c>
      <c r="AR65" s="102">
        <v>0</v>
      </c>
      <c r="AS65" s="102">
        <v>0</v>
      </c>
      <c r="AT65" s="102">
        <v>0</v>
      </c>
      <c r="AU65" s="102">
        <v>28.717198400000001</v>
      </c>
      <c r="AV65" s="102">
        <v>9.3179996999999997</v>
      </c>
      <c r="AW65" s="102">
        <v>-9.3350901999999998</v>
      </c>
      <c r="AX65" s="54"/>
      <c r="AY65" s="54"/>
      <c r="AZ65" s="22"/>
    </row>
    <row r="66" spans="1:52">
      <c r="A66" s="79" t="s">
        <v>115</v>
      </c>
      <c r="B66" s="101">
        <v>-3.4630403999999997</v>
      </c>
      <c r="C66" s="102">
        <v>-7.9756781999999999</v>
      </c>
      <c r="D66" s="102">
        <v>0</v>
      </c>
      <c r="E66" s="102">
        <v>0</v>
      </c>
      <c r="F66" s="102">
        <v>0</v>
      </c>
      <c r="G66" s="102">
        <v>-2.7000699999999999E-2</v>
      </c>
      <c r="H66" s="102">
        <v>-0.2589996</v>
      </c>
      <c r="I66" s="102">
        <v>-9.3001399999999998E-2</v>
      </c>
      <c r="J66" s="102">
        <v>0</v>
      </c>
      <c r="K66" s="102">
        <v>-33.472000600000001</v>
      </c>
      <c r="L66" s="102">
        <v>-2.0000299999999999E-2</v>
      </c>
      <c r="M66" s="102">
        <v>-2.2479976000000002</v>
      </c>
      <c r="N66" s="102">
        <v>-0.12899950000000002</v>
      </c>
      <c r="O66" s="102">
        <v>-0.3061179</v>
      </c>
      <c r="P66" s="102">
        <v>0</v>
      </c>
      <c r="Q66" s="102">
        <v>-8.2179012999999994</v>
      </c>
      <c r="R66" s="102">
        <v>0</v>
      </c>
      <c r="S66" s="102">
        <v>0</v>
      </c>
      <c r="T66" s="102">
        <v>0</v>
      </c>
      <c r="U66" s="102">
        <v>0</v>
      </c>
      <c r="V66" s="102">
        <v>0</v>
      </c>
      <c r="W66" s="102">
        <v>-0.44550060000000002</v>
      </c>
      <c r="X66" s="102">
        <v>0</v>
      </c>
      <c r="Y66" s="102">
        <v>-0.13800110000000002</v>
      </c>
      <c r="Z66" s="102">
        <v>0</v>
      </c>
      <c r="AA66" s="102">
        <v>0</v>
      </c>
      <c r="AB66" s="102">
        <v>0</v>
      </c>
      <c r="AC66" s="102">
        <v>0</v>
      </c>
      <c r="AD66" s="102">
        <v>0</v>
      </c>
      <c r="AE66" s="102">
        <v>-1.8318004000000001</v>
      </c>
      <c r="AF66" s="102">
        <v>-2.4400001000000002</v>
      </c>
      <c r="AG66" s="102">
        <v>0</v>
      </c>
      <c r="AH66" s="102">
        <v>0</v>
      </c>
      <c r="AI66" s="102">
        <v>0</v>
      </c>
      <c r="AJ66" s="102">
        <v>0</v>
      </c>
      <c r="AK66" s="102">
        <v>0</v>
      </c>
      <c r="AL66" s="102">
        <v>0</v>
      </c>
      <c r="AM66" s="102">
        <v>-0.1200021</v>
      </c>
      <c r="AN66" s="102">
        <v>0</v>
      </c>
      <c r="AO66" s="102">
        <v>0</v>
      </c>
      <c r="AP66" s="102">
        <v>0</v>
      </c>
      <c r="AQ66" s="102">
        <v>0</v>
      </c>
      <c r="AR66" s="102">
        <v>0</v>
      </c>
      <c r="AS66" s="102">
        <v>0</v>
      </c>
      <c r="AT66" s="102">
        <v>0</v>
      </c>
      <c r="AU66" s="102">
        <v>0</v>
      </c>
      <c r="AV66" s="102">
        <v>60.448000999999998</v>
      </c>
      <c r="AW66" s="102">
        <v>-0.73804069999999999</v>
      </c>
      <c r="AX66" s="54"/>
      <c r="AY66" s="54"/>
      <c r="AZ66" s="22"/>
    </row>
    <row r="67" spans="1:52">
      <c r="A67" s="79" t="s">
        <v>116</v>
      </c>
      <c r="B67" s="101">
        <v>-2.29981E-2</v>
      </c>
      <c r="C67" s="102">
        <v>-0.1919941</v>
      </c>
      <c r="D67" s="102">
        <v>0</v>
      </c>
      <c r="E67" s="102">
        <v>0</v>
      </c>
      <c r="F67" s="102">
        <v>0</v>
      </c>
      <c r="G67" s="102">
        <v>0</v>
      </c>
      <c r="H67" s="102">
        <v>0</v>
      </c>
      <c r="I67" s="102">
        <v>0</v>
      </c>
      <c r="J67" s="102">
        <v>0</v>
      </c>
      <c r="K67" s="102">
        <v>-1.3819999000000001</v>
      </c>
      <c r="L67" s="102">
        <v>-6.3999399999999998E-2</v>
      </c>
      <c r="M67" s="102">
        <v>-2.4999399999999998E-2</v>
      </c>
      <c r="N67" s="102">
        <v>-0.1760005</v>
      </c>
      <c r="O67" s="102">
        <v>-3.9769999999999996E-4</v>
      </c>
      <c r="P67" s="102">
        <v>0</v>
      </c>
      <c r="Q67" s="102">
        <v>-8.1001999999999991E-2</v>
      </c>
      <c r="R67" s="102">
        <v>0</v>
      </c>
      <c r="S67" s="102">
        <v>0</v>
      </c>
      <c r="T67" s="102">
        <v>0</v>
      </c>
      <c r="U67" s="102">
        <v>0</v>
      </c>
      <c r="V67" s="102">
        <v>0</v>
      </c>
      <c r="W67" s="102">
        <v>-0.14850160000000001</v>
      </c>
      <c r="X67" s="102">
        <v>0</v>
      </c>
      <c r="Y67" s="102">
        <v>0</v>
      </c>
      <c r="Z67" s="102">
        <v>0</v>
      </c>
      <c r="AA67" s="102">
        <v>0</v>
      </c>
      <c r="AB67" s="102">
        <v>0</v>
      </c>
      <c r="AC67" s="102">
        <v>0</v>
      </c>
      <c r="AD67" s="102">
        <v>0</v>
      </c>
      <c r="AE67" s="102">
        <v>0</v>
      </c>
      <c r="AF67" s="102">
        <v>-4.00007E-2</v>
      </c>
      <c r="AG67" s="102">
        <v>0</v>
      </c>
      <c r="AH67" s="102">
        <v>0</v>
      </c>
      <c r="AI67" s="102">
        <v>0</v>
      </c>
      <c r="AJ67" s="102">
        <v>0</v>
      </c>
      <c r="AK67" s="102">
        <v>0</v>
      </c>
      <c r="AL67" s="102">
        <v>-3.1999699999999999E-2</v>
      </c>
      <c r="AM67" s="102">
        <v>0</v>
      </c>
      <c r="AN67" s="102">
        <v>0</v>
      </c>
      <c r="AO67" s="102">
        <v>0</v>
      </c>
      <c r="AP67" s="102">
        <v>0</v>
      </c>
      <c r="AQ67" s="102">
        <v>0</v>
      </c>
      <c r="AR67" s="102">
        <v>0</v>
      </c>
      <c r="AS67" s="102">
        <v>0</v>
      </c>
      <c r="AT67" s="102">
        <v>0</v>
      </c>
      <c r="AU67" s="102">
        <v>0</v>
      </c>
      <c r="AV67" s="102">
        <v>2.8560004999999999</v>
      </c>
      <c r="AW67" s="102">
        <v>0.69210729999999998</v>
      </c>
      <c r="AX67" s="54"/>
      <c r="AY67" s="54"/>
      <c r="AZ67" s="22"/>
    </row>
    <row r="68" spans="1:52">
      <c r="A68" s="79" t="s">
        <v>117</v>
      </c>
      <c r="B68" s="101">
        <v>0</v>
      </c>
      <c r="C68" s="102">
        <v>0</v>
      </c>
      <c r="D68" s="102">
        <v>0</v>
      </c>
      <c r="E68" s="102">
        <v>0</v>
      </c>
      <c r="F68" s="102">
        <v>0</v>
      </c>
      <c r="G68" s="102">
        <v>0</v>
      </c>
      <c r="H68" s="102">
        <v>0</v>
      </c>
      <c r="I68" s="102">
        <v>0</v>
      </c>
      <c r="J68" s="102">
        <v>0</v>
      </c>
      <c r="K68" s="102">
        <v>0</v>
      </c>
      <c r="L68" s="102">
        <v>0</v>
      </c>
      <c r="M68" s="102">
        <v>0</v>
      </c>
      <c r="N68" s="102">
        <v>0</v>
      </c>
      <c r="O68" s="102">
        <v>0</v>
      </c>
      <c r="P68" s="102">
        <v>0</v>
      </c>
      <c r="Q68" s="102">
        <v>0</v>
      </c>
      <c r="R68" s="102">
        <v>0</v>
      </c>
      <c r="S68" s="102">
        <v>0</v>
      </c>
      <c r="T68" s="102">
        <v>0</v>
      </c>
      <c r="U68" s="102">
        <v>0</v>
      </c>
      <c r="V68" s="102">
        <v>0</v>
      </c>
      <c r="W68" s="102">
        <v>0</v>
      </c>
      <c r="X68" s="102">
        <v>0</v>
      </c>
      <c r="Y68" s="102">
        <v>0</v>
      </c>
      <c r="Z68" s="102">
        <v>0</v>
      </c>
      <c r="AA68" s="102">
        <v>0</v>
      </c>
      <c r="AB68" s="102">
        <v>0</v>
      </c>
      <c r="AC68" s="102">
        <v>0</v>
      </c>
      <c r="AD68" s="102">
        <v>0</v>
      </c>
      <c r="AE68" s="102">
        <v>0</v>
      </c>
      <c r="AF68" s="102">
        <v>0</v>
      </c>
      <c r="AG68" s="102">
        <v>0</v>
      </c>
      <c r="AH68" s="102">
        <v>0</v>
      </c>
      <c r="AI68" s="102">
        <v>0</v>
      </c>
      <c r="AJ68" s="102">
        <v>0</v>
      </c>
      <c r="AK68" s="102">
        <v>0</v>
      </c>
      <c r="AL68" s="102">
        <v>0</v>
      </c>
      <c r="AM68" s="102">
        <v>0</v>
      </c>
      <c r="AN68" s="102">
        <v>0</v>
      </c>
      <c r="AO68" s="102">
        <v>0</v>
      </c>
      <c r="AP68" s="102">
        <v>0</v>
      </c>
      <c r="AQ68" s="102">
        <v>0</v>
      </c>
      <c r="AR68" s="102">
        <v>0</v>
      </c>
      <c r="AS68" s="102">
        <v>0</v>
      </c>
      <c r="AT68" s="102">
        <v>0</v>
      </c>
      <c r="AU68" s="102">
        <v>-1.4436003000000002</v>
      </c>
      <c r="AV68" s="102">
        <v>1.4436003000000002</v>
      </c>
      <c r="AW68" s="102">
        <v>0</v>
      </c>
      <c r="AX68" s="54"/>
      <c r="AY68" s="54"/>
      <c r="AZ68" s="22"/>
    </row>
    <row r="69" spans="1:52">
      <c r="A69" s="79" t="s">
        <v>118</v>
      </c>
      <c r="B69" s="101">
        <v>0</v>
      </c>
      <c r="C69" s="102">
        <v>0</v>
      </c>
      <c r="D69" s="102">
        <v>0</v>
      </c>
      <c r="E69" s="102">
        <v>0</v>
      </c>
      <c r="F69" s="102">
        <v>0</v>
      </c>
      <c r="G69" s="102">
        <v>0</v>
      </c>
      <c r="H69" s="102">
        <v>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0</v>
      </c>
      <c r="T69" s="102">
        <v>0</v>
      </c>
      <c r="U69" s="102">
        <v>0</v>
      </c>
      <c r="V69" s="102">
        <v>0</v>
      </c>
      <c r="W69" s="102">
        <v>0</v>
      </c>
      <c r="X69" s="102">
        <v>0</v>
      </c>
      <c r="Y69" s="102">
        <v>0</v>
      </c>
      <c r="Z69" s="102">
        <v>0</v>
      </c>
      <c r="AA69" s="102">
        <v>0</v>
      </c>
      <c r="AB69" s="102">
        <v>0</v>
      </c>
      <c r="AC69" s="102">
        <v>0</v>
      </c>
      <c r="AD69" s="102">
        <v>0</v>
      </c>
      <c r="AE69" s="102">
        <v>0</v>
      </c>
      <c r="AF69" s="102">
        <v>0</v>
      </c>
      <c r="AG69" s="102">
        <v>0</v>
      </c>
      <c r="AH69" s="102">
        <v>0</v>
      </c>
      <c r="AI69" s="102">
        <v>0</v>
      </c>
      <c r="AJ69" s="102">
        <v>0</v>
      </c>
      <c r="AK69" s="102">
        <v>0</v>
      </c>
      <c r="AL69" s="102">
        <v>0</v>
      </c>
      <c r="AM69" s="102">
        <v>0</v>
      </c>
      <c r="AN69" s="102">
        <v>0</v>
      </c>
      <c r="AO69" s="102">
        <v>0</v>
      </c>
      <c r="AP69" s="102">
        <v>0</v>
      </c>
      <c r="AQ69" s="102">
        <v>0</v>
      </c>
      <c r="AR69" s="102">
        <v>0</v>
      </c>
      <c r="AS69" s="102">
        <v>0</v>
      </c>
      <c r="AT69" s="102">
        <v>0</v>
      </c>
      <c r="AU69" s="102">
        <v>-8.2798199999999988E-2</v>
      </c>
      <c r="AV69" s="102">
        <v>7.4998099999999998E-2</v>
      </c>
      <c r="AW69" s="102">
        <v>-7.7999999999999996E-3</v>
      </c>
      <c r="AX69" s="54"/>
      <c r="AY69" s="54"/>
      <c r="AZ69" s="22"/>
    </row>
    <row r="70" spans="1:52">
      <c r="A70" s="79" t="s">
        <v>119</v>
      </c>
      <c r="B70" s="101">
        <v>0</v>
      </c>
      <c r="C70" s="102">
        <v>0</v>
      </c>
      <c r="D70" s="102">
        <v>0</v>
      </c>
      <c r="E70" s="102">
        <v>0</v>
      </c>
      <c r="F70" s="102">
        <v>0</v>
      </c>
      <c r="G70" s="102">
        <v>0</v>
      </c>
      <c r="H70" s="102">
        <v>0</v>
      </c>
      <c r="I70" s="102">
        <v>0</v>
      </c>
      <c r="J70" s="102">
        <v>0</v>
      </c>
      <c r="K70" s="102">
        <v>0</v>
      </c>
      <c r="L70" s="102">
        <v>0</v>
      </c>
      <c r="M70" s="102">
        <v>0</v>
      </c>
      <c r="N70" s="102">
        <v>0</v>
      </c>
      <c r="O70" s="102">
        <v>0</v>
      </c>
      <c r="P70" s="102">
        <v>0</v>
      </c>
      <c r="Q70" s="102">
        <v>0</v>
      </c>
      <c r="R70" s="102">
        <v>0</v>
      </c>
      <c r="S70" s="102">
        <v>0</v>
      </c>
      <c r="T70" s="102">
        <v>0</v>
      </c>
      <c r="U70" s="102">
        <v>0</v>
      </c>
      <c r="V70" s="102">
        <v>0</v>
      </c>
      <c r="W70" s="102">
        <v>0</v>
      </c>
      <c r="X70" s="102">
        <v>0</v>
      </c>
      <c r="Y70" s="102">
        <v>0</v>
      </c>
      <c r="Z70" s="102">
        <v>0</v>
      </c>
      <c r="AA70" s="102">
        <v>0</v>
      </c>
      <c r="AB70" s="102">
        <v>0</v>
      </c>
      <c r="AC70" s="102">
        <v>0</v>
      </c>
      <c r="AD70" s="102">
        <v>0</v>
      </c>
      <c r="AE70" s="102">
        <v>0</v>
      </c>
      <c r="AF70" s="102">
        <v>0</v>
      </c>
      <c r="AG70" s="102">
        <v>0</v>
      </c>
      <c r="AH70" s="102">
        <v>0</v>
      </c>
      <c r="AI70" s="102">
        <v>0</v>
      </c>
      <c r="AJ70" s="102">
        <v>0</v>
      </c>
      <c r="AK70" s="102">
        <v>0</v>
      </c>
      <c r="AL70" s="102">
        <v>0</v>
      </c>
      <c r="AM70" s="102">
        <v>0</v>
      </c>
      <c r="AN70" s="102">
        <v>0</v>
      </c>
      <c r="AO70" s="102">
        <v>0</v>
      </c>
      <c r="AP70" s="102">
        <v>0</v>
      </c>
      <c r="AQ70" s="102">
        <v>0</v>
      </c>
      <c r="AR70" s="102">
        <v>0</v>
      </c>
      <c r="AS70" s="102">
        <v>0</v>
      </c>
      <c r="AT70" s="102">
        <v>0</v>
      </c>
      <c r="AU70" s="102">
        <v>0</v>
      </c>
      <c r="AV70" s="102">
        <v>0</v>
      </c>
      <c r="AW70" s="102">
        <v>0</v>
      </c>
      <c r="AX70" s="54"/>
      <c r="AY70" s="54"/>
      <c r="AZ70" s="22"/>
    </row>
    <row r="71" spans="1:52">
      <c r="A71" s="79" t="s">
        <v>120</v>
      </c>
      <c r="B71" s="101">
        <v>-34.779098599999998</v>
      </c>
      <c r="C71" s="102">
        <v>0</v>
      </c>
      <c r="D71" s="102">
        <v>25.315201499999997</v>
      </c>
      <c r="E71" s="102">
        <v>0</v>
      </c>
      <c r="F71" s="102">
        <v>0</v>
      </c>
      <c r="G71" s="102">
        <v>7.3773006999999993</v>
      </c>
      <c r="H71" s="102">
        <v>0</v>
      </c>
      <c r="I71" s="102">
        <v>0</v>
      </c>
      <c r="J71" s="102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>
        <v>0</v>
      </c>
      <c r="R71" s="102">
        <v>0</v>
      </c>
      <c r="S71" s="102">
        <v>0</v>
      </c>
      <c r="T71" s="102">
        <v>0</v>
      </c>
      <c r="U71" s="102">
        <v>0</v>
      </c>
      <c r="V71" s="102">
        <v>0</v>
      </c>
      <c r="W71" s="102">
        <v>0</v>
      </c>
      <c r="X71" s="102">
        <v>0</v>
      </c>
      <c r="Y71" s="102">
        <v>0</v>
      </c>
      <c r="Z71" s="102">
        <v>0</v>
      </c>
      <c r="AA71" s="102">
        <v>0</v>
      </c>
      <c r="AB71" s="102">
        <v>0</v>
      </c>
      <c r="AC71" s="102">
        <v>0</v>
      </c>
      <c r="AD71" s="102">
        <v>0</v>
      </c>
      <c r="AE71" s="102">
        <v>0</v>
      </c>
      <c r="AF71" s="102">
        <v>0</v>
      </c>
      <c r="AG71" s="102">
        <v>0</v>
      </c>
      <c r="AH71" s="102">
        <v>0</v>
      </c>
      <c r="AI71" s="102">
        <v>0</v>
      </c>
      <c r="AJ71" s="102">
        <v>0</v>
      </c>
      <c r="AK71" s="102">
        <v>0</v>
      </c>
      <c r="AL71" s="102">
        <v>0</v>
      </c>
      <c r="AM71" s="102">
        <v>0</v>
      </c>
      <c r="AN71" s="102">
        <v>0</v>
      </c>
      <c r="AO71" s="102">
        <v>0</v>
      </c>
      <c r="AP71" s="102">
        <v>0</v>
      </c>
      <c r="AQ71" s="102">
        <v>0</v>
      </c>
      <c r="AR71" s="102">
        <v>0</v>
      </c>
      <c r="AS71" s="102">
        <v>0</v>
      </c>
      <c r="AT71" s="102">
        <v>0</v>
      </c>
      <c r="AU71" s="102">
        <v>0</v>
      </c>
      <c r="AV71" s="102">
        <v>0</v>
      </c>
      <c r="AW71" s="102">
        <v>-0.75459529999999997</v>
      </c>
      <c r="AX71" s="54"/>
      <c r="AY71" s="54"/>
      <c r="AZ71" s="22"/>
    </row>
    <row r="72" spans="1:52">
      <c r="A72" s="79" t="s">
        <v>121</v>
      </c>
      <c r="B72" s="101">
        <v>0</v>
      </c>
      <c r="C72" s="102">
        <v>0</v>
      </c>
      <c r="D72" s="102">
        <v>0</v>
      </c>
      <c r="E72" s="102">
        <v>0</v>
      </c>
      <c r="F72" s="102">
        <v>0</v>
      </c>
      <c r="G72" s="102">
        <v>0</v>
      </c>
      <c r="H72" s="102">
        <v>0</v>
      </c>
      <c r="I72" s="102">
        <v>0</v>
      </c>
      <c r="J72" s="102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>
        <v>0</v>
      </c>
      <c r="R72" s="102">
        <v>0</v>
      </c>
      <c r="S72" s="102">
        <v>0</v>
      </c>
      <c r="T72" s="102">
        <v>0</v>
      </c>
      <c r="U72" s="102">
        <v>0</v>
      </c>
      <c r="V72" s="102">
        <v>0</v>
      </c>
      <c r="W72" s="102">
        <v>0</v>
      </c>
      <c r="X72" s="102">
        <v>0</v>
      </c>
      <c r="Y72" s="102">
        <v>0</v>
      </c>
      <c r="Z72" s="102">
        <v>0</v>
      </c>
      <c r="AA72" s="102">
        <v>0</v>
      </c>
      <c r="AB72" s="102">
        <v>0</v>
      </c>
      <c r="AC72" s="102">
        <v>0</v>
      </c>
      <c r="AD72" s="102">
        <v>0</v>
      </c>
      <c r="AE72" s="102">
        <v>0</v>
      </c>
      <c r="AF72" s="102">
        <v>0</v>
      </c>
      <c r="AG72" s="102">
        <v>0</v>
      </c>
      <c r="AH72" s="102">
        <v>0</v>
      </c>
      <c r="AI72" s="102">
        <v>0</v>
      </c>
      <c r="AJ72" s="102">
        <v>0</v>
      </c>
      <c r="AK72" s="102">
        <v>0</v>
      </c>
      <c r="AL72" s="102">
        <v>0</v>
      </c>
      <c r="AM72" s="102">
        <v>0</v>
      </c>
      <c r="AN72" s="102">
        <v>0</v>
      </c>
      <c r="AO72" s="102">
        <v>0</v>
      </c>
      <c r="AP72" s="102">
        <v>0</v>
      </c>
      <c r="AQ72" s="102">
        <v>0</v>
      </c>
      <c r="AR72" s="102">
        <v>0</v>
      </c>
      <c r="AS72" s="102">
        <v>0</v>
      </c>
      <c r="AT72" s="102">
        <v>0</v>
      </c>
      <c r="AU72" s="102">
        <v>0</v>
      </c>
      <c r="AV72" s="102">
        <v>0</v>
      </c>
      <c r="AW72" s="102">
        <v>0</v>
      </c>
      <c r="AX72" s="54"/>
      <c r="AY72" s="54"/>
      <c r="AZ72" s="22"/>
    </row>
    <row r="73" spans="1:52">
      <c r="A73" s="79" t="s">
        <v>122</v>
      </c>
      <c r="B73" s="101">
        <v>-9.0688181000000014</v>
      </c>
      <c r="C73" s="102">
        <v>0</v>
      </c>
      <c r="D73" s="102">
        <v>-18.5761994</v>
      </c>
      <c r="E73" s="102">
        <v>0</v>
      </c>
      <c r="F73" s="102">
        <v>0</v>
      </c>
      <c r="G73" s="102">
        <v>-0.38070149999999997</v>
      </c>
      <c r="H73" s="102">
        <v>7.1559990000000004</v>
      </c>
      <c r="I73" s="102">
        <v>0</v>
      </c>
      <c r="J73" s="102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>
        <v>0</v>
      </c>
      <c r="R73" s="102">
        <v>0</v>
      </c>
      <c r="S73" s="102">
        <v>0</v>
      </c>
      <c r="T73" s="102">
        <v>0</v>
      </c>
      <c r="U73" s="102">
        <v>0</v>
      </c>
      <c r="V73" s="102">
        <v>0</v>
      </c>
      <c r="W73" s="102">
        <v>0</v>
      </c>
      <c r="X73" s="102">
        <v>0</v>
      </c>
      <c r="Y73" s="102">
        <v>0</v>
      </c>
      <c r="Z73" s="102">
        <v>0</v>
      </c>
      <c r="AA73" s="102">
        <v>0</v>
      </c>
      <c r="AB73" s="102">
        <v>0</v>
      </c>
      <c r="AC73" s="102">
        <v>0</v>
      </c>
      <c r="AD73" s="102">
        <v>0</v>
      </c>
      <c r="AE73" s="102">
        <v>0</v>
      </c>
      <c r="AF73" s="102">
        <v>0</v>
      </c>
      <c r="AG73" s="102">
        <v>0</v>
      </c>
      <c r="AH73" s="102">
        <v>0</v>
      </c>
      <c r="AI73" s="102">
        <v>0</v>
      </c>
      <c r="AJ73" s="102">
        <v>0</v>
      </c>
      <c r="AK73" s="102">
        <v>0</v>
      </c>
      <c r="AL73" s="102">
        <v>0</v>
      </c>
      <c r="AM73" s="102">
        <v>0</v>
      </c>
      <c r="AN73" s="102">
        <v>0</v>
      </c>
      <c r="AO73" s="102">
        <v>0</v>
      </c>
      <c r="AP73" s="102">
        <v>0</v>
      </c>
      <c r="AQ73" s="102">
        <v>0</v>
      </c>
      <c r="AR73" s="102">
        <v>0</v>
      </c>
      <c r="AS73" s="102">
        <v>0</v>
      </c>
      <c r="AT73" s="102">
        <v>0</v>
      </c>
      <c r="AU73" s="102">
        <v>0</v>
      </c>
      <c r="AV73" s="102">
        <v>0</v>
      </c>
      <c r="AW73" s="102">
        <v>-20.869720099999999</v>
      </c>
      <c r="AX73" s="54"/>
      <c r="AY73" s="54"/>
      <c r="AZ73" s="22"/>
    </row>
    <row r="74" spans="1:52">
      <c r="A74" s="79" t="s">
        <v>123</v>
      </c>
      <c r="B74" s="101">
        <v>0</v>
      </c>
      <c r="C74" s="102">
        <v>0</v>
      </c>
      <c r="D74" s="102">
        <v>0</v>
      </c>
      <c r="E74" s="102">
        <v>0</v>
      </c>
      <c r="F74" s="102">
        <v>0</v>
      </c>
      <c r="G74" s="102">
        <v>0</v>
      </c>
      <c r="H74" s="102">
        <v>0</v>
      </c>
      <c r="I74" s="102">
        <v>0</v>
      </c>
      <c r="J74" s="102">
        <v>0</v>
      </c>
      <c r="K74" s="102">
        <v>0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0</v>
      </c>
      <c r="R74" s="102">
        <v>0</v>
      </c>
      <c r="S74" s="102">
        <v>0</v>
      </c>
      <c r="T74" s="102">
        <v>8.6275000999999989</v>
      </c>
      <c r="U74" s="102">
        <v>0</v>
      </c>
      <c r="V74" s="102">
        <v>0</v>
      </c>
      <c r="W74" s="102">
        <v>-1.9305000000000001</v>
      </c>
      <c r="X74" s="102">
        <v>0</v>
      </c>
      <c r="Y74" s="102">
        <v>-1.2420017000000001</v>
      </c>
      <c r="Z74" s="102">
        <v>0</v>
      </c>
      <c r="AA74" s="102">
        <v>0</v>
      </c>
      <c r="AB74" s="102">
        <v>0</v>
      </c>
      <c r="AC74" s="102">
        <v>0</v>
      </c>
      <c r="AD74" s="102">
        <v>0</v>
      </c>
      <c r="AE74" s="102">
        <v>0</v>
      </c>
      <c r="AF74" s="102">
        <v>0</v>
      </c>
      <c r="AG74" s="102">
        <v>-6.0279997000000005</v>
      </c>
      <c r="AH74" s="102">
        <v>0</v>
      </c>
      <c r="AI74" s="102">
        <v>0</v>
      </c>
      <c r="AJ74" s="102">
        <v>0</v>
      </c>
      <c r="AK74" s="102">
        <v>0</v>
      </c>
      <c r="AL74" s="102">
        <v>0</v>
      </c>
      <c r="AM74" s="102">
        <v>0</v>
      </c>
      <c r="AN74" s="102">
        <v>0</v>
      </c>
      <c r="AO74" s="102">
        <v>0</v>
      </c>
      <c r="AP74" s="102">
        <v>0</v>
      </c>
      <c r="AQ74" s="102">
        <v>0</v>
      </c>
      <c r="AR74" s="102">
        <v>0</v>
      </c>
      <c r="AS74" s="102">
        <v>0</v>
      </c>
      <c r="AT74" s="102">
        <v>0</v>
      </c>
      <c r="AU74" s="102">
        <v>0</v>
      </c>
      <c r="AV74" s="102">
        <v>0</v>
      </c>
      <c r="AW74" s="102">
        <v>-0.57300130000000005</v>
      </c>
      <c r="AX74" s="54"/>
      <c r="AY74" s="54"/>
      <c r="AZ74" s="22"/>
    </row>
    <row r="75" spans="1:52">
      <c r="A75" s="79" t="s">
        <v>124</v>
      </c>
      <c r="B75" s="101">
        <v>0</v>
      </c>
      <c r="C75" s="102">
        <v>0</v>
      </c>
      <c r="D75" s="102">
        <v>0</v>
      </c>
      <c r="E75" s="102">
        <v>0</v>
      </c>
      <c r="F75" s="102">
        <v>0</v>
      </c>
      <c r="G75" s="10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102">
        <v>0</v>
      </c>
      <c r="O75" s="102">
        <v>0</v>
      </c>
      <c r="P75" s="102">
        <v>0</v>
      </c>
      <c r="Q75" s="102">
        <v>0</v>
      </c>
      <c r="R75" s="102">
        <v>0</v>
      </c>
      <c r="S75" s="102">
        <v>0</v>
      </c>
      <c r="T75" s="102">
        <v>0</v>
      </c>
      <c r="U75" s="102">
        <v>0</v>
      </c>
      <c r="V75" s="102">
        <v>0</v>
      </c>
      <c r="W75" s="102">
        <v>0</v>
      </c>
      <c r="X75" s="102">
        <v>0</v>
      </c>
      <c r="Y75" s="102">
        <v>0</v>
      </c>
      <c r="Z75" s="102">
        <v>0</v>
      </c>
      <c r="AA75" s="102">
        <v>0</v>
      </c>
      <c r="AB75" s="102">
        <v>0</v>
      </c>
      <c r="AC75" s="102">
        <v>0</v>
      </c>
      <c r="AD75" s="102">
        <v>0</v>
      </c>
      <c r="AE75" s="102">
        <v>0</v>
      </c>
      <c r="AF75" s="102">
        <v>0</v>
      </c>
      <c r="AG75" s="102">
        <v>0</v>
      </c>
      <c r="AH75" s="102">
        <v>0</v>
      </c>
      <c r="AI75" s="102">
        <v>0</v>
      </c>
      <c r="AJ75" s="102">
        <v>0</v>
      </c>
      <c r="AK75" s="102">
        <v>0</v>
      </c>
      <c r="AL75" s="102">
        <v>0</v>
      </c>
      <c r="AM75" s="102">
        <v>0</v>
      </c>
      <c r="AN75" s="102">
        <v>0</v>
      </c>
      <c r="AO75" s="102">
        <v>0</v>
      </c>
      <c r="AP75" s="102">
        <v>0</v>
      </c>
      <c r="AQ75" s="102">
        <v>0</v>
      </c>
      <c r="AR75" s="102">
        <v>0</v>
      </c>
      <c r="AS75" s="102">
        <v>0</v>
      </c>
      <c r="AT75" s="102">
        <v>0</v>
      </c>
      <c r="AU75" s="102">
        <v>0</v>
      </c>
      <c r="AV75" s="102">
        <v>0</v>
      </c>
      <c r="AW75" s="102">
        <v>0</v>
      </c>
      <c r="AX75" s="54"/>
      <c r="AY75" s="54"/>
      <c r="AZ75" s="22"/>
    </row>
    <row r="76" spans="1:52">
      <c r="A76" s="79" t="s">
        <v>125</v>
      </c>
      <c r="B76" s="101">
        <v>0</v>
      </c>
      <c r="C76" s="102">
        <v>0</v>
      </c>
      <c r="D76" s="102">
        <v>0</v>
      </c>
      <c r="E76" s="102">
        <v>0</v>
      </c>
      <c r="F76" s="102">
        <v>0</v>
      </c>
      <c r="G76" s="102">
        <v>0</v>
      </c>
      <c r="H76" s="102">
        <v>0</v>
      </c>
      <c r="I76" s="102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-479.79701819999997</v>
      </c>
      <c r="S76" s="102">
        <v>-55.967999400000004</v>
      </c>
      <c r="T76" s="102">
        <v>-86.232500899999991</v>
      </c>
      <c r="U76" s="102">
        <v>-2.1250020000000003</v>
      </c>
      <c r="V76" s="102">
        <v>-8.8400011000000003</v>
      </c>
      <c r="W76" s="102">
        <v>28.3635017</v>
      </c>
      <c r="X76" s="102">
        <v>0</v>
      </c>
      <c r="Y76" s="102">
        <v>13.110001200000001</v>
      </c>
      <c r="Z76" s="102">
        <v>193.73199900000003</v>
      </c>
      <c r="AA76" s="102">
        <v>0</v>
      </c>
      <c r="AB76" s="102">
        <v>0</v>
      </c>
      <c r="AC76" s="102">
        <v>32.464999899999995</v>
      </c>
      <c r="AD76" s="102">
        <v>0</v>
      </c>
      <c r="AE76" s="102">
        <v>268.63560110000003</v>
      </c>
      <c r="AF76" s="102">
        <v>64.559999599999998</v>
      </c>
      <c r="AG76" s="102">
        <v>4.5320016999999995</v>
      </c>
      <c r="AH76" s="102">
        <v>5.6680019000000001</v>
      </c>
      <c r="AI76" s="102">
        <v>12.4319992</v>
      </c>
      <c r="AJ76" s="102">
        <v>5.4210016999999997</v>
      </c>
      <c r="AK76" s="102">
        <v>0</v>
      </c>
      <c r="AL76" s="102">
        <v>4.0320014000000004</v>
      </c>
      <c r="AM76" s="102">
        <v>0</v>
      </c>
      <c r="AN76" s="102">
        <v>0</v>
      </c>
      <c r="AO76" s="102">
        <v>0</v>
      </c>
      <c r="AP76" s="102">
        <v>0</v>
      </c>
      <c r="AQ76" s="102">
        <v>0</v>
      </c>
      <c r="AR76" s="102">
        <v>0</v>
      </c>
      <c r="AS76" s="102">
        <v>0</v>
      </c>
      <c r="AT76" s="102">
        <v>0</v>
      </c>
      <c r="AU76" s="102">
        <v>0</v>
      </c>
      <c r="AV76" s="102">
        <v>0</v>
      </c>
      <c r="AW76" s="102">
        <v>-1.14132E-2</v>
      </c>
      <c r="AX76" s="54"/>
      <c r="AY76" s="54"/>
      <c r="AZ76" s="22"/>
    </row>
    <row r="77" spans="1:52">
      <c r="A77" s="79" t="s">
        <v>126</v>
      </c>
      <c r="B77" s="101">
        <v>0</v>
      </c>
      <c r="C77" s="102">
        <v>0</v>
      </c>
      <c r="D77" s="102">
        <v>0</v>
      </c>
      <c r="E77" s="102">
        <v>0</v>
      </c>
      <c r="F77" s="102">
        <v>0</v>
      </c>
      <c r="G77" s="102">
        <v>0</v>
      </c>
      <c r="H77" s="102">
        <v>0</v>
      </c>
      <c r="I77" s="102">
        <v>0</v>
      </c>
      <c r="J77" s="102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0</v>
      </c>
      <c r="P77" s="102">
        <v>0</v>
      </c>
      <c r="Q77" s="102">
        <v>0</v>
      </c>
      <c r="R77" s="102">
        <v>0</v>
      </c>
      <c r="S77" s="102">
        <v>0</v>
      </c>
      <c r="T77" s="102">
        <v>0</v>
      </c>
      <c r="U77" s="102">
        <v>0</v>
      </c>
      <c r="V77" s="102">
        <v>0</v>
      </c>
      <c r="W77" s="102">
        <v>0</v>
      </c>
      <c r="X77" s="102">
        <v>0</v>
      </c>
      <c r="Y77" s="102">
        <v>0</v>
      </c>
      <c r="Z77" s="102">
        <v>0</v>
      </c>
      <c r="AA77" s="102">
        <v>0</v>
      </c>
      <c r="AB77" s="102">
        <v>0</v>
      </c>
      <c r="AC77" s="102">
        <v>0</v>
      </c>
      <c r="AD77" s="102">
        <v>0</v>
      </c>
      <c r="AE77" s="102">
        <v>0</v>
      </c>
      <c r="AF77" s="102">
        <v>0</v>
      </c>
      <c r="AG77" s="102">
        <v>0</v>
      </c>
      <c r="AH77" s="102">
        <v>0</v>
      </c>
      <c r="AI77" s="102">
        <v>0</v>
      </c>
      <c r="AJ77" s="102">
        <v>0</v>
      </c>
      <c r="AK77" s="102">
        <v>0</v>
      </c>
      <c r="AL77" s="102">
        <v>0</v>
      </c>
      <c r="AM77" s="102">
        <v>0</v>
      </c>
      <c r="AN77" s="102">
        <v>0</v>
      </c>
      <c r="AO77" s="102">
        <v>0</v>
      </c>
      <c r="AP77" s="102">
        <v>0</v>
      </c>
      <c r="AQ77" s="102">
        <v>0</v>
      </c>
      <c r="AR77" s="102">
        <v>0</v>
      </c>
      <c r="AS77" s="102">
        <v>0</v>
      </c>
      <c r="AT77" s="102">
        <v>0</v>
      </c>
      <c r="AU77" s="102">
        <v>0</v>
      </c>
      <c r="AV77" s="102">
        <v>0</v>
      </c>
      <c r="AW77" s="102">
        <v>0</v>
      </c>
      <c r="AX77" s="54"/>
      <c r="AY77" s="54"/>
      <c r="AZ77" s="22"/>
    </row>
    <row r="78" spans="1:52">
      <c r="A78" s="87" t="s">
        <v>127</v>
      </c>
      <c r="B78" s="104">
        <v>-2.75491E-2</v>
      </c>
      <c r="C78" s="105">
        <v>0</v>
      </c>
      <c r="D78" s="105">
        <v>-5.6549014</v>
      </c>
      <c r="E78" s="105">
        <v>0</v>
      </c>
      <c r="F78" s="105">
        <v>0</v>
      </c>
      <c r="G78" s="105">
        <v>0</v>
      </c>
      <c r="H78" s="105">
        <v>0</v>
      </c>
      <c r="I78" s="105">
        <v>3.4100021000000003</v>
      </c>
      <c r="J78" s="105">
        <v>0</v>
      </c>
      <c r="K78" s="105">
        <v>0</v>
      </c>
      <c r="L78" s="105">
        <v>0</v>
      </c>
      <c r="M78" s="105">
        <v>0</v>
      </c>
      <c r="N78" s="105">
        <v>0</v>
      </c>
      <c r="O78" s="105">
        <v>0</v>
      </c>
      <c r="P78" s="105">
        <v>0</v>
      </c>
      <c r="Q78" s="105">
        <v>-11.3742</v>
      </c>
      <c r="R78" s="105">
        <v>0</v>
      </c>
      <c r="S78" s="105">
        <v>0</v>
      </c>
      <c r="T78" s="105">
        <v>0</v>
      </c>
      <c r="U78" s="105">
        <v>0</v>
      </c>
      <c r="V78" s="105">
        <v>8.8400011000000003</v>
      </c>
      <c r="W78" s="105">
        <v>0</v>
      </c>
      <c r="X78" s="105">
        <v>0</v>
      </c>
      <c r="Y78" s="105">
        <v>0</v>
      </c>
      <c r="Z78" s="105">
        <v>0</v>
      </c>
      <c r="AA78" s="105">
        <v>0</v>
      </c>
      <c r="AB78" s="105">
        <v>0</v>
      </c>
      <c r="AC78" s="105">
        <v>0</v>
      </c>
      <c r="AD78" s="105">
        <v>0</v>
      </c>
      <c r="AE78" s="105">
        <v>0</v>
      </c>
      <c r="AF78" s="105">
        <v>0</v>
      </c>
      <c r="AG78" s="105">
        <v>0</v>
      </c>
      <c r="AH78" s="105">
        <v>0</v>
      </c>
      <c r="AI78" s="105">
        <v>0</v>
      </c>
      <c r="AJ78" s="105">
        <v>0</v>
      </c>
      <c r="AK78" s="105">
        <v>0</v>
      </c>
      <c r="AL78" s="105">
        <v>0</v>
      </c>
      <c r="AM78" s="105">
        <v>0</v>
      </c>
      <c r="AN78" s="105">
        <v>0</v>
      </c>
      <c r="AO78" s="105">
        <v>0</v>
      </c>
      <c r="AP78" s="105">
        <v>0</v>
      </c>
      <c r="AQ78" s="105">
        <v>0</v>
      </c>
      <c r="AR78" s="105">
        <v>0</v>
      </c>
      <c r="AS78" s="105">
        <v>0</v>
      </c>
      <c r="AT78" s="105">
        <v>0</v>
      </c>
      <c r="AU78" s="105">
        <v>0</v>
      </c>
      <c r="AV78" s="105">
        <v>0</v>
      </c>
      <c r="AW78" s="105">
        <v>-4.8066474000000001</v>
      </c>
      <c r="AX78" s="54"/>
      <c r="AY78" s="54"/>
      <c r="AZ78" s="22"/>
    </row>
    <row r="79" spans="1:52">
      <c r="A79" s="107" t="s">
        <v>128</v>
      </c>
      <c r="B79" s="101">
        <v>0</v>
      </c>
      <c r="C79" s="102">
        <v>0</v>
      </c>
      <c r="D79" s="102">
        <v>0</v>
      </c>
      <c r="E79" s="102">
        <v>0</v>
      </c>
      <c r="F79" s="102">
        <v>0</v>
      </c>
      <c r="G79" s="102">
        <v>-2.7540016999999999</v>
      </c>
      <c r="H79" s="102">
        <v>-4.7879994000000003</v>
      </c>
      <c r="I79" s="102">
        <v>-0.43700139999999998</v>
      </c>
      <c r="J79" s="102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-1.5229527</v>
      </c>
      <c r="P79" s="102">
        <v>0</v>
      </c>
      <c r="Q79" s="102">
        <v>-3.1148997</v>
      </c>
      <c r="R79" s="102">
        <v>0</v>
      </c>
      <c r="S79" s="102">
        <v>0</v>
      </c>
      <c r="T79" s="102">
        <v>0</v>
      </c>
      <c r="U79" s="102">
        <v>0</v>
      </c>
      <c r="V79" s="102">
        <v>0</v>
      </c>
      <c r="W79" s="102">
        <v>-23.512499400000003</v>
      </c>
      <c r="X79" s="102">
        <v>0</v>
      </c>
      <c r="Y79" s="102">
        <v>0</v>
      </c>
      <c r="Z79" s="102">
        <v>0</v>
      </c>
      <c r="AA79" s="102">
        <v>0</v>
      </c>
      <c r="AB79" s="102">
        <v>0</v>
      </c>
      <c r="AC79" s="102">
        <v>0</v>
      </c>
      <c r="AD79" s="102">
        <v>0</v>
      </c>
      <c r="AE79" s="102">
        <v>0</v>
      </c>
      <c r="AF79" s="102">
        <v>0</v>
      </c>
      <c r="AG79" s="102">
        <v>0</v>
      </c>
      <c r="AH79" s="102">
        <v>0</v>
      </c>
      <c r="AI79" s="102">
        <v>0</v>
      </c>
      <c r="AJ79" s="102">
        <v>0</v>
      </c>
      <c r="AK79" s="102">
        <v>0</v>
      </c>
      <c r="AL79" s="102">
        <v>-4.0320014000000004</v>
      </c>
      <c r="AM79" s="102">
        <v>0</v>
      </c>
      <c r="AN79" s="102">
        <v>0</v>
      </c>
      <c r="AO79" s="102">
        <v>0</v>
      </c>
      <c r="AP79" s="102">
        <v>0</v>
      </c>
      <c r="AQ79" s="102">
        <v>0</v>
      </c>
      <c r="AR79" s="102">
        <v>0</v>
      </c>
      <c r="AS79" s="102">
        <v>0</v>
      </c>
      <c r="AT79" s="102">
        <v>0</v>
      </c>
      <c r="AU79" s="102">
        <v>-13.391999</v>
      </c>
      <c r="AV79" s="102">
        <v>-5.4770001000000006</v>
      </c>
      <c r="AW79" s="102">
        <v>-59.030354700000004</v>
      </c>
      <c r="AX79" s="54"/>
      <c r="AY79" s="54"/>
      <c r="AZ79" s="22"/>
    </row>
    <row r="80" spans="1:52">
      <c r="A80" s="108" t="s">
        <v>129</v>
      </c>
      <c r="B80" s="109">
        <v>0</v>
      </c>
      <c r="C80" s="109">
        <v>0</v>
      </c>
      <c r="D80" s="109">
        <v>0</v>
      </c>
      <c r="E80" s="109">
        <v>0</v>
      </c>
      <c r="F80" s="109">
        <v>0</v>
      </c>
      <c r="G80" s="109">
        <v>-2.3733000999999998</v>
      </c>
      <c r="H80" s="109">
        <v>-0.87299800000000005</v>
      </c>
      <c r="I80" s="109">
        <v>-0.43700139999999998</v>
      </c>
      <c r="J80" s="109">
        <v>0</v>
      </c>
      <c r="K80" s="109">
        <v>0</v>
      </c>
      <c r="L80" s="109">
        <v>0</v>
      </c>
      <c r="M80" s="109">
        <v>0</v>
      </c>
      <c r="N80" s="109">
        <v>0</v>
      </c>
      <c r="O80" s="109">
        <v>-1.5229527</v>
      </c>
      <c r="P80" s="109">
        <v>0</v>
      </c>
      <c r="Q80" s="109">
        <v>-3.1148997</v>
      </c>
      <c r="R80" s="109">
        <v>0</v>
      </c>
      <c r="S80" s="109">
        <v>0</v>
      </c>
      <c r="T80" s="109">
        <v>0</v>
      </c>
      <c r="U80" s="109">
        <v>0</v>
      </c>
      <c r="V80" s="109">
        <v>0</v>
      </c>
      <c r="W80" s="109">
        <v>-23.512499400000003</v>
      </c>
      <c r="X80" s="109">
        <v>0</v>
      </c>
      <c r="Y80" s="109">
        <v>0</v>
      </c>
      <c r="Z80" s="109">
        <v>0</v>
      </c>
      <c r="AA80" s="109">
        <v>0</v>
      </c>
      <c r="AB80" s="109">
        <v>0</v>
      </c>
      <c r="AC80" s="109">
        <v>0</v>
      </c>
      <c r="AD80" s="109">
        <v>0</v>
      </c>
      <c r="AE80" s="109">
        <v>0</v>
      </c>
      <c r="AF80" s="109">
        <v>0</v>
      </c>
      <c r="AG80" s="109">
        <v>0</v>
      </c>
      <c r="AH80" s="109">
        <v>0</v>
      </c>
      <c r="AI80" s="109">
        <v>0</v>
      </c>
      <c r="AJ80" s="109">
        <v>0</v>
      </c>
      <c r="AK80" s="109">
        <v>0</v>
      </c>
      <c r="AL80" s="109">
        <v>-4.0320014000000004</v>
      </c>
      <c r="AM80" s="109">
        <v>0</v>
      </c>
      <c r="AN80" s="109">
        <v>0</v>
      </c>
      <c r="AO80" s="109">
        <v>0</v>
      </c>
      <c r="AP80" s="109">
        <v>0</v>
      </c>
      <c r="AQ80" s="109">
        <v>0</v>
      </c>
      <c r="AR80" s="109">
        <v>0</v>
      </c>
      <c r="AS80" s="109">
        <v>0</v>
      </c>
      <c r="AT80" s="109">
        <v>0</v>
      </c>
      <c r="AU80" s="109">
        <v>-4.4496012</v>
      </c>
      <c r="AV80" s="109">
        <v>-5.4770001000000006</v>
      </c>
      <c r="AW80" s="110">
        <v>-45.792254100000001</v>
      </c>
      <c r="AX80" s="111"/>
      <c r="AY80" s="111"/>
      <c r="AZ80" s="22"/>
    </row>
    <row r="81" spans="1:52">
      <c r="A81" s="79" t="s">
        <v>130</v>
      </c>
      <c r="B81" s="101">
        <v>0</v>
      </c>
      <c r="C81" s="102">
        <v>0</v>
      </c>
      <c r="D81" s="102">
        <v>0</v>
      </c>
      <c r="E81" s="102">
        <v>0</v>
      </c>
      <c r="F81" s="102">
        <v>0</v>
      </c>
      <c r="G81" s="102">
        <v>0</v>
      </c>
      <c r="H81" s="102">
        <v>0</v>
      </c>
      <c r="I81" s="102">
        <v>0</v>
      </c>
      <c r="J81" s="102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>
        <v>0</v>
      </c>
      <c r="R81" s="102">
        <v>0</v>
      </c>
      <c r="S81" s="102">
        <v>0</v>
      </c>
      <c r="T81" s="102">
        <v>0</v>
      </c>
      <c r="U81" s="102">
        <v>0</v>
      </c>
      <c r="V81" s="102">
        <v>0</v>
      </c>
      <c r="W81" s="102">
        <v>0</v>
      </c>
      <c r="X81" s="102">
        <v>0</v>
      </c>
      <c r="Y81" s="102">
        <v>0</v>
      </c>
      <c r="Z81" s="102">
        <v>0</v>
      </c>
      <c r="AA81" s="102">
        <v>0</v>
      </c>
      <c r="AB81" s="102">
        <v>0</v>
      </c>
      <c r="AC81" s="102">
        <v>0</v>
      </c>
      <c r="AD81" s="102">
        <v>0</v>
      </c>
      <c r="AE81" s="102">
        <v>0</v>
      </c>
      <c r="AF81" s="102">
        <v>0</v>
      </c>
      <c r="AG81" s="102">
        <v>0</v>
      </c>
      <c r="AH81" s="102">
        <v>0</v>
      </c>
      <c r="AI81" s="102">
        <v>0</v>
      </c>
      <c r="AJ81" s="102">
        <v>0</v>
      </c>
      <c r="AK81" s="102">
        <v>0</v>
      </c>
      <c r="AL81" s="102">
        <v>0</v>
      </c>
      <c r="AM81" s="102">
        <v>0</v>
      </c>
      <c r="AN81" s="102">
        <v>0</v>
      </c>
      <c r="AO81" s="102">
        <v>0</v>
      </c>
      <c r="AP81" s="102">
        <v>0</v>
      </c>
      <c r="AQ81" s="102">
        <v>0</v>
      </c>
      <c r="AR81" s="102">
        <v>0</v>
      </c>
      <c r="AS81" s="102">
        <v>0</v>
      </c>
      <c r="AT81" s="102">
        <v>0</v>
      </c>
      <c r="AU81" s="102">
        <v>0</v>
      </c>
      <c r="AV81" s="102">
        <v>0</v>
      </c>
      <c r="AW81" s="102">
        <v>0</v>
      </c>
      <c r="AX81" s="54"/>
      <c r="AY81" s="54"/>
      <c r="AZ81" s="22"/>
    </row>
    <row r="82" spans="1:52">
      <c r="A82" s="79" t="s">
        <v>131</v>
      </c>
      <c r="B82" s="101">
        <v>0</v>
      </c>
      <c r="C82" s="102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>
        <v>0</v>
      </c>
      <c r="R82" s="102">
        <v>0</v>
      </c>
      <c r="S82" s="102">
        <v>0</v>
      </c>
      <c r="T82" s="102">
        <v>0</v>
      </c>
      <c r="U82" s="102">
        <v>0</v>
      </c>
      <c r="V82" s="102">
        <v>0</v>
      </c>
      <c r="W82" s="102">
        <v>0</v>
      </c>
      <c r="X82" s="102">
        <v>0</v>
      </c>
      <c r="Y82" s="102">
        <v>0</v>
      </c>
      <c r="Z82" s="102">
        <v>0</v>
      </c>
      <c r="AA82" s="102">
        <v>0</v>
      </c>
      <c r="AB82" s="102">
        <v>0</v>
      </c>
      <c r="AC82" s="102">
        <v>0</v>
      </c>
      <c r="AD82" s="102">
        <v>0</v>
      </c>
      <c r="AE82" s="102">
        <v>0</v>
      </c>
      <c r="AF82" s="102">
        <v>0</v>
      </c>
      <c r="AG82" s="102">
        <v>0</v>
      </c>
      <c r="AH82" s="102">
        <v>0</v>
      </c>
      <c r="AI82" s="102">
        <v>0</v>
      </c>
      <c r="AJ82" s="102">
        <v>0</v>
      </c>
      <c r="AK82" s="102">
        <v>0</v>
      </c>
      <c r="AL82" s="102">
        <v>0</v>
      </c>
      <c r="AM82" s="102">
        <v>0</v>
      </c>
      <c r="AN82" s="102">
        <v>0</v>
      </c>
      <c r="AO82" s="102">
        <v>0</v>
      </c>
      <c r="AP82" s="102">
        <v>0</v>
      </c>
      <c r="AQ82" s="102">
        <v>0</v>
      </c>
      <c r="AR82" s="102">
        <v>0</v>
      </c>
      <c r="AS82" s="102">
        <v>0</v>
      </c>
      <c r="AT82" s="102">
        <v>0</v>
      </c>
      <c r="AU82" s="102">
        <v>0</v>
      </c>
      <c r="AV82" s="102">
        <v>0</v>
      </c>
      <c r="AW82" s="102">
        <v>0</v>
      </c>
      <c r="AX82" s="54"/>
      <c r="AY82" s="54"/>
      <c r="AZ82" s="22"/>
    </row>
    <row r="83" spans="1:52">
      <c r="A83" s="79" t="s">
        <v>132</v>
      </c>
      <c r="B83" s="101">
        <v>0</v>
      </c>
      <c r="C83" s="102">
        <v>0</v>
      </c>
      <c r="D83" s="102">
        <v>0</v>
      </c>
      <c r="E83" s="102">
        <v>0</v>
      </c>
      <c r="F83" s="102">
        <v>0</v>
      </c>
      <c r="G83" s="102">
        <v>0</v>
      </c>
      <c r="H83" s="102">
        <v>0</v>
      </c>
      <c r="I83" s="102">
        <v>0</v>
      </c>
      <c r="J83" s="102">
        <v>0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0</v>
      </c>
      <c r="R83" s="102">
        <v>0</v>
      </c>
      <c r="S83" s="102">
        <v>0</v>
      </c>
      <c r="T83" s="102">
        <v>0</v>
      </c>
      <c r="U83" s="102">
        <v>0</v>
      </c>
      <c r="V83" s="102">
        <v>0</v>
      </c>
      <c r="W83" s="102">
        <v>0</v>
      </c>
      <c r="X83" s="102">
        <v>0</v>
      </c>
      <c r="Y83" s="102">
        <v>0</v>
      </c>
      <c r="Z83" s="102">
        <v>0</v>
      </c>
      <c r="AA83" s="102">
        <v>0</v>
      </c>
      <c r="AB83" s="102">
        <v>0</v>
      </c>
      <c r="AC83" s="102">
        <v>0</v>
      </c>
      <c r="AD83" s="102">
        <v>0</v>
      </c>
      <c r="AE83" s="102">
        <v>0</v>
      </c>
      <c r="AF83" s="102">
        <v>0</v>
      </c>
      <c r="AG83" s="102">
        <v>0</v>
      </c>
      <c r="AH83" s="102">
        <v>0</v>
      </c>
      <c r="AI83" s="102">
        <v>0</v>
      </c>
      <c r="AJ83" s="102">
        <v>0</v>
      </c>
      <c r="AK83" s="102">
        <v>0</v>
      </c>
      <c r="AL83" s="102">
        <v>0</v>
      </c>
      <c r="AM83" s="102">
        <v>0</v>
      </c>
      <c r="AN83" s="102">
        <v>0</v>
      </c>
      <c r="AO83" s="102">
        <v>0</v>
      </c>
      <c r="AP83" s="102">
        <v>0</v>
      </c>
      <c r="AQ83" s="102">
        <v>0</v>
      </c>
      <c r="AR83" s="102">
        <v>0</v>
      </c>
      <c r="AS83" s="102">
        <v>0</v>
      </c>
      <c r="AT83" s="102">
        <v>0</v>
      </c>
      <c r="AU83" s="102">
        <v>0</v>
      </c>
      <c r="AV83" s="102">
        <v>0</v>
      </c>
      <c r="AW83" s="102">
        <v>0</v>
      </c>
      <c r="AX83" s="54"/>
      <c r="AY83" s="54"/>
      <c r="AZ83" s="22"/>
    </row>
    <row r="84" spans="1:52">
      <c r="A84" s="79" t="s">
        <v>133</v>
      </c>
      <c r="B84" s="101">
        <v>0</v>
      </c>
      <c r="C84" s="102">
        <v>0</v>
      </c>
      <c r="D84" s="102">
        <v>0</v>
      </c>
      <c r="E84" s="102">
        <v>0</v>
      </c>
      <c r="F84" s="102">
        <v>0</v>
      </c>
      <c r="G84" s="102">
        <v>-2.3733000999999998</v>
      </c>
      <c r="H84" s="102">
        <v>-0.87299800000000005</v>
      </c>
      <c r="I84" s="102">
        <v>0</v>
      </c>
      <c r="J84" s="102">
        <v>0</v>
      </c>
      <c r="K84" s="102">
        <v>0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0</v>
      </c>
      <c r="R84" s="102">
        <v>0</v>
      </c>
      <c r="S84" s="102">
        <v>0</v>
      </c>
      <c r="T84" s="102">
        <v>0</v>
      </c>
      <c r="U84" s="102">
        <v>0</v>
      </c>
      <c r="V84" s="102">
        <v>0</v>
      </c>
      <c r="W84" s="102">
        <v>0</v>
      </c>
      <c r="X84" s="102">
        <v>0</v>
      </c>
      <c r="Y84" s="102">
        <v>0</v>
      </c>
      <c r="Z84" s="102">
        <v>0</v>
      </c>
      <c r="AA84" s="102">
        <v>0</v>
      </c>
      <c r="AB84" s="102">
        <v>0</v>
      </c>
      <c r="AC84" s="102">
        <v>0</v>
      </c>
      <c r="AD84" s="102">
        <v>0</v>
      </c>
      <c r="AE84" s="102">
        <v>0</v>
      </c>
      <c r="AF84" s="102">
        <v>0</v>
      </c>
      <c r="AG84" s="102">
        <v>0</v>
      </c>
      <c r="AH84" s="102">
        <v>0</v>
      </c>
      <c r="AI84" s="102">
        <v>0</v>
      </c>
      <c r="AJ84" s="102">
        <v>0</v>
      </c>
      <c r="AK84" s="102">
        <v>0</v>
      </c>
      <c r="AL84" s="102">
        <v>0</v>
      </c>
      <c r="AM84" s="102">
        <v>0</v>
      </c>
      <c r="AN84" s="102">
        <v>0</v>
      </c>
      <c r="AO84" s="102">
        <v>0</v>
      </c>
      <c r="AP84" s="102">
        <v>0</v>
      </c>
      <c r="AQ84" s="102">
        <v>0</v>
      </c>
      <c r="AR84" s="102">
        <v>0</v>
      </c>
      <c r="AS84" s="102">
        <v>0</v>
      </c>
      <c r="AT84" s="102">
        <v>0</v>
      </c>
      <c r="AU84" s="102">
        <v>0</v>
      </c>
      <c r="AV84" s="102">
        <v>0</v>
      </c>
      <c r="AW84" s="102">
        <v>-3.2462982</v>
      </c>
      <c r="AX84" s="54"/>
      <c r="AY84" s="54"/>
      <c r="AZ84" s="22"/>
    </row>
    <row r="85" spans="1:52">
      <c r="A85" s="79" t="s">
        <v>134</v>
      </c>
      <c r="B85" s="101">
        <v>0</v>
      </c>
      <c r="C85" s="102">
        <v>0</v>
      </c>
      <c r="D85" s="102">
        <v>0</v>
      </c>
      <c r="E85" s="102">
        <v>0</v>
      </c>
      <c r="F85" s="102">
        <v>0</v>
      </c>
      <c r="G85" s="102">
        <v>0</v>
      </c>
      <c r="H85" s="102">
        <v>0</v>
      </c>
      <c r="I85" s="102">
        <v>0</v>
      </c>
      <c r="J85" s="102">
        <v>0</v>
      </c>
      <c r="K85" s="102">
        <v>0</v>
      </c>
      <c r="L85" s="102">
        <v>0</v>
      </c>
      <c r="M85" s="102">
        <v>0</v>
      </c>
      <c r="N85" s="102">
        <v>0</v>
      </c>
      <c r="O85" s="102">
        <v>0</v>
      </c>
      <c r="P85" s="102">
        <v>0</v>
      </c>
      <c r="Q85" s="102">
        <v>0</v>
      </c>
      <c r="R85" s="102">
        <v>0</v>
      </c>
      <c r="S85" s="102">
        <v>0</v>
      </c>
      <c r="T85" s="102">
        <v>0</v>
      </c>
      <c r="U85" s="102">
        <v>0</v>
      </c>
      <c r="V85" s="102">
        <v>0</v>
      </c>
      <c r="W85" s="102">
        <v>0</v>
      </c>
      <c r="X85" s="102">
        <v>0</v>
      </c>
      <c r="Y85" s="102">
        <v>0</v>
      </c>
      <c r="Z85" s="102">
        <v>0</v>
      </c>
      <c r="AA85" s="102">
        <v>0</v>
      </c>
      <c r="AB85" s="102">
        <v>0</v>
      </c>
      <c r="AC85" s="102">
        <v>0</v>
      </c>
      <c r="AD85" s="102">
        <v>0</v>
      </c>
      <c r="AE85" s="102">
        <v>0</v>
      </c>
      <c r="AF85" s="102">
        <v>0</v>
      </c>
      <c r="AG85" s="102">
        <v>0</v>
      </c>
      <c r="AH85" s="102">
        <v>0</v>
      </c>
      <c r="AI85" s="102">
        <v>0</v>
      </c>
      <c r="AJ85" s="102">
        <v>0</v>
      </c>
      <c r="AK85" s="102">
        <v>0</v>
      </c>
      <c r="AL85" s="102">
        <v>0</v>
      </c>
      <c r="AM85" s="102">
        <v>0</v>
      </c>
      <c r="AN85" s="102">
        <v>0</v>
      </c>
      <c r="AO85" s="102">
        <v>0</v>
      </c>
      <c r="AP85" s="102">
        <v>0</v>
      </c>
      <c r="AQ85" s="102">
        <v>0</v>
      </c>
      <c r="AR85" s="102">
        <v>0</v>
      </c>
      <c r="AS85" s="102">
        <v>0</v>
      </c>
      <c r="AT85" s="102">
        <v>0</v>
      </c>
      <c r="AU85" s="102">
        <v>0</v>
      </c>
      <c r="AV85" s="102">
        <v>0</v>
      </c>
      <c r="AW85" s="102">
        <v>0</v>
      </c>
      <c r="AX85" s="54"/>
      <c r="AY85" s="54"/>
      <c r="AZ85" s="22"/>
    </row>
    <row r="86" spans="1:52">
      <c r="A86" s="79" t="s">
        <v>135</v>
      </c>
      <c r="B86" s="101">
        <v>0</v>
      </c>
      <c r="C86" s="102">
        <v>0</v>
      </c>
      <c r="D86" s="102">
        <v>0</v>
      </c>
      <c r="E86" s="102">
        <v>0</v>
      </c>
      <c r="F86" s="102">
        <v>0</v>
      </c>
      <c r="G86" s="102">
        <v>0</v>
      </c>
      <c r="H86" s="102">
        <v>0</v>
      </c>
      <c r="I86" s="102">
        <v>0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0</v>
      </c>
      <c r="R86" s="102">
        <v>0</v>
      </c>
      <c r="S86" s="102">
        <v>0</v>
      </c>
      <c r="T86" s="102">
        <v>0</v>
      </c>
      <c r="U86" s="102">
        <v>0</v>
      </c>
      <c r="V86" s="102">
        <v>0</v>
      </c>
      <c r="W86" s="102">
        <v>0</v>
      </c>
      <c r="X86" s="102">
        <v>0</v>
      </c>
      <c r="Y86" s="102">
        <v>0</v>
      </c>
      <c r="Z86" s="102">
        <v>0</v>
      </c>
      <c r="AA86" s="102">
        <v>0</v>
      </c>
      <c r="AB86" s="102">
        <v>0</v>
      </c>
      <c r="AC86" s="102">
        <v>0</v>
      </c>
      <c r="AD86" s="102">
        <v>0</v>
      </c>
      <c r="AE86" s="102">
        <v>0</v>
      </c>
      <c r="AF86" s="102">
        <v>0</v>
      </c>
      <c r="AG86" s="102">
        <v>0</v>
      </c>
      <c r="AH86" s="102">
        <v>0</v>
      </c>
      <c r="AI86" s="102">
        <v>0</v>
      </c>
      <c r="AJ86" s="102">
        <v>0</v>
      </c>
      <c r="AK86" s="102">
        <v>0</v>
      </c>
      <c r="AL86" s="102">
        <v>0</v>
      </c>
      <c r="AM86" s="102">
        <v>0</v>
      </c>
      <c r="AN86" s="102">
        <v>0</v>
      </c>
      <c r="AO86" s="102">
        <v>0</v>
      </c>
      <c r="AP86" s="102">
        <v>0</v>
      </c>
      <c r="AQ86" s="102">
        <v>0</v>
      </c>
      <c r="AR86" s="102">
        <v>0</v>
      </c>
      <c r="AS86" s="102">
        <v>0</v>
      </c>
      <c r="AT86" s="102">
        <v>0</v>
      </c>
      <c r="AU86" s="102">
        <v>0</v>
      </c>
      <c r="AV86" s="102">
        <v>0</v>
      </c>
      <c r="AW86" s="102">
        <v>0</v>
      </c>
      <c r="AX86" s="54"/>
      <c r="AY86" s="54"/>
      <c r="AZ86" s="22"/>
    </row>
    <row r="87" spans="1:52">
      <c r="A87" s="79" t="s">
        <v>136</v>
      </c>
      <c r="B87" s="101">
        <v>0</v>
      </c>
      <c r="C87" s="102">
        <v>0</v>
      </c>
      <c r="D87" s="102">
        <v>0</v>
      </c>
      <c r="E87" s="102">
        <v>0</v>
      </c>
      <c r="F87" s="102">
        <v>0</v>
      </c>
      <c r="G87" s="102">
        <v>0</v>
      </c>
      <c r="H87" s="102">
        <v>0</v>
      </c>
      <c r="I87" s="102">
        <v>0</v>
      </c>
      <c r="J87" s="102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-1.5229527</v>
      </c>
      <c r="P87" s="102">
        <v>0</v>
      </c>
      <c r="Q87" s="102">
        <v>-3.1148997</v>
      </c>
      <c r="R87" s="102">
        <v>0</v>
      </c>
      <c r="S87" s="102">
        <v>0</v>
      </c>
      <c r="T87" s="102">
        <v>0</v>
      </c>
      <c r="U87" s="102">
        <v>0</v>
      </c>
      <c r="V87" s="102">
        <v>0</v>
      </c>
      <c r="W87" s="102">
        <v>-23.512499400000003</v>
      </c>
      <c r="X87" s="102">
        <v>0</v>
      </c>
      <c r="Y87" s="102">
        <v>0</v>
      </c>
      <c r="Z87" s="102">
        <v>0</v>
      </c>
      <c r="AA87" s="102">
        <v>0</v>
      </c>
      <c r="AB87" s="102">
        <v>0</v>
      </c>
      <c r="AC87" s="102">
        <v>0</v>
      </c>
      <c r="AD87" s="102">
        <v>0</v>
      </c>
      <c r="AE87" s="102">
        <v>0</v>
      </c>
      <c r="AF87" s="102">
        <v>0</v>
      </c>
      <c r="AG87" s="102">
        <v>0</v>
      </c>
      <c r="AH87" s="102">
        <v>0</v>
      </c>
      <c r="AI87" s="102">
        <v>0</v>
      </c>
      <c r="AJ87" s="102">
        <v>0</v>
      </c>
      <c r="AK87" s="102">
        <v>0</v>
      </c>
      <c r="AL87" s="102">
        <v>-4.0320014000000004</v>
      </c>
      <c r="AM87" s="102">
        <v>0</v>
      </c>
      <c r="AN87" s="102">
        <v>0</v>
      </c>
      <c r="AO87" s="102">
        <v>0</v>
      </c>
      <c r="AP87" s="102">
        <v>0</v>
      </c>
      <c r="AQ87" s="102">
        <v>0</v>
      </c>
      <c r="AR87" s="102">
        <v>0</v>
      </c>
      <c r="AS87" s="102">
        <v>0</v>
      </c>
      <c r="AT87" s="102">
        <v>0</v>
      </c>
      <c r="AU87" s="102">
        <v>-4.4496012</v>
      </c>
      <c r="AV87" s="102">
        <v>-5.4770001000000006</v>
      </c>
      <c r="AW87" s="102">
        <v>-42.108954500000003</v>
      </c>
      <c r="AX87" s="54"/>
      <c r="AY87" s="54"/>
      <c r="AZ87" s="22"/>
    </row>
    <row r="88" spans="1:52">
      <c r="A88" s="79" t="s">
        <v>137</v>
      </c>
      <c r="B88" s="101">
        <v>0</v>
      </c>
      <c r="C88" s="102">
        <v>0</v>
      </c>
      <c r="D88" s="102">
        <v>0</v>
      </c>
      <c r="E88" s="102">
        <v>0</v>
      </c>
      <c r="F88" s="102">
        <v>0</v>
      </c>
      <c r="G88" s="102">
        <v>0</v>
      </c>
      <c r="H88" s="102">
        <v>0</v>
      </c>
      <c r="I88" s="102">
        <v>0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0</v>
      </c>
      <c r="R88" s="102">
        <v>0</v>
      </c>
      <c r="S88" s="102">
        <v>0</v>
      </c>
      <c r="T88" s="102">
        <v>0</v>
      </c>
      <c r="U88" s="102">
        <v>0</v>
      </c>
      <c r="V88" s="102">
        <v>0</v>
      </c>
      <c r="W88" s="102">
        <v>0</v>
      </c>
      <c r="X88" s="102">
        <v>0</v>
      </c>
      <c r="Y88" s="102">
        <v>0</v>
      </c>
      <c r="Z88" s="102">
        <v>0</v>
      </c>
      <c r="AA88" s="102">
        <v>0</v>
      </c>
      <c r="AB88" s="102">
        <v>0</v>
      </c>
      <c r="AC88" s="102">
        <v>0</v>
      </c>
      <c r="AD88" s="102">
        <v>0</v>
      </c>
      <c r="AE88" s="102">
        <v>0</v>
      </c>
      <c r="AF88" s="102">
        <v>0</v>
      </c>
      <c r="AG88" s="102">
        <v>0</v>
      </c>
      <c r="AH88" s="102">
        <v>0</v>
      </c>
      <c r="AI88" s="102">
        <v>0</v>
      </c>
      <c r="AJ88" s="102">
        <v>0</v>
      </c>
      <c r="AK88" s="102">
        <v>0</v>
      </c>
      <c r="AL88" s="102">
        <v>0</v>
      </c>
      <c r="AM88" s="102">
        <v>0</v>
      </c>
      <c r="AN88" s="102">
        <v>0</v>
      </c>
      <c r="AO88" s="102">
        <v>0</v>
      </c>
      <c r="AP88" s="102">
        <v>0</v>
      </c>
      <c r="AQ88" s="102">
        <v>0</v>
      </c>
      <c r="AR88" s="102">
        <v>0</v>
      </c>
      <c r="AS88" s="102">
        <v>0</v>
      </c>
      <c r="AT88" s="102">
        <v>0</v>
      </c>
      <c r="AU88" s="102">
        <v>-8.9424019000000001</v>
      </c>
      <c r="AV88" s="102">
        <v>0</v>
      </c>
      <c r="AW88" s="102">
        <v>-8.9424019000000001</v>
      </c>
      <c r="AX88" s="54"/>
      <c r="AY88" s="54"/>
      <c r="AZ88" s="22"/>
    </row>
    <row r="89" spans="1:52">
      <c r="A89" s="79" t="s">
        <v>138</v>
      </c>
      <c r="B89" s="101">
        <v>0</v>
      </c>
      <c r="C89" s="102">
        <v>0</v>
      </c>
      <c r="D89" s="102">
        <v>0</v>
      </c>
      <c r="E89" s="102">
        <v>0</v>
      </c>
      <c r="F89" s="102">
        <v>0</v>
      </c>
      <c r="G89" s="102">
        <v>0</v>
      </c>
      <c r="H89" s="102">
        <v>0</v>
      </c>
      <c r="I89" s="102">
        <v>0</v>
      </c>
      <c r="J89" s="102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>
        <v>0</v>
      </c>
      <c r="R89" s="102">
        <v>0</v>
      </c>
      <c r="S89" s="102">
        <v>0</v>
      </c>
      <c r="T89" s="102">
        <v>0</v>
      </c>
      <c r="U89" s="102">
        <v>0</v>
      </c>
      <c r="V89" s="102">
        <v>0</v>
      </c>
      <c r="W89" s="102">
        <v>0</v>
      </c>
      <c r="X89" s="102">
        <v>0</v>
      </c>
      <c r="Y89" s="102">
        <v>0</v>
      </c>
      <c r="Z89" s="102">
        <v>0</v>
      </c>
      <c r="AA89" s="102">
        <v>0</v>
      </c>
      <c r="AB89" s="102">
        <v>0</v>
      </c>
      <c r="AC89" s="102">
        <v>0</v>
      </c>
      <c r="AD89" s="102">
        <v>0</v>
      </c>
      <c r="AE89" s="102">
        <v>0</v>
      </c>
      <c r="AF89" s="102">
        <v>0</v>
      </c>
      <c r="AG89" s="102">
        <v>0</v>
      </c>
      <c r="AH89" s="102">
        <v>0</v>
      </c>
      <c r="AI89" s="102">
        <v>0</v>
      </c>
      <c r="AJ89" s="102">
        <v>0</v>
      </c>
      <c r="AK89" s="102">
        <v>0</v>
      </c>
      <c r="AL89" s="102">
        <v>0</v>
      </c>
      <c r="AM89" s="102">
        <v>0</v>
      </c>
      <c r="AN89" s="102">
        <v>0</v>
      </c>
      <c r="AO89" s="102">
        <v>0</v>
      </c>
      <c r="AP89" s="102">
        <v>0</v>
      </c>
      <c r="AQ89" s="102">
        <v>0</v>
      </c>
      <c r="AR89" s="102">
        <v>0</v>
      </c>
      <c r="AS89" s="102">
        <v>0</v>
      </c>
      <c r="AT89" s="102">
        <v>0</v>
      </c>
      <c r="AU89" s="102">
        <v>0</v>
      </c>
      <c r="AV89" s="102">
        <v>0</v>
      </c>
      <c r="AW89" s="102">
        <v>0</v>
      </c>
      <c r="AX89" s="54"/>
      <c r="AY89" s="54"/>
      <c r="AZ89" s="22"/>
    </row>
    <row r="90" spans="1:52">
      <c r="A90" s="79" t="s">
        <v>139</v>
      </c>
      <c r="B90" s="101">
        <v>0</v>
      </c>
      <c r="C90" s="102">
        <v>0</v>
      </c>
      <c r="D90" s="102">
        <v>0</v>
      </c>
      <c r="E90" s="102">
        <v>0</v>
      </c>
      <c r="F90" s="102">
        <v>0</v>
      </c>
      <c r="G90" s="102">
        <v>0</v>
      </c>
      <c r="H90" s="102">
        <v>0</v>
      </c>
      <c r="I90" s="102">
        <v>0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0</v>
      </c>
      <c r="R90" s="102">
        <v>0</v>
      </c>
      <c r="S90" s="102">
        <v>0</v>
      </c>
      <c r="T90" s="102">
        <v>0</v>
      </c>
      <c r="U90" s="102">
        <v>0</v>
      </c>
      <c r="V90" s="102">
        <v>0</v>
      </c>
      <c r="W90" s="102">
        <v>0</v>
      </c>
      <c r="X90" s="102">
        <v>0</v>
      </c>
      <c r="Y90" s="102">
        <v>0</v>
      </c>
      <c r="Z90" s="102">
        <v>0</v>
      </c>
      <c r="AA90" s="102">
        <v>0</v>
      </c>
      <c r="AB90" s="102">
        <v>0</v>
      </c>
      <c r="AC90" s="102">
        <v>0</v>
      </c>
      <c r="AD90" s="102">
        <v>0</v>
      </c>
      <c r="AE90" s="102">
        <v>0</v>
      </c>
      <c r="AF90" s="102">
        <v>0</v>
      </c>
      <c r="AG90" s="102">
        <v>0</v>
      </c>
      <c r="AH90" s="102">
        <v>0</v>
      </c>
      <c r="AI90" s="102">
        <v>0</v>
      </c>
      <c r="AJ90" s="102">
        <v>0</v>
      </c>
      <c r="AK90" s="102">
        <v>0</v>
      </c>
      <c r="AL90" s="102">
        <v>0</v>
      </c>
      <c r="AM90" s="102">
        <v>0</v>
      </c>
      <c r="AN90" s="102">
        <v>0</v>
      </c>
      <c r="AO90" s="102">
        <v>0</v>
      </c>
      <c r="AP90" s="102">
        <v>0</v>
      </c>
      <c r="AQ90" s="102">
        <v>0</v>
      </c>
      <c r="AR90" s="102">
        <v>0</v>
      </c>
      <c r="AS90" s="102">
        <v>0</v>
      </c>
      <c r="AT90" s="102">
        <v>0</v>
      </c>
      <c r="AU90" s="102">
        <v>0</v>
      </c>
      <c r="AV90" s="102">
        <v>0</v>
      </c>
      <c r="AW90" s="102">
        <v>0</v>
      </c>
      <c r="AX90" s="54"/>
      <c r="AY90" s="54"/>
      <c r="AZ90" s="22"/>
    </row>
    <row r="91" spans="1:52">
      <c r="A91" s="87" t="s">
        <v>140</v>
      </c>
      <c r="B91" s="104">
        <v>0</v>
      </c>
      <c r="C91" s="105">
        <v>0</v>
      </c>
      <c r="D91" s="105">
        <v>0</v>
      </c>
      <c r="E91" s="105">
        <v>0</v>
      </c>
      <c r="F91" s="105">
        <v>0</v>
      </c>
      <c r="G91" s="105">
        <v>0</v>
      </c>
      <c r="H91" s="105">
        <v>0</v>
      </c>
      <c r="I91" s="105">
        <v>-0.43700139999999998</v>
      </c>
      <c r="J91" s="105">
        <v>0</v>
      </c>
      <c r="K91" s="105">
        <v>0</v>
      </c>
      <c r="L91" s="105">
        <v>0</v>
      </c>
      <c r="M91" s="105">
        <v>0</v>
      </c>
      <c r="N91" s="105">
        <v>0</v>
      </c>
      <c r="O91" s="105">
        <v>0</v>
      </c>
      <c r="P91" s="105">
        <v>0</v>
      </c>
      <c r="Q91" s="105">
        <v>0</v>
      </c>
      <c r="R91" s="105">
        <v>0</v>
      </c>
      <c r="S91" s="105">
        <v>0</v>
      </c>
      <c r="T91" s="105">
        <v>0</v>
      </c>
      <c r="U91" s="105">
        <v>0</v>
      </c>
      <c r="V91" s="105">
        <v>0</v>
      </c>
      <c r="W91" s="105">
        <v>0</v>
      </c>
      <c r="X91" s="105">
        <v>0</v>
      </c>
      <c r="Y91" s="105">
        <v>0</v>
      </c>
      <c r="Z91" s="105">
        <v>0</v>
      </c>
      <c r="AA91" s="105">
        <v>0</v>
      </c>
      <c r="AB91" s="105">
        <v>0</v>
      </c>
      <c r="AC91" s="105">
        <v>0</v>
      </c>
      <c r="AD91" s="105">
        <v>0</v>
      </c>
      <c r="AE91" s="105">
        <v>0</v>
      </c>
      <c r="AF91" s="105">
        <v>0</v>
      </c>
      <c r="AG91" s="105">
        <v>0</v>
      </c>
      <c r="AH91" s="105">
        <v>0</v>
      </c>
      <c r="AI91" s="105">
        <v>0</v>
      </c>
      <c r="AJ91" s="105">
        <v>0</v>
      </c>
      <c r="AK91" s="105">
        <v>0</v>
      </c>
      <c r="AL91" s="105">
        <v>0</v>
      </c>
      <c r="AM91" s="105">
        <v>0</v>
      </c>
      <c r="AN91" s="105">
        <v>0</v>
      </c>
      <c r="AO91" s="105">
        <v>0</v>
      </c>
      <c r="AP91" s="105">
        <v>0</v>
      </c>
      <c r="AQ91" s="105">
        <v>0</v>
      </c>
      <c r="AR91" s="105">
        <v>0</v>
      </c>
      <c r="AS91" s="105">
        <v>0</v>
      </c>
      <c r="AT91" s="105">
        <v>0</v>
      </c>
      <c r="AU91" s="105">
        <v>0</v>
      </c>
      <c r="AV91" s="105">
        <v>0</v>
      </c>
      <c r="AW91" s="105">
        <v>-0.43700139999999998</v>
      </c>
      <c r="AX91" s="54"/>
      <c r="AY91" s="54"/>
      <c r="AZ91" s="22"/>
    </row>
    <row r="92" spans="1:52">
      <c r="A92" s="106" t="s">
        <v>141</v>
      </c>
      <c r="B92" s="104">
        <v>0</v>
      </c>
      <c r="C92" s="105">
        <v>0</v>
      </c>
      <c r="D92" s="105">
        <v>0</v>
      </c>
      <c r="E92" s="105">
        <v>0</v>
      </c>
      <c r="F92" s="105">
        <v>0</v>
      </c>
      <c r="G92" s="105">
        <v>-1.2177014999999998</v>
      </c>
      <c r="H92" s="105">
        <v>-0.61700030000000006</v>
      </c>
      <c r="I92" s="105">
        <v>-0.2129993</v>
      </c>
      <c r="J92" s="105">
        <v>0</v>
      </c>
      <c r="K92" s="105">
        <v>0</v>
      </c>
      <c r="L92" s="105">
        <v>0</v>
      </c>
      <c r="M92" s="105">
        <v>0</v>
      </c>
      <c r="N92" s="105">
        <v>0</v>
      </c>
      <c r="O92" s="105">
        <v>0</v>
      </c>
      <c r="P92" s="105">
        <v>0</v>
      </c>
      <c r="Q92" s="105">
        <v>-0.29609890000000005</v>
      </c>
      <c r="R92" s="105">
        <v>0</v>
      </c>
      <c r="S92" s="105">
        <v>0</v>
      </c>
      <c r="T92" s="105">
        <v>0</v>
      </c>
      <c r="U92" s="105">
        <v>0</v>
      </c>
      <c r="V92" s="105">
        <v>0</v>
      </c>
      <c r="W92" s="105">
        <v>-0.89100130000000011</v>
      </c>
      <c r="X92" s="105">
        <v>0</v>
      </c>
      <c r="Y92" s="105">
        <v>0</v>
      </c>
      <c r="Z92" s="105">
        <v>0</v>
      </c>
      <c r="AA92" s="105">
        <v>0</v>
      </c>
      <c r="AB92" s="105">
        <v>0</v>
      </c>
      <c r="AC92" s="105">
        <v>0</v>
      </c>
      <c r="AD92" s="105">
        <v>0</v>
      </c>
      <c r="AE92" s="105">
        <v>0</v>
      </c>
      <c r="AF92" s="105">
        <v>0</v>
      </c>
      <c r="AG92" s="105">
        <v>0</v>
      </c>
      <c r="AH92" s="105">
        <v>0</v>
      </c>
      <c r="AI92" s="105">
        <v>0</v>
      </c>
      <c r="AJ92" s="105">
        <v>0</v>
      </c>
      <c r="AK92" s="105">
        <v>0</v>
      </c>
      <c r="AL92" s="105">
        <v>0</v>
      </c>
      <c r="AM92" s="105">
        <v>0</v>
      </c>
      <c r="AN92" s="105">
        <v>0</v>
      </c>
      <c r="AO92" s="105">
        <v>0</v>
      </c>
      <c r="AP92" s="105">
        <v>0</v>
      </c>
      <c r="AQ92" s="105">
        <v>0</v>
      </c>
      <c r="AR92" s="105">
        <v>0</v>
      </c>
      <c r="AS92" s="105">
        <v>0</v>
      </c>
      <c r="AT92" s="105">
        <v>0</v>
      </c>
      <c r="AU92" s="105">
        <v>-9.9648017000000007</v>
      </c>
      <c r="AV92" s="105">
        <v>-16.756000700000001</v>
      </c>
      <c r="AW92" s="105">
        <v>-29.9556036</v>
      </c>
      <c r="AX92" s="54"/>
      <c r="AY92" s="54"/>
      <c r="AZ92" s="22"/>
    </row>
    <row r="93" spans="1:52">
      <c r="A93" s="106" t="s">
        <v>142</v>
      </c>
      <c r="B93" s="104">
        <v>5.3347954</v>
      </c>
      <c r="C93" s="105">
        <v>8.5510408000000009</v>
      </c>
      <c r="D93" s="105">
        <v>4.2485008999999998</v>
      </c>
      <c r="E93" s="105">
        <v>0</v>
      </c>
      <c r="F93" s="105">
        <v>0</v>
      </c>
      <c r="G93" s="105">
        <v>2.8070987000000001</v>
      </c>
      <c r="H93" s="105">
        <v>0</v>
      </c>
      <c r="I93" s="105">
        <v>2.3069980000000001</v>
      </c>
      <c r="J93" s="105">
        <v>0</v>
      </c>
      <c r="K93" s="105">
        <v>223.65299870000001</v>
      </c>
      <c r="L93" s="105">
        <v>0.88400100000000004</v>
      </c>
      <c r="M93" s="105">
        <v>3.4769993000000001</v>
      </c>
      <c r="N93" s="105">
        <v>1.0460008000000001</v>
      </c>
      <c r="O93" s="105">
        <v>16.627553799999998</v>
      </c>
      <c r="P93" s="105">
        <v>0</v>
      </c>
      <c r="Q93" s="105">
        <v>30.786298200000004</v>
      </c>
      <c r="R93" s="105">
        <v>0</v>
      </c>
      <c r="S93" s="105">
        <v>0</v>
      </c>
      <c r="T93" s="105">
        <v>0</v>
      </c>
      <c r="U93" s="105">
        <v>0</v>
      </c>
      <c r="V93" s="105">
        <v>0</v>
      </c>
      <c r="W93" s="105">
        <v>0.79200020000000004</v>
      </c>
      <c r="X93" s="105">
        <v>0</v>
      </c>
      <c r="Y93" s="105">
        <v>43.837998300000002</v>
      </c>
      <c r="Z93" s="105">
        <v>58.387999100000002</v>
      </c>
      <c r="AA93" s="105">
        <v>4.3999099999999999E-2</v>
      </c>
      <c r="AB93" s="105">
        <v>0</v>
      </c>
      <c r="AC93" s="105">
        <v>4.7299996000000002</v>
      </c>
      <c r="AD93" s="105">
        <v>0</v>
      </c>
      <c r="AE93" s="105">
        <v>158.64239889999999</v>
      </c>
      <c r="AF93" s="105">
        <v>11.0000006</v>
      </c>
      <c r="AG93" s="105">
        <v>13.1560016</v>
      </c>
      <c r="AH93" s="105">
        <v>1.3079981999999999</v>
      </c>
      <c r="AI93" s="105">
        <v>2.9819980999999993</v>
      </c>
      <c r="AJ93" s="105">
        <v>8.5800008999999999</v>
      </c>
      <c r="AK93" s="105">
        <v>8.00014E-2</v>
      </c>
      <c r="AL93" s="105">
        <v>1.7600008999999999</v>
      </c>
      <c r="AM93" s="105">
        <v>7.1600015999999993</v>
      </c>
      <c r="AN93" s="105">
        <v>0</v>
      </c>
      <c r="AO93" s="105">
        <v>0</v>
      </c>
      <c r="AP93" s="105">
        <v>0</v>
      </c>
      <c r="AQ93" s="105">
        <v>7.4998099999999998E-2</v>
      </c>
      <c r="AR93" s="105">
        <v>0</v>
      </c>
      <c r="AS93" s="105">
        <v>0</v>
      </c>
      <c r="AT93" s="105">
        <v>0</v>
      </c>
      <c r="AU93" s="105">
        <v>291.74039820000002</v>
      </c>
      <c r="AV93" s="105">
        <v>168.27999799999998</v>
      </c>
      <c r="AW93" s="105">
        <v>1072.2780780999999</v>
      </c>
      <c r="AX93" s="54"/>
      <c r="AY93" s="54"/>
      <c r="AZ93" s="22"/>
    </row>
    <row r="94" spans="1:52">
      <c r="A94" s="79" t="s">
        <v>143</v>
      </c>
      <c r="B94" s="101">
        <v>0</v>
      </c>
      <c r="C94" s="102">
        <v>0</v>
      </c>
      <c r="D94" s="102">
        <v>0</v>
      </c>
      <c r="E94" s="102">
        <v>0</v>
      </c>
      <c r="F94" s="102">
        <v>0</v>
      </c>
      <c r="G94" s="102">
        <v>0</v>
      </c>
      <c r="H94" s="102">
        <v>0</v>
      </c>
      <c r="I94" s="102">
        <v>0</v>
      </c>
      <c r="J94" s="102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5.04007E-2</v>
      </c>
      <c r="R94" s="102">
        <v>0</v>
      </c>
      <c r="S94" s="102">
        <v>0</v>
      </c>
      <c r="T94" s="102">
        <v>0</v>
      </c>
      <c r="U94" s="102">
        <v>0</v>
      </c>
      <c r="V94" s="102">
        <v>0</v>
      </c>
      <c r="W94" s="102">
        <v>0</v>
      </c>
      <c r="X94" s="102">
        <v>0</v>
      </c>
      <c r="Y94" s="102">
        <v>0</v>
      </c>
      <c r="Z94" s="102">
        <v>0</v>
      </c>
      <c r="AA94" s="102">
        <v>0</v>
      </c>
      <c r="AB94" s="102">
        <v>0</v>
      </c>
      <c r="AC94" s="102">
        <v>0</v>
      </c>
      <c r="AD94" s="102">
        <v>0</v>
      </c>
      <c r="AE94" s="102">
        <v>0</v>
      </c>
      <c r="AF94" s="102">
        <v>0</v>
      </c>
      <c r="AG94" s="102">
        <v>0</v>
      </c>
      <c r="AH94" s="102">
        <v>0</v>
      </c>
      <c r="AI94" s="102">
        <v>0</v>
      </c>
      <c r="AJ94" s="102">
        <v>0</v>
      </c>
      <c r="AK94" s="102">
        <v>0</v>
      </c>
      <c r="AL94" s="102">
        <v>0</v>
      </c>
      <c r="AM94" s="102">
        <v>0</v>
      </c>
      <c r="AN94" s="102">
        <v>0</v>
      </c>
      <c r="AO94" s="102">
        <v>0</v>
      </c>
      <c r="AP94" s="102">
        <v>0</v>
      </c>
      <c r="AQ94" s="102">
        <v>2.6766044999999999E-2</v>
      </c>
      <c r="AR94" s="102">
        <v>0</v>
      </c>
      <c r="AS94" s="102">
        <v>0</v>
      </c>
      <c r="AT94" s="102">
        <v>0</v>
      </c>
      <c r="AU94" s="102">
        <v>0</v>
      </c>
      <c r="AV94" s="102">
        <v>0</v>
      </c>
      <c r="AW94" s="102">
        <v>5.04007E-2</v>
      </c>
      <c r="AX94" s="54"/>
      <c r="AY94" s="54"/>
      <c r="AZ94" s="22"/>
    </row>
    <row r="95" spans="1:52">
      <c r="A95" s="112"/>
      <c r="B95" s="113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54"/>
      <c r="AY95" s="54"/>
      <c r="AZ95" s="22"/>
    </row>
    <row r="96" spans="1:52" ht="18">
      <c r="A96" s="114" t="s">
        <v>144</v>
      </c>
      <c r="B96" s="115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57"/>
      <c r="Q96" s="57"/>
      <c r="R96" s="49"/>
      <c r="S96" s="49"/>
      <c r="T96" s="116"/>
      <c r="U96" s="49"/>
      <c r="V96" s="117"/>
      <c r="W96" s="49"/>
      <c r="X96" s="49"/>
      <c r="Y96" s="118"/>
      <c r="Z96" s="118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54"/>
      <c r="AY96" s="54"/>
      <c r="AZ96" s="22"/>
    </row>
    <row r="97" spans="1:52" ht="13.5" thickBot="1">
      <c r="A97" s="119"/>
      <c r="B97" s="120"/>
      <c r="C97" s="121" t="s">
        <v>145</v>
      </c>
      <c r="D97" s="121" t="s">
        <v>146</v>
      </c>
      <c r="E97" s="121" t="s">
        <v>147</v>
      </c>
      <c r="F97" s="121" t="s">
        <v>148</v>
      </c>
      <c r="G97" s="121" t="s">
        <v>149</v>
      </c>
      <c r="H97" s="121" t="s">
        <v>150</v>
      </c>
      <c r="I97" s="121" t="s">
        <v>151</v>
      </c>
      <c r="J97" s="121" t="s">
        <v>152</v>
      </c>
      <c r="K97" s="121" t="s">
        <v>153</v>
      </c>
      <c r="L97" s="121" t="s">
        <v>154</v>
      </c>
      <c r="M97" s="121" t="s">
        <v>155</v>
      </c>
      <c r="N97" s="121" t="s">
        <v>156</v>
      </c>
      <c r="O97" s="121" t="s">
        <v>157</v>
      </c>
      <c r="P97" s="121" t="s">
        <v>158</v>
      </c>
      <c r="Q97" s="121" t="s">
        <v>159</v>
      </c>
      <c r="R97" s="121" t="s">
        <v>160</v>
      </c>
      <c r="S97" s="121" t="s">
        <v>161</v>
      </c>
      <c r="T97" s="121" t="s">
        <v>162</v>
      </c>
      <c r="U97" s="121" t="s">
        <v>163</v>
      </c>
      <c r="V97" s="121" t="s">
        <v>164</v>
      </c>
      <c r="W97" s="121" t="s">
        <v>165</v>
      </c>
      <c r="X97" s="121" t="s">
        <v>166</v>
      </c>
      <c r="Y97" s="121" t="s">
        <v>167</v>
      </c>
      <c r="Z97" s="121" t="s">
        <v>168</v>
      </c>
      <c r="AA97" s="121" t="s">
        <v>169</v>
      </c>
      <c r="AB97" s="121" t="s">
        <v>170</v>
      </c>
      <c r="AC97" s="121" t="s">
        <v>171</v>
      </c>
      <c r="AD97" s="121" t="s">
        <v>172</v>
      </c>
      <c r="AE97" s="121" t="s">
        <v>173</v>
      </c>
      <c r="AF97" s="121" t="s">
        <v>174</v>
      </c>
      <c r="AG97" s="121" t="s">
        <v>175</v>
      </c>
      <c r="AH97" s="121" t="s">
        <v>176</v>
      </c>
      <c r="AI97" s="121" t="s">
        <v>177</v>
      </c>
      <c r="AJ97" s="121" t="s">
        <v>178</v>
      </c>
      <c r="AK97" s="121" t="s">
        <v>179</v>
      </c>
      <c r="AL97" s="121" t="s">
        <v>180</v>
      </c>
      <c r="AM97" s="121" t="s">
        <v>181</v>
      </c>
      <c r="AN97" s="121" t="s">
        <v>182</v>
      </c>
      <c r="AO97" s="121" t="s">
        <v>183</v>
      </c>
      <c r="AP97" s="121" t="s">
        <v>184</v>
      </c>
      <c r="AQ97" s="121" t="s">
        <v>185</v>
      </c>
      <c r="AR97" s="121" t="s">
        <v>186</v>
      </c>
      <c r="AS97" s="122"/>
      <c r="AT97" s="123"/>
      <c r="AU97" s="121" t="s">
        <v>187</v>
      </c>
      <c r="AV97" s="121" t="s">
        <v>188</v>
      </c>
      <c r="AW97" s="123"/>
      <c r="AX97" s="123"/>
      <c r="AY97" s="123"/>
      <c r="AZ97" s="22"/>
    </row>
    <row r="98" spans="1:52">
      <c r="A98" s="124" t="s">
        <v>189</v>
      </c>
      <c r="B98" s="124"/>
      <c r="C98" s="125">
        <f t="shared" ref="C98:AS98" si="8">IF(C100=0,C99,C100)</f>
        <v>0</v>
      </c>
      <c r="D98" s="125">
        <f t="shared" si="8"/>
        <v>30.603201099999996</v>
      </c>
      <c r="E98" s="125">
        <f t="shared" si="8"/>
        <v>0</v>
      </c>
      <c r="F98" s="125">
        <f t="shared" si="8"/>
        <v>0</v>
      </c>
      <c r="G98" s="125">
        <f t="shared" si="8"/>
        <v>0</v>
      </c>
      <c r="H98" s="125">
        <f t="shared" si="8"/>
        <v>0</v>
      </c>
      <c r="I98" s="125">
        <f t="shared" si="8"/>
        <v>0</v>
      </c>
      <c r="J98" s="125">
        <f t="shared" si="8"/>
        <v>0</v>
      </c>
      <c r="K98" s="125">
        <f t="shared" si="8"/>
        <v>0</v>
      </c>
      <c r="L98" s="125">
        <f t="shared" si="8"/>
        <v>360.53599920000005</v>
      </c>
      <c r="M98" s="125">
        <f t="shared" si="8"/>
        <v>2.0010015000000001</v>
      </c>
      <c r="N98" s="125">
        <f t="shared" si="8"/>
        <v>23.807999599999999</v>
      </c>
      <c r="O98" s="125">
        <f t="shared" si="8"/>
        <v>5.2140021000000001</v>
      </c>
      <c r="P98" s="125">
        <f t="shared" si="8"/>
        <v>14.9636399</v>
      </c>
      <c r="Q98" s="125">
        <f t="shared" si="8"/>
        <v>0</v>
      </c>
      <c r="R98" s="125">
        <f t="shared" si="8"/>
        <v>0</v>
      </c>
      <c r="S98" s="125">
        <f t="shared" si="8"/>
        <v>0</v>
      </c>
      <c r="T98" s="125">
        <f t="shared" si="8"/>
        <v>0</v>
      </c>
      <c r="U98" s="125">
        <f t="shared" si="8"/>
        <v>0</v>
      </c>
      <c r="V98" s="125">
        <f t="shared" si="8"/>
        <v>0</v>
      </c>
      <c r="W98" s="125">
        <f t="shared" si="8"/>
        <v>0</v>
      </c>
      <c r="X98" s="125">
        <f t="shared" si="8"/>
        <v>0</v>
      </c>
      <c r="Y98" s="125">
        <f t="shared" si="8"/>
        <v>0</v>
      </c>
      <c r="Z98" s="125">
        <f t="shared" si="8"/>
        <v>0</v>
      </c>
      <c r="AA98" s="125">
        <f t="shared" si="8"/>
        <v>0</v>
      </c>
      <c r="AB98" s="125">
        <f t="shared" si="8"/>
        <v>0</v>
      </c>
      <c r="AC98" s="125">
        <f t="shared" si="8"/>
        <v>0</v>
      </c>
      <c r="AD98" s="125">
        <f t="shared" si="8"/>
        <v>0</v>
      </c>
      <c r="AE98" s="125">
        <f t="shared" si="8"/>
        <v>0</v>
      </c>
      <c r="AF98" s="125">
        <f t="shared" si="8"/>
        <v>0</v>
      </c>
      <c r="AG98" s="125">
        <f t="shared" si="8"/>
        <v>0</v>
      </c>
      <c r="AH98" s="125">
        <f t="shared" si="8"/>
        <v>0</v>
      </c>
      <c r="AI98" s="125">
        <f t="shared" si="8"/>
        <v>0</v>
      </c>
      <c r="AJ98" s="125">
        <f t="shared" si="8"/>
        <v>0</v>
      </c>
      <c r="AK98" s="125">
        <f t="shared" si="8"/>
        <v>0</v>
      </c>
      <c r="AL98" s="125">
        <f t="shared" si="8"/>
        <v>0</v>
      </c>
      <c r="AM98" s="125">
        <f t="shared" si="8"/>
        <v>0</v>
      </c>
      <c r="AN98" s="125">
        <f t="shared" si="8"/>
        <v>0</v>
      </c>
      <c r="AO98" s="125">
        <f t="shared" si="8"/>
        <v>0</v>
      </c>
      <c r="AP98" s="125">
        <f t="shared" si="8"/>
        <v>0</v>
      </c>
      <c r="AQ98" s="125">
        <f t="shared" si="8"/>
        <v>0</v>
      </c>
      <c r="AR98" s="125">
        <f t="shared" si="8"/>
        <v>7.6684004999999997</v>
      </c>
      <c r="AS98" s="125">
        <f t="shared" si="8"/>
        <v>760.67121339999994</v>
      </c>
      <c r="AT98" s="26"/>
      <c r="AU98" s="125">
        <f>IF(AU100=0,AU99,AU100)</f>
        <v>0</v>
      </c>
      <c r="AV98" s="125">
        <f>IF(AV100=0,AV99,AV100)</f>
        <v>0</v>
      </c>
      <c r="AW98" s="26"/>
      <c r="AX98" s="22"/>
      <c r="AY98" s="25"/>
    </row>
    <row r="99" spans="1:52">
      <c r="A99" s="126" t="s">
        <v>190</v>
      </c>
      <c r="B99" s="126"/>
      <c r="C99" s="42">
        <f t="shared" ref="C99:R99" si="9">B52</f>
        <v>0</v>
      </c>
      <c r="D99" s="42">
        <f t="shared" si="9"/>
        <v>30.603201099999996</v>
      </c>
      <c r="E99" s="42">
        <f t="shared" si="9"/>
        <v>0</v>
      </c>
      <c r="F99" s="42">
        <f t="shared" si="9"/>
        <v>0</v>
      </c>
      <c r="G99" s="42">
        <f t="shared" si="9"/>
        <v>0</v>
      </c>
      <c r="H99" s="42">
        <f t="shared" si="9"/>
        <v>0</v>
      </c>
      <c r="I99" s="42">
        <f t="shared" si="9"/>
        <v>0</v>
      </c>
      <c r="J99" s="42">
        <f t="shared" si="9"/>
        <v>0</v>
      </c>
      <c r="K99" s="42">
        <f t="shared" si="9"/>
        <v>0</v>
      </c>
      <c r="L99" s="42">
        <f t="shared" si="9"/>
        <v>360.53599920000005</v>
      </c>
      <c r="M99" s="42">
        <f t="shared" si="9"/>
        <v>2.0010015000000001</v>
      </c>
      <c r="N99" s="42">
        <f t="shared" si="9"/>
        <v>23.807999599999999</v>
      </c>
      <c r="O99" s="42">
        <f t="shared" si="9"/>
        <v>5.2140021000000001</v>
      </c>
      <c r="P99" s="42">
        <f t="shared" si="9"/>
        <v>14.9636399</v>
      </c>
      <c r="Q99" s="42">
        <f t="shared" si="9"/>
        <v>0</v>
      </c>
      <c r="R99" s="42">
        <f t="shared" si="9"/>
        <v>0</v>
      </c>
      <c r="S99" s="42">
        <f>R52*$C$8*$F$14</f>
        <v>0</v>
      </c>
      <c r="T99" s="42">
        <f>R52*$C$9*$F$14</f>
        <v>0</v>
      </c>
      <c r="U99" s="42">
        <f>S99+T99</f>
        <v>0</v>
      </c>
      <c r="V99" s="42">
        <f>S52</f>
        <v>0</v>
      </c>
      <c r="W99" s="42">
        <f>T52</f>
        <v>0</v>
      </c>
      <c r="X99" s="42">
        <f>U52</f>
        <v>0</v>
      </c>
      <c r="Y99" s="42">
        <f>V52-AV99-AU99</f>
        <v>0</v>
      </c>
      <c r="Z99" s="42">
        <f t="shared" ref="Z99:AP99" si="10">W52</f>
        <v>0</v>
      </c>
      <c r="AA99" s="42">
        <f t="shared" si="10"/>
        <v>0</v>
      </c>
      <c r="AB99" s="42">
        <f t="shared" si="10"/>
        <v>0</v>
      </c>
      <c r="AC99" s="42">
        <f t="shared" si="10"/>
        <v>0</v>
      </c>
      <c r="AD99" s="42">
        <f t="shared" si="10"/>
        <v>0</v>
      </c>
      <c r="AE99" s="42">
        <f t="shared" si="10"/>
        <v>0</v>
      </c>
      <c r="AF99" s="42">
        <f t="shared" si="10"/>
        <v>0</v>
      </c>
      <c r="AG99" s="42">
        <f t="shared" si="10"/>
        <v>0</v>
      </c>
      <c r="AH99" s="42">
        <f t="shared" si="10"/>
        <v>0</v>
      </c>
      <c r="AI99" s="42">
        <f t="shared" si="10"/>
        <v>0</v>
      </c>
      <c r="AJ99" s="42">
        <f t="shared" si="10"/>
        <v>0</v>
      </c>
      <c r="AK99" s="42">
        <f t="shared" si="10"/>
        <v>0</v>
      </c>
      <c r="AL99" s="42">
        <f t="shared" si="10"/>
        <v>0</v>
      </c>
      <c r="AM99" s="42">
        <f t="shared" si="10"/>
        <v>0</v>
      </c>
      <c r="AN99" s="42">
        <f t="shared" si="10"/>
        <v>0</v>
      </c>
      <c r="AO99" s="42">
        <f t="shared" si="10"/>
        <v>0</v>
      </c>
      <c r="AP99" s="42">
        <f t="shared" si="10"/>
        <v>0</v>
      </c>
      <c r="AQ99" s="42">
        <f>AU52</f>
        <v>0</v>
      </c>
      <c r="AR99" s="42">
        <f>AV52</f>
        <v>7.6684004999999997</v>
      </c>
      <c r="AS99" s="42">
        <f>AW52</f>
        <v>760.67121339999994</v>
      </c>
      <c r="AT99" s="26"/>
      <c r="AU99" s="42">
        <f>V52*$F$17</f>
        <v>0</v>
      </c>
      <c r="AV99" s="42">
        <f>V52*$F$18</f>
        <v>0</v>
      </c>
      <c r="AW99" s="26"/>
      <c r="AX99" s="22"/>
      <c r="AY99" s="25"/>
      <c r="AZ99" s="14"/>
    </row>
    <row r="100" spans="1:52">
      <c r="A100" s="127" t="s">
        <v>191</v>
      </c>
      <c r="B100" s="127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26"/>
      <c r="AU100" s="53"/>
      <c r="AV100" s="53"/>
      <c r="AW100" s="26"/>
      <c r="AX100" s="26"/>
      <c r="AY100" s="25"/>
      <c r="AZ100" s="22"/>
    </row>
    <row r="101" spans="1:52">
      <c r="A101" s="126" t="str">
        <f>A53</f>
        <v>OSOURCEPRI</v>
      </c>
      <c r="B101" s="126"/>
      <c r="C101" s="42">
        <f t="shared" ref="C101:R101" si="11">B53</f>
        <v>0</v>
      </c>
      <c r="D101" s="42">
        <f t="shared" si="11"/>
        <v>0</v>
      </c>
      <c r="E101" s="42">
        <f t="shared" si="11"/>
        <v>0</v>
      </c>
      <c r="F101" s="42">
        <f t="shared" si="11"/>
        <v>0</v>
      </c>
      <c r="G101" s="42">
        <f t="shared" si="11"/>
        <v>0</v>
      </c>
      <c r="H101" s="42">
        <f t="shared" si="11"/>
        <v>0</v>
      </c>
      <c r="I101" s="42">
        <f t="shared" si="11"/>
        <v>0</v>
      </c>
      <c r="J101" s="42">
        <f t="shared" si="11"/>
        <v>0</v>
      </c>
      <c r="K101" s="42">
        <f t="shared" si="11"/>
        <v>0</v>
      </c>
      <c r="L101" s="42">
        <f t="shared" si="11"/>
        <v>0</v>
      </c>
      <c r="M101" s="42">
        <f t="shared" si="11"/>
        <v>0</v>
      </c>
      <c r="N101" s="42">
        <f t="shared" si="11"/>
        <v>0</v>
      </c>
      <c r="O101" s="42">
        <f t="shared" si="11"/>
        <v>0</v>
      </c>
      <c r="P101" s="42">
        <f t="shared" si="11"/>
        <v>0</v>
      </c>
      <c r="Q101" s="42">
        <f t="shared" si="11"/>
        <v>0</v>
      </c>
      <c r="R101" s="42">
        <f t="shared" si="11"/>
        <v>0</v>
      </c>
      <c r="S101" s="42">
        <f>R53*$C$8*$F$14</f>
        <v>0</v>
      </c>
      <c r="T101" s="42">
        <f>R53*$C$9*$F$14</f>
        <v>0</v>
      </c>
      <c r="U101" s="42">
        <f t="shared" ref="U101:U107" si="12">S101+T101</f>
        <v>0</v>
      </c>
      <c r="V101" s="42">
        <f t="shared" ref="V101:X105" si="13">S53</f>
        <v>0</v>
      </c>
      <c r="W101" s="42">
        <f t="shared" si="13"/>
        <v>0</v>
      </c>
      <c r="X101" s="42">
        <f t="shared" si="13"/>
        <v>0</v>
      </c>
      <c r="Y101" s="42">
        <f>V53-AV101-AU101</f>
        <v>0</v>
      </c>
      <c r="Z101" s="42">
        <f t="shared" ref="Z101:AI105" si="14">W53</f>
        <v>0</v>
      </c>
      <c r="AA101" s="42">
        <f t="shared" si="14"/>
        <v>0</v>
      </c>
      <c r="AB101" s="42">
        <f t="shared" si="14"/>
        <v>0</v>
      </c>
      <c r="AC101" s="42">
        <f t="shared" si="14"/>
        <v>0</v>
      </c>
      <c r="AD101" s="42">
        <f t="shared" si="14"/>
        <v>0</v>
      </c>
      <c r="AE101" s="42">
        <f t="shared" si="14"/>
        <v>0</v>
      </c>
      <c r="AF101" s="42">
        <f t="shared" si="14"/>
        <v>0</v>
      </c>
      <c r="AG101" s="42">
        <f t="shared" si="14"/>
        <v>0</v>
      </c>
      <c r="AH101" s="42">
        <f t="shared" si="14"/>
        <v>0</v>
      </c>
      <c r="AI101" s="42">
        <f t="shared" si="14"/>
        <v>0</v>
      </c>
      <c r="AJ101" s="42">
        <f t="shared" ref="AJ101:AP105" si="15">AG53</f>
        <v>0</v>
      </c>
      <c r="AK101" s="42">
        <f t="shared" si="15"/>
        <v>0</v>
      </c>
      <c r="AL101" s="42">
        <f t="shared" si="15"/>
        <v>0</v>
      </c>
      <c r="AM101" s="42">
        <f t="shared" si="15"/>
        <v>0</v>
      </c>
      <c r="AN101" s="42">
        <f t="shared" si="15"/>
        <v>0</v>
      </c>
      <c r="AO101" s="42">
        <f t="shared" si="15"/>
        <v>0</v>
      </c>
      <c r="AP101" s="42">
        <f t="shared" si="15"/>
        <v>0</v>
      </c>
      <c r="AQ101" s="42">
        <f t="shared" ref="AQ101:AS105" si="16">AU53</f>
        <v>0</v>
      </c>
      <c r="AR101" s="42">
        <f t="shared" si="16"/>
        <v>0</v>
      </c>
      <c r="AS101" s="42">
        <f t="shared" si="16"/>
        <v>0</v>
      </c>
      <c r="AT101" s="26"/>
      <c r="AU101" s="42">
        <f>V53*$F$17</f>
        <v>0</v>
      </c>
      <c r="AV101" s="42">
        <f>V53*$F$18</f>
        <v>0</v>
      </c>
      <c r="AW101" s="26"/>
      <c r="AX101" s="26"/>
      <c r="AY101" s="25"/>
      <c r="AZ101" s="22"/>
    </row>
    <row r="102" spans="1:52">
      <c r="A102" s="126" t="str">
        <f>A54</f>
        <v>IMPORTS</v>
      </c>
      <c r="B102" s="126"/>
      <c r="C102" s="42">
        <f t="shared" ref="C102:R102" si="17">B54</f>
        <v>105.74895930000002</v>
      </c>
      <c r="D102" s="42">
        <f t="shared" si="17"/>
        <v>0.25791939999999997</v>
      </c>
      <c r="E102" s="42">
        <f t="shared" si="17"/>
        <v>7.4714995000000002</v>
      </c>
      <c r="F102" s="42">
        <f t="shared" si="17"/>
        <v>0</v>
      </c>
      <c r="G102" s="42">
        <f t="shared" si="17"/>
        <v>0</v>
      </c>
      <c r="H102" s="42">
        <f t="shared" si="17"/>
        <v>0</v>
      </c>
      <c r="I102" s="42">
        <f t="shared" si="17"/>
        <v>0</v>
      </c>
      <c r="J102" s="42">
        <f t="shared" si="17"/>
        <v>0</v>
      </c>
      <c r="K102" s="42">
        <f t="shared" si="17"/>
        <v>0</v>
      </c>
      <c r="L102" s="42">
        <f t="shared" si="17"/>
        <v>2.5070014</v>
      </c>
      <c r="M102" s="42">
        <f t="shared" si="17"/>
        <v>0</v>
      </c>
      <c r="N102" s="42">
        <f t="shared" si="17"/>
        <v>0</v>
      </c>
      <c r="O102" s="42">
        <f t="shared" si="17"/>
        <v>0</v>
      </c>
      <c r="P102" s="42">
        <f t="shared" si="17"/>
        <v>3.5864672999999994</v>
      </c>
      <c r="Q102" s="42">
        <f t="shared" si="17"/>
        <v>0</v>
      </c>
      <c r="R102" s="42">
        <f t="shared" si="17"/>
        <v>80.189097999999987</v>
      </c>
      <c r="S102" s="42">
        <f>R54*$C$8*$F$14</f>
        <v>0</v>
      </c>
      <c r="T102" s="42">
        <f>R54*$C$9*$F$14</f>
        <v>469.85724089999997</v>
      </c>
      <c r="U102" s="42">
        <f t="shared" si="12"/>
        <v>469.85724089999997</v>
      </c>
      <c r="V102" s="42">
        <f t="shared" si="13"/>
        <v>60.148000000000003</v>
      </c>
      <c r="W102" s="42">
        <f t="shared" si="13"/>
        <v>0</v>
      </c>
      <c r="X102" s="42">
        <f t="shared" si="13"/>
        <v>2.0825018000000002</v>
      </c>
      <c r="Y102" s="42">
        <f>V54-AV102-AU102</f>
        <v>0</v>
      </c>
      <c r="Z102" s="42">
        <f t="shared" si="14"/>
        <v>0</v>
      </c>
      <c r="AA102" s="42">
        <f t="shared" si="14"/>
        <v>0</v>
      </c>
      <c r="AB102" s="42">
        <f t="shared" si="14"/>
        <v>32.521998999999994</v>
      </c>
      <c r="AC102" s="42">
        <f t="shared" si="14"/>
        <v>26.664000100000003</v>
      </c>
      <c r="AD102" s="42">
        <f t="shared" si="14"/>
        <v>0.13200139999999999</v>
      </c>
      <c r="AE102" s="42">
        <f t="shared" si="14"/>
        <v>0</v>
      </c>
      <c r="AF102" s="42">
        <f t="shared" si="14"/>
        <v>6.7510015000000001</v>
      </c>
      <c r="AG102" s="42">
        <f t="shared" si="14"/>
        <v>6.0199988000000006</v>
      </c>
      <c r="AH102" s="42">
        <f t="shared" si="14"/>
        <v>75.913198699999995</v>
      </c>
      <c r="AI102" s="42">
        <f t="shared" si="14"/>
        <v>36.080000200000001</v>
      </c>
      <c r="AJ102" s="42">
        <f t="shared" si="15"/>
        <v>16.059999600000001</v>
      </c>
      <c r="AK102" s="42">
        <f t="shared" si="15"/>
        <v>0.69760040000000001</v>
      </c>
      <c r="AL102" s="42">
        <f t="shared" si="15"/>
        <v>6.3420014000000009</v>
      </c>
      <c r="AM102" s="42">
        <f t="shared" si="15"/>
        <v>8.0730003000000004</v>
      </c>
      <c r="AN102" s="42">
        <f t="shared" si="15"/>
        <v>8.00014E-2</v>
      </c>
      <c r="AO102" s="42">
        <f t="shared" si="15"/>
        <v>1.6320020999999998</v>
      </c>
      <c r="AP102" s="42">
        <f t="shared" si="15"/>
        <v>2.2400007999999998</v>
      </c>
      <c r="AQ102" s="42">
        <f t="shared" si="16"/>
        <v>79.93439819999999</v>
      </c>
      <c r="AR102" s="42">
        <f t="shared" si="16"/>
        <v>0</v>
      </c>
      <c r="AS102" s="42">
        <f t="shared" si="16"/>
        <v>1030.9898913</v>
      </c>
      <c r="AT102" s="26"/>
      <c r="AU102" s="42">
        <f>V54*$F$17</f>
        <v>0</v>
      </c>
      <c r="AV102" s="42">
        <f>V54*$F$18</f>
        <v>0</v>
      </c>
      <c r="AW102" s="26"/>
      <c r="AX102" s="26"/>
      <c r="AY102" s="25"/>
      <c r="AZ102" s="22"/>
    </row>
    <row r="103" spans="1:52">
      <c r="A103" s="126" t="str">
        <f>A55</f>
        <v>EXPORTS</v>
      </c>
      <c r="B103" s="126"/>
      <c r="C103" s="42">
        <f t="shared" ref="C103:R103" si="18">B55</f>
        <v>0</v>
      </c>
      <c r="D103" s="42">
        <f t="shared" si="18"/>
        <v>0</v>
      </c>
      <c r="E103" s="42">
        <f t="shared" si="18"/>
        <v>-2.9006988000000002</v>
      </c>
      <c r="F103" s="42">
        <f t="shared" si="18"/>
        <v>0</v>
      </c>
      <c r="G103" s="42">
        <f t="shared" si="18"/>
        <v>0</v>
      </c>
      <c r="H103" s="42">
        <f t="shared" si="18"/>
        <v>0</v>
      </c>
      <c r="I103" s="42">
        <f t="shared" si="18"/>
        <v>0</v>
      </c>
      <c r="J103" s="42">
        <f t="shared" si="18"/>
        <v>0</v>
      </c>
      <c r="K103" s="42">
        <f t="shared" si="18"/>
        <v>0</v>
      </c>
      <c r="L103" s="42">
        <f t="shared" si="18"/>
        <v>-1.1679999999999999</v>
      </c>
      <c r="M103" s="42">
        <f t="shared" si="18"/>
        <v>0</v>
      </c>
      <c r="N103" s="42">
        <f t="shared" si="18"/>
        <v>0</v>
      </c>
      <c r="O103" s="42">
        <f t="shared" si="18"/>
        <v>0</v>
      </c>
      <c r="P103" s="42">
        <f t="shared" si="18"/>
        <v>0</v>
      </c>
      <c r="Q103" s="42">
        <f t="shared" si="18"/>
        <v>0</v>
      </c>
      <c r="R103" s="42">
        <f t="shared" si="18"/>
        <v>0</v>
      </c>
      <c r="S103" s="42">
        <f>R55*$C$8*$F$14</f>
        <v>0</v>
      </c>
      <c r="T103" s="42">
        <f>R55*$C$9*$F$14</f>
        <v>0</v>
      </c>
      <c r="U103" s="42">
        <f t="shared" si="12"/>
        <v>0</v>
      </c>
      <c r="V103" s="42">
        <f t="shared" si="13"/>
        <v>0</v>
      </c>
      <c r="W103" s="42">
        <f t="shared" si="13"/>
        <v>0</v>
      </c>
      <c r="X103" s="42">
        <f t="shared" si="13"/>
        <v>0</v>
      </c>
      <c r="Y103" s="42">
        <f>V55-AV103-AU103</f>
        <v>0</v>
      </c>
      <c r="Z103" s="42">
        <f t="shared" si="14"/>
        <v>0</v>
      </c>
      <c r="AA103" s="42">
        <f t="shared" si="14"/>
        <v>0</v>
      </c>
      <c r="AB103" s="42">
        <f t="shared" si="14"/>
        <v>0</v>
      </c>
      <c r="AC103" s="42">
        <f t="shared" si="14"/>
        <v>-137.41199849999998</v>
      </c>
      <c r="AD103" s="42">
        <f t="shared" si="14"/>
        <v>-8.7998199999999999E-2</v>
      </c>
      <c r="AE103" s="42">
        <f t="shared" si="14"/>
        <v>0</v>
      </c>
      <c r="AF103" s="42">
        <f t="shared" si="14"/>
        <v>-0.21500059999999999</v>
      </c>
      <c r="AG103" s="42">
        <f t="shared" si="14"/>
        <v>-5.1600006999999994</v>
      </c>
      <c r="AH103" s="42">
        <f t="shared" si="14"/>
        <v>-159.2814008</v>
      </c>
      <c r="AI103" s="42">
        <f t="shared" si="14"/>
        <v>-47.600001300000002</v>
      </c>
      <c r="AJ103" s="42">
        <f t="shared" si="15"/>
        <v>-3.3880004000000001</v>
      </c>
      <c r="AK103" s="42">
        <f t="shared" si="15"/>
        <v>-4.4036009000000007</v>
      </c>
      <c r="AL103" s="42">
        <f t="shared" si="15"/>
        <v>-18.144000199999997</v>
      </c>
      <c r="AM103" s="42">
        <f t="shared" si="15"/>
        <v>-0.39000039999999997</v>
      </c>
      <c r="AN103" s="42">
        <f t="shared" si="15"/>
        <v>0</v>
      </c>
      <c r="AO103" s="42">
        <f t="shared" si="15"/>
        <v>0</v>
      </c>
      <c r="AP103" s="42">
        <f t="shared" si="15"/>
        <v>-14.480001700000001</v>
      </c>
      <c r="AQ103" s="42">
        <f t="shared" si="16"/>
        <v>-6.4044013999999994</v>
      </c>
      <c r="AR103" s="42">
        <f t="shared" si="16"/>
        <v>0</v>
      </c>
      <c r="AS103" s="42">
        <f t="shared" si="16"/>
        <v>-402.44110259999997</v>
      </c>
      <c r="AT103" s="26"/>
      <c r="AU103" s="42">
        <f>V55*$F$17</f>
        <v>0</v>
      </c>
      <c r="AV103" s="42">
        <f>V55*$F$18</f>
        <v>0</v>
      </c>
      <c r="AW103" s="26"/>
      <c r="AX103" s="26"/>
      <c r="AY103" s="25"/>
      <c r="AZ103" s="22"/>
    </row>
    <row r="104" spans="1:52">
      <c r="A104" s="126" t="str">
        <f>A56</f>
        <v>BUNKERS</v>
      </c>
      <c r="B104" s="126"/>
      <c r="C104" s="42">
        <f t="shared" ref="C104:R104" si="19">B56</f>
        <v>0</v>
      </c>
      <c r="D104" s="42">
        <f t="shared" si="19"/>
        <v>0</v>
      </c>
      <c r="E104" s="42">
        <f t="shared" si="19"/>
        <v>0</v>
      </c>
      <c r="F104" s="42">
        <f t="shared" si="19"/>
        <v>0</v>
      </c>
      <c r="G104" s="42">
        <f t="shared" si="19"/>
        <v>0</v>
      </c>
      <c r="H104" s="42">
        <f t="shared" si="19"/>
        <v>0</v>
      </c>
      <c r="I104" s="42">
        <f t="shared" si="19"/>
        <v>0</v>
      </c>
      <c r="J104" s="42">
        <f t="shared" si="19"/>
        <v>0</v>
      </c>
      <c r="K104" s="42">
        <f t="shared" si="19"/>
        <v>0</v>
      </c>
      <c r="L104" s="42">
        <f t="shared" si="19"/>
        <v>0</v>
      </c>
      <c r="M104" s="42">
        <f t="shared" si="19"/>
        <v>0</v>
      </c>
      <c r="N104" s="42">
        <f t="shared" si="19"/>
        <v>0</v>
      </c>
      <c r="O104" s="42">
        <f t="shared" si="19"/>
        <v>0</v>
      </c>
      <c r="P104" s="42">
        <f t="shared" si="19"/>
        <v>0</v>
      </c>
      <c r="Q104" s="42">
        <f t="shared" si="19"/>
        <v>0</v>
      </c>
      <c r="R104" s="42">
        <f t="shared" si="19"/>
        <v>-0.19350129999999999</v>
      </c>
      <c r="S104" s="42">
        <f>R56*$C$8*$F$14</f>
        <v>0</v>
      </c>
      <c r="T104" s="42">
        <f>R56*$C$9*$F$14</f>
        <v>0</v>
      </c>
      <c r="U104" s="42">
        <f t="shared" si="12"/>
        <v>0</v>
      </c>
      <c r="V104" s="42">
        <f t="shared" si="13"/>
        <v>0</v>
      </c>
      <c r="W104" s="42">
        <f t="shared" si="13"/>
        <v>0</v>
      </c>
      <c r="X104" s="42">
        <f t="shared" si="13"/>
        <v>0</v>
      </c>
      <c r="Y104" s="42">
        <f>V56-AV104-AU104</f>
        <v>0</v>
      </c>
      <c r="Z104" s="42">
        <f t="shared" si="14"/>
        <v>0</v>
      </c>
      <c r="AA104" s="42">
        <f t="shared" si="14"/>
        <v>0</v>
      </c>
      <c r="AB104" s="42">
        <f t="shared" si="14"/>
        <v>0</v>
      </c>
      <c r="AC104" s="42">
        <f t="shared" si="14"/>
        <v>0</v>
      </c>
      <c r="AD104" s="42">
        <f t="shared" si="14"/>
        <v>0</v>
      </c>
      <c r="AE104" s="42">
        <f t="shared" si="14"/>
        <v>0</v>
      </c>
      <c r="AF104" s="42">
        <f t="shared" si="14"/>
        <v>0</v>
      </c>
      <c r="AG104" s="42">
        <f t="shared" si="14"/>
        <v>0</v>
      </c>
      <c r="AH104" s="42">
        <f t="shared" si="14"/>
        <v>-2.9819980999999993</v>
      </c>
      <c r="AI104" s="42">
        <f t="shared" si="14"/>
        <v>-11.520001099999998</v>
      </c>
      <c r="AJ104" s="42">
        <f t="shared" si="15"/>
        <v>0</v>
      </c>
      <c r="AK104" s="42">
        <f t="shared" si="15"/>
        <v>0</v>
      </c>
      <c r="AL104" s="42">
        <f t="shared" si="15"/>
        <v>0</v>
      </c>
      <c r="AM104" s="42">
        <f t="shared" si="15"/>
        <v>0</v>
      </c>
      <c r="AN104" s="42">
        <f t="shared" si="15"/>
        <v>0</v>
      </c>
      <c r="AO104" s="42">
        <f t="shared" si="15"/>
        <v>0</v>
      </c>
      <c r="AP104" s="42">
        <f t="shared" si="15"/>
        <v>0</v>
      </c>
      <c r="AQ104" s="42">
        <f t="shared" si="16"/>
        <v>0</v>
      </c>
      <c r="AR104" s="42">
        <f t="shared" si="16"/>
        <v>0</v>
      </c>
      <c r="AS104" s="42">
        <f t="shared" si="16"/>
        <v>-14.6955005</v>
      </c>
      <c r="AT104" s="26"/>
      <c r="AU104" s="42">
        <f>V56*$F$17</f>
        <v>0</v>
      </c>
      <c r="AV104" s="42">
        <f>V56*$F$18</f>
        <v>0</v>
      </c>
      <c r="AW104" s="26"/>
      <c r="AX104" s="26"/>
      <c r="AY104" s="26"/>
      <c r="AZ104" s="22"/>
    </row>
    <row r="105" spans="1:52">
      <c r="A105" s="126" t="str">
        <f>A57</f>
        <v>STOCKCHA</v>
      </c>
      <c r="B105" s="126"/>
      <c r="C105" s="42">
        <f t="shared" ref="C105:R105" si="20">B57</f>
        <v>11.605319700000001</v>
      </c>
      <c r="D105" s="42">
        <f t="shared" si="20"/>
        <v>22.872576299999999</v>
      </c>
      <c r="E105" s="42">
        <f t="shared" si="20"/>
        <v>-1.4064005000000002</v>
      </c>
      <c r="F105" s="42">
        <f t="shared" si="20"/>
        <v>0</v>
      </c>
      <c r="G105" s="42">
        <f t="shared" si="20"/>
        <v>0</v>
      </c>
      <c r="H105" s="42">
        <f t="shared" si="20"/>
        <v>0</v>
      </c>
      <c r="I105" s="42">
        <f t="shared" si="20"/>
        <v>0</v>
      </c>
      <c r="J105" s="42">
        <f t="shared" si="20"/>
        <v>0</v>
      </c>
      <c r="K105" s="42">
        <f t="shared" si="20"/>
        <v>0</v>
      </c>
      <c r="L105" s="42">
        <f t="shared" si="20"/>
        <v>0</v>
      </c>
      <c r="M105" s="42">
        <f t="shared" si="20"/>
        <v>0</v>
      </c>
      <c r="N105" s="42">
        <f t="shared" si="20"/>
        <v>0</v>
      </c>
      <c r="O105" s="42">
        <f t="shared" si="20"/>
        <v>0</v>
      </c>
      <c r="P105" s="42">
        <f t="shared" si="20"/>
        <v>-3.4751000000000005E-3</v>
      </c>
      <c r="Q105" s="42">
        <f t="shared" si="20"/>
        <v>0</v>
      </c>
      <c r="R105" s="42">
        <f t="shared" si="20"/>
        <v>0.89999869999999993</v>
      </c>
      <c r="S105" s="42">
        <f>R57*$C$8*$F$14</f>
        <v>0</v>
      </c>
      <c r="T105" s="42">
        <f>R57*$C$9*$F$14</f>
        <v>5.8017618000000004</v>
      </c>
      <c r="U105" s="42">
        <f t="shared" si="12"/>
        <v>5.8017618000000004</v>
      </c>
      <c r="V105" s="42">
        <f t="shared" si="13"/>
        <v>0</v>
      </c>
      <c r="W105" s="42">
        <f t="shared" si="13"/>
        <v>2.5499997999999997</v>
      </c>
      <c r="X105" s="42">
        <f t="shared" si="13"/>
        <v>0</v>
      </c>
      <c r="Y105" s="42">
        <f>V57-AV105-AU105</f>
        <v>0</v>
      </c>
      <c r="Z105" s="42">
        <f t="shared" si="14"/>
        <v>0</v>
      </c>
      <c r="AA105" s="42">
        <f t="shared" si="14"/>
        <v>0</v>
      </c>
      <c r="AB105" s="42">
        <f t="shared" si="14"/>
        <v>-4.7380006000000003</v>
      </c>
      <c r="AC105" s="42">
        <f t="shared" si="14"/>
        <v>-0.5280014999999999</v>
      </c>
      <c r="AD105" s="42">
        <f t="shared" si="14"/>
        <v>0</v>
      </c>
      <c r="AE105" s="42">
        <f t="shared" si="14"/>
        <v>0</v>
      </c>
      <c r="AF105" s="42">
        <f t="shared" si="14"/>
        <v>0.17199789999999998</v>
      </c>
      <c r="AG105" s="42">
        <f t="shared" si="14"/>
        <v>0</v>
      </c>
      <c r="AH105" s="42">
        <f t="shared" si="14"/>
        <v>11.1186001</v>
      </c>
      <c r="AI105" s="42">
        <f t="shared" si="14"/>
        <v>-0.84000189999999997</v>
      </c>
      <c r="AJ105" s="42">
        <f t="shared" si="15"/>
        <v>-0.61599969999999993</v>
      </c>
      <c r="AK105" s="42">
        <f t="shared" si="15"/>
        <v>0</v>
      </c>
      <c r="AL105" s="42">
        <f t="shared" si="15"/>
        <v>0</v>
      </c>
      <c r="AM105" s="42">
        <f t="shared" si="15"/>
        <v>0</v>
      </c>
      <c r="AN105" s="42">
        <f t="shared" si="15"/>
        <v>0</v>
      </c>
      <c r="AO105" s="42">
        <f t="shared" si="15"/>
        <v>0</v>
      </c>
      <c r="AP105" s="42">
        <f t="shared" si="15"/>
        <v>4.00007E-2</v>
      </c>
      <c r="AQ105" s="42">
        <f t="shared" si="16"/>
        <v>0</v>
      </c>
      <c r="AR105" s="42">
        <f t="shared" si="16"/>
        <v>0</v>
      </c>
      <c r="AS105" s="42">
        <f t="shared" si="16"/>
        <v>47.002377500000001</v>
      </c>
      <c r="AT105" s="26"/>
      <c r="AU105" s="42">
        <f>V57*$F$17</f>
        <v>0</v>
      </c>
      <c r="AV105" s="42">
        <f>V57*$F$18</f>
        <v>0</v>
      </c>
      <c r="AW105" s="26"/>
      <c r="AX105" s="26"/>
      <c r="AY105" s="26"/>
      <c r="AZ105" s="22"/>
    </row>
    <row r="106" spans="1:52">
      <c r="A106" s="126" t="str">
        <f>A59</f>
        <v>TRANSFER</v>
      </c>
      <c r="B106" s="126"/>
      <c r="C106" s="42">
        <f t="shared" ref="C106:R106" si="21">B59</f>
        <v>0</v>
      </c>
      <c r="D106" s="42">
        <f t="shared" si="21"/>
        <v>0</v>
      </c>
      <c r="E106" s="42">
        <f t="shared" si="21"/>
        <v>0</v>
      </c>
      <c r="F106" s="42">
        <f t="shared" si="21"/>
        <v>0</v>
      </c>
      <c r="G106" s="42">
        <f t="shared" si="21"/>
        <v>0</v>
      </c>
      <c r="H106" s="42">
        <f t="shared" si="21"/>
        <v>0</v>
      </c>
      <c r="I106" s="42">
        <f t="shared" si="21"/>
        <v>0</v>
      </c>
      <c r="J106" s="42">
        <f t="shared" si="21"/>
        <v>0</v>
      </c>
      <c r="K106" s="42">
        <f t="shared" si="21"/>
        <v>0</v>
      </c>
      <c r="L106" s="42">
        <f t="shared" si="21"/>
        <v>0</v>
      </c>
      <c r="M106" s="42">
        <f t="shared" si="21"/>
        <v>0</v>
      </c>
      <c r="N106" s="42">
        <f t="shared" si="21"/>
        <v>0</v>
      </c>
      <c r="O106" s="42">
        <f t="shared" si="21"/>
        <v>0</v>
      </c>
      <c r="P106" s="42">
        <f t="shared" si="21"/>
        <v>0</v>
      </c>
      <c r="Q106" s="42">
        <f t="shared" si="21"/>
        <v>0</v>
      </c>
      <c r="R106" s="42">
        <f t="shared" si="21"/>
        <v>0</v>
      </c>
      <c r="S106" s="42">
        <f>R59*$C$8*$F$14</f>
        <v>0</v>
      </c>
      <c r="T106" s="42">
        <f>R59*$C$9*F$14</f>
        <v>0</v>
      </c>
      <c r="U106" s="42">
        <f t="shared" si="12"/>
        <v>0</v>
      </c>
      <c r="V106" s="42">
        <f t="shared" ref="V106:X107" si="22">S59</f>
        <v>0</v>
      </c>
      <c r="W106" s="42">
        <f t="shared" si="22"/>
        <v>75.735000100000008</v>
      </c>
      <c r="X106" s="42">
        <f t="shared" si="22"/>
        <v>0</v>
      </c>
      <c r="Y106" s="42">
        <f>V59-AV106-AU106</f>
        <v>0</v>
      </c>
      <c r="Z106" s="42">
        <f t="shared" ref="Z106:AI107" si="23">W59</f>
        <v>0</v>
      </c>
      <c r="AA106" s="42">
        <f t="shared" si="23"/>
        <v>0</v>
      </c>
      <c r="AB106" s="42">
        <f t="shared" si="23"/>
        <v>-1.3799986</v>
      </c>
      <c r="AC106" s="42">
        <f t="shared" si="23"/>
        <v>-25.959997999999999</v>
      </c>
      <c r="AD106" s="42">
        <f t="shared" si="23"/>
        <v>0</v>
      </c>
      <c r="AE106" s="42">
        <f t="shared" si="23"/>
        <v>0</v>
      </c>
      <c r="AF106" s="42">
        <f t="shared" si="23"/>
        <v>0</v>
      </c>
      <c r="AG106" s="42">
        <f t="shared" si="23"/>
        <v>-0.85999799999999993</v>
      </c>
      <c r="AH106" s="42">
        <f t="shared" si="23"/>
        <v>-27.178800599999999</v>
      </c>
      <c r="AI106" s="42">
        <f t="shared" si="23"/>
        <v>-30.599998200000002</v>
      </c>
      <c r="AJ106" s="42">
        <f t="shared" ref="AJ106:AP107" si="24">AG59</f>
        <v>-0.57200059999999997</v>
      </c>
      <c r="AK106" s="42">
        <f t="shared" si="24"/>
        <v>-0.65399909999999994</v>
      </c>
      <c r="AL106" s="42">
        <f t="shared" si="24"/>
        <v>0</v>
      </c>
      <c r="AM106" s="42">
        <f t="shared" si="24"/>
        <v>0</v>
      </c>
      <c r="AN106" s="42">
        <f t="shared" si="24"/>
        <v>0</v>
      </c>
      <c r="AO106" s="42">
        <f t="shared" si="24"/>
        <v>0</v>
      </c>
      <c r="AP106" s="42">
        <f t="shared" si="24"/>
        <v>12.200000299999999</v>
      </c>
      <c r="AQ106" s="42">
        <f t="shared" ref="AQ106:AS107" si="25">AU59</f>
        <v>0</v>
      </c>
      <c r="AR106" s="42">
        <f t="shared" si="25"/>
        <v>0</v>
      </c>
      <c r="AS106" s="42">
        <f t="shared" si="25"/>
        <v>0.73020719999999995</v>
      </c>
      <c r="AT106" s="26"/>
      <c r="AU106" s="42">
        <f>V59*$F$17</f>
        <v>0</v>
      </c>
      <c r="AV106" s="42">
        <f>V59*$F$18</f>
        <v>0</v>
      </c>
      <c r="AW106" s="26"/>
      <c r="AX106" s="26"/>
      <c r="AY106" s="26"/>
      <c r="AZ106" s="22"/>
    </row>
    <row r="107" spans="1:52">
      <c r="A107" s="126" t="str">
        <f>A60</f>
        <v>STATDIFF</v>
      </c>
      <c r="B107" s="126"/>
      <c r="C107" s="42">
        <f t="shared" ref="C107:R107" si="26">B60</f>
        <v>-1.2120577000000001</v>
      </c>
      <c r="D107" s="42">
        <f t="shared" si="26"/>
        <v>6.8746999999999992E-3</v>
      </c>
      <c r="E107" s="42">
        <f t="shared" si="26"/>
        <v>0</v>
      </c>
      <c r="F107" s="42">
        <f t="shared" si="26"/>
        <v>0</v>
      </c>
      <c r="G107" s="42">
        <f t="shared" si="26"/>
        <v>0</v>
      </c>
      <c r="H107" s="42">
        <f t="shared" si="26"/>
        <v>0</v>
      </c>
      <c r="I107" s="42">
        <f t="shared" si="26"/>
        <v>0</v>
      </c>
      <c r="J107" s="42">
        <f t="shared" si="26"/>
        <v>0</v>
      </c>
      <c r="K107" s="42">
        <f t="shared" si="26"/>
        <v>0</v>
      </c>
      <c r="L107" s="42">
        <f t="shared" si="26"/>
        <v>0</v>
      </c>
      <c r="M107" s="42">
        <f t="shared" si="26"/>
        <v>0</v>
      </c>
      <c r="N107" s="42">
        <f t="shared" si="26"/>
        <v>0</v>
      </c>
      <c r="O107" s="42">
        <f t="shared" si="26"/>
        <v>-3.0018999999999996E-3</v>
      </c>
      <c r="P107" s="42">
        <f t="shared" si="26"/>
        <v>0</v>
      </c>
      <c r="Q107" s="42">
        <f t="shared" si="26"/>
        <v>0</v>
      </c>
      <c r="R107" s="42">
        <f t="shared" si="26"/>
        <v>0.8397003999999999</v>
      </c>
      <c r="S107" s="42">
        <f>R60*$C$8*$F$14</f>
        <v>0</v>
      </c>
      <c r="T107" s="42">
        <f>R60*$C$9*$F$14</f>
        <v>4.1380195999999998</v>
      </c>
      <c r="U107" s="42">
        <f t="shared" si="12"/>
        <v>4.1380195999999998</v>
      </c>
      <c r="V107" s="42">
        <f t="shared" si="22"/>
        <v>-4.1800006000000005</v>
      </c>
      <c r="W107" s="42">
        <f t="shared" si="22"/>
        <v>-0.67999909999999997</v>
      </c>
      <c r="X107" s="42">
        <f t="shared" si="22"/>
        <v>4.2500199999999995E-2</v>
      </c>
      <c r="Y107" s="42">
        <f>V60-AV107-AU107</f>
        <v>0</v>
      </c>
      <c r="Z107" s="42">
        <f t="shared" si="23"/>
        <v>0</v>
      </c>
      <c r="AA107" s="42">
        <f t="shared" si="23"/>
        <v>0</v>
      </c>
      <c r="AB107" s="42">
        <f t="shared" si="23"/>
        <v>5.7040000000000006</v>
      </c>
      <c r="AC107" s="42">
        <f t="shared" si="23"/>
        <v>1.8919982000000002</v>
      </c>
      <c r="AD107" s="42">
        <f t="shared" si="23"/>
        <v>0</v>
      </c>
      <c r="AE107" s="42">
        <f t="shared" si="23"/>
        <v>0</v>
      </c>
      <c r="AF107" s="42">
        <f t="shared" si="23"/>
        <v>-6.1489981999999994</v>
      </c>
      <c r="AG107" s="42">
        <f t="shared" si="23"/>
        <v>0</v>
      </c>
      <c r="AH107" s="42">
        <f t="shared" si="23"/>
        <v>-5.3675990000000002</v>
      </c>
      <c r="AI107" s="42">
        <f t="shared" si="23"/>
        <v>7.1200009</v>
      </c>
      <c r="AJ107" s="42">
        <f t="shared" si="24"/>
        <v>3.1680008000000002</v>
      </c>
      <c r="AK107" s="42">
        <f t="shared" si="24"/>
        <v>0</v>
      </c>
      <c r="AL107" s="42">
        <f t="shared" si="24"/>
        <v>2.3520019000000003</v>
      </c>
      <c r="AM107" s="42">
        <f t="shared" si="24"/>
        <v>-4.5240006999999993</v>
      </c>
      <c r="AN107" s="42">
        <f t="shared" si="24"/>
        <v>0</v>
      </c>
      <c r="AO107" s="42">
        <f t="shared" si="24"/>
        <v>0.15999860000000002</v>
      </c>
      <c r="AP107" s="42">
        <f t="shared" si="24"/>
        <v>7.9200020999999996</v>
      </c>
      <c r="AQ107" s="42">
        <f t="shared" si="25"/>
        <v>1.43984E-2</v>
      </c>
      <c r="AR107" s="42">
        <f t="shared" si="25"/>
        <v>-2.6000000000000002E-2</v>
      </c>
      <c r="AS107" s="42">
        <f t="shared" si="25"/>
        <v>11.215838499999998</v>
      </c>
      <c r="AT107" s="26"/>
      <c r="AU107" s="42">
        <f>V60*$F$17</f>
        <v>0</v>
      </c>
      <c r="AV107" s="42">
        <f>V60*$F$18</f>
        <v>0</v>
      </c>
      <c r="AW107" s="26"/>
      <c r="AX107" s="26"/>
      <c r="AY107" s="26"/>
      <c r="AZ107" s="22"/>
    </row>
    <row r="108" spans="1:52">
      <c r="A108" s="39"/>
      <c r="B108" s="39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2"/>
    </row>
    <row r="109" spans="1:52" ht="18.75" thickBot="1">
      <c r="A109" s="114" t="s">
        <v>192</v>
      </c>
      <c r="B109" s="115"/>
      <c r="C109" s="427" t="str">
        <f t="shared" ref="C109:AR109" si="27">C97</f>
        <v>CONHCO</v>
      </c>
      <c r="D109" s="427" t="str">
        <f t="shared" si="27"/>
        <v>CONBCO</v>
      </c>
      <c r="E109" s="427" t="str">
        <f t="shared" si="27"/>
        <v>CONOVC</v>
      </c>
      <c r="F109" s="427" t="str">
        <f t="shared" si="27"/>
        <v>CONGSC</v>
      </c>
      <c r="G109" s="427" t="str">
        <f t="shared" si="27"/>
        <v>GANGWG</v>
      </c>
      <c r="H109" s="427" t="str">
        <f t="shared" si="27"/>
        <v>GANCOG</v>
      </c>
      <c r="I109" s="427" t="str">
        <f t="shared" si="27"/>
        <v>GANBFG</v>
      </c>
      <c r="J109" s="427" t="str">
        <f t="shared" si="27"/>
        <v>GANOXY</v>
      </c>
      <c r="K109" s="427" t="str">
        <f t="shared" si="27"/>
        <v>BIOCHR</v>
      </c>
      <c r="L109" s="427" t="str">
        <f t="shared" si="27"/>
        <v>BIOBSL</v>
      </c>
      <c r="M109" s="427" t="str">
        <f t="shared" si="27"/>
        <v>BIOBIN</v>
      </c>
      <c r="N109" s="427" t="str">
        <f t="shared" si="27"/>
        <v>BIOBMU</v>
      </c>
      <c r="O109" s="427" t="str">
        <f t="shared" si="27"/>
        <v>BIOGAS</v>
      </c>
      <c r="P109" s="427" t="str">
        <f t="shared" si="27"/>
        <v>BIOLIQ</v>
      </c>
      <c r="Q109" s="427" t="str">
        <f t="shared" si="27"/>
        <v>BIOREN</v>
      </c>
      <c r="R109" s="427" t="str">
        <f t="shared" si="27"/>
        <v>GANNGA</v>
      </c>
      <c r="S109" s="427" t="str">
        <f t="shared" si="27"/>
        <v>OINCRL</v>
      </c>
      <c r="T109" s="427" t="str">
        <f t="shared" si="27"/>
        <v>OINCRH</v>
      </c>
      <c r="U109" s="427" t="str">
        <f t="shared" si="27"/>
        <v>OINCRD</v>
      </c>
      <c r="V109" s="427" t="str">
        <f t="shared" si="27"/>
        <v>OINNGL</v>
      </c>
      <c r="W109" s="427" t="str">
        <f t="shared" si="27"/>
        <v>OINFEE</v>
      </c>
      <c r="X109" s="427" t="str">
        <f t="shared" si="27"/>
        <v>OINADD</v>
      </c>
      <c r="Y109" s="427" t="str">
        <f t="shared" si="27"/>
        <v>OINNCR</v>
      </c>
      <c r="Z109" s="427" t="str">
        <f t="shared" si="27"/>
        <v>GANRFG</v>
      </c>
      <c r="AA109" s="427" t="str">
        <f t="shared" si="27"/>
        <v>GANETH</v>
      </c>
      <c r="AB109" s="427" t="str">
        <f t="shared" si="27"/>
        <v>OINLPG</v>
      </c>
      <c r="AC109" s="427" t="str">
        <f t="shared" si="27"/>
        <v>OINGSL</v>
      </c>
      <c r="AD109" s="427" t="str">
        <f t="shared" si="27"/>
        <v>OINAVG</v>
      </c>
      <c r="AE109" s="427" t="str">
        <f t="shared" si="27"/>
        <v>OINJTG</v>
      </c>
      <c r="AF109" s="427" t="str">
        <f t="shared" si="27"/>
        <v>OINJTK</v>
      </c>
      <c r="AG109" s="427" t="str">
        <f t="shared" si="27"/>
        <v>OINKER</v>
      </c>
      <c r="AH109" s="427" t="str">
        <f t="shared" si="27"/>
        <v>OINDST</v>
      </c>
      <c r="AI109" s="427" t="str">
        <f t="shared" si="27"/>
        <v>OINHFO</v>
      </c>
      <c r="AJ109" s="427" t="str">
        <f t="shared" si="27"/>
        <v>OINNAP</v>
      </c>
      <c r="AK109" s="427" t="str">
        <f t="shared" si="27"/>
        <v>OINWSP</v>
      </c>
      <c r="AL109" s="427" t="str">
        <f t="shared" si="27"/>
        <v>OINLUB</v>
      </c>
      <c r="AM109" s="427" t="str">
        <f t="shared" si="27"/>
        <v>OINASP</v>
      </c>
      <c r="AN109" s="427" t="str">
        <f t="shared" si="27"/>
        <v>OINWAX</v>
      </c>
      <c r="AO109" s="427" t="str">
        <f t="shared" si="27"/>
        <v>OINPTC</v>
      </c>
      <c r="AP109" s="427" t="str">
        <f t="shared" si="27"/>
        <v>OINNSP</v>
      </c>
      <c r="AQ109" s="427" t="str">
        <f t="shared" si="27"/>
        <v>ELCC</v>
      </c>
      <c r="AR109" s="427" t="str">
        <f t="shared" si="27"/>
        <v>HET</v>
      </c>
      <c r="AS109" s="427"/>
      <c r="AT109" s="123"/>
      <c r="AU109" s="123"/>
      <c r="AV109" s="123"/>
      <c r="AW109" s="123"/>
      <c r="AX109" s="123"/>
      <c r="AY109" s="123"/>
      <c r="AZ109" s="22"/>
    </row>
    <row r="110" spans="1:52">
      <c r="A110" s="129" t="str">
        <f>A94</f>
        <v>PIPELINE</v>
      </c>
      <c r="B110" s="130"/>
      <c r="C110" s="131">
        <f t="shared" ref="C110:R110" si="28">B94</f>
        <v>0</v>
      </c>
      <c r="D110" s="131">
        <f t="shared" si="28"/>
        <v>0</v>
      </c>
      <c r="E110" s="131">
        <f t="shared" si="28"/>
        <v>0</v>
      </c>
      <c r="F110" s="131">
        <f t="shared" si="28"/>
        <v>0</v>
      </c>
      <c r="G110" s="131">
        <f t="shared" si="28"/>
        <v>0</v>
      </c>
      <c r="H110" s="131">
        <f t="shared" si="28"/>
        <v>0</v>
      </c>
      <c r="I110" s="131">
        <f t="shared" si="28"/>
        <v>0</v>
      </c>
      <c r="J110" s="131">
        <f t="shared" si="28"/>
        <v>0</v>
      </c>
      <c r="K110" s="131">
        <f t="shared" si="28"/>
        <v>0</v>
      </c>
      <c r="L110" s="131">
        <f t="shared" si="28"/>
        <v>0</v>
      </c>
      <c r="M110" s="131">
        <f t="shared" si="28"/>
        <v>0</v>
      </c>
      <c r="N110" s="131">
        <f t="shared" si="28"/>
        <v>0</v>
      </c>
      <c r="O110" s="131">
        <f t="shared" si="28"/>
        <v>0</v>
      </c>
      <c r="P110" s="131">
        <f t="shared" si="28"/>
        <v>0</v>
      </c>
      <c r="Q110" s="131">
        <f t="shared" si="28"/>
        <v>0</v>
      </c>
      <c r="R110" s="131">
        <f t="shared" si="28"/>
        <v>5.04007E-2</v>
      </c>
      <c r="S110" s="132">
        <f>R94*C8</f>
        <v>0</v>
      </c>
      <c r="T110" s="132">
        <f>R94*C9</f>
        <v>0</v>
      </c>
      <c r="U110" s="42">
        <f>S110+T110</f>
        <v>0</v>
      </c>
      <c r="V110" s="131">
        <f t="shared" ref="V110:AP110" si="29">S94</f>
        <v>0</v>
      </c>
      <c r="W110" s="131">
        <f t="shared" si="29"/>
        <v>0</v>
      </c>
      <c r="X110" s="131">
        <f t="shared" si="29"/>
        <v>0</v>
      </c>
      <c r="Y110" s="131">
        <f t="shared" si="29"/>
        <v>0</v>
      </c>
      <c r="Z110" s="131">
        <f t="shared" si="29"/>
        <v>0</v>
      </c>
      <c r="AA110" s="131">
        <f t="shared" si="29"/>
        <v>0</v>
      </c>
      <c r="AB110" s="131">
        <f t="shared" si="29"/>
        <v>0</v>
      </c>
      <c r="AC110" s="131">
        <f t="shared" si="29"/>
        <v>0</v>
      </c>
      <c r="AD110" s="131">
        <f t="shared" si="29"/>
        <v>0</v>
      </c>
      <c r="AE110" s="131">
        <f t="shared" si="29"/>
        <v>0</v>
      </c>
      <c r="AF110" s="131">
        <f t="shared" si="29"/>
        <v>0</v>
      </c>
      <c r="AG110" s="131">
        <f t="shared" si="29"/>
        <v>0</v>
      </c>
      <c r="AH110" s="131">
        <f t="shared" si="29"/>
        <v>0</v>
      </c>
      <c r="AI110" s="131">
        <f t="shared" si="29"/>
        <v>0</v>
      </c>
      <c r="AJ110" s="131">
        <f t="shared" si="29"/>
        <v>0</v>
      </c>
      <c r="AK110" s="131">
        <f t="shared" si="29"/>
        <v>0</v>
      </c>
      <c r="AL110" s="131">
        <f t="shared" si="29"/>
        <v>0</v>
      </c>
      <c r="AM110" s="131">
        <f t="shared" si="29"/>
        <v>0</v>
      </c>
      <c r="AN110" s="131">
        <f t="shared" si="29"/>
        <v>0</v>
      </c>
      <c r="AO110" s="131">
        <f t="shared" si="29"/>
        <v>0</v>
      </c>
      <c r="AP110" s="131">
        <f t="shared" si="29"/>
        <v>0</v>
      </c>
      <c r="AQ110" s="131">
        <f>AU94</f>
        <v>0</v>
      </c>
      <c r="AR110" s="131">
        <f>AV94</f>
        <v>0</v>
      </c>
      <c r="AS110" s="131">
        <f>AW94</f>
        <v>5.04007E-2</v>
      </c>
      <c r="AT110" s="54"/>
      <c r="AU110" s="54"/>
      <c r="AV110" s="54"/>
      <c r="AW110" s="54"/>
      <c r="AX110" s="54"/>
      <c r="AY110" s="54"/>
      <c r="AZ110" s="22"/>
    </row>
    <row r="111" spans="1:52">
      <c r="A111" s="113"/>
      <c r="B111" s="113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54"/>
      <c r="AS111" s="54"/>
      <c r="AT111" s="54"/>
      <c r="AU111" s="54"/>
      <c r="AV111" s="54"/>
      <c r="AW111" s="54"/>
      <c r="AX111" s="54"/>
      <c r="AY111" s="54"/>
      <c r="AZ111" s="22"/>
    </row>
    <row r="112" spans="1:52" ht="18">
      <c r="A112" s="114" t="s">
        <v>193</v>
      </c>
      <c r="B112" s="115"/>
      <c r="C112" s="18"/>
      <c r="D112" s="18"/>
      <c r="E112" s="18"/>
      <c r="F112" s="66"/>
      <c r="G112" s="66"/>
      <c r="H112" s="66"/>
      <c r="I112" s="6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54"/>
      <c r="AY112" s="54"/>
      <c r="AZ112" s="22"/>
    </row>
    <row r="113" spans="1:52" ht="13.5" thickBot="1">
      <c r="A113" s="119"/>
      <c r="B113" s="120"/>
      <c r="C113" s="133" t="str">
        <f t="shared" ref="C113:R113" si="30">C97</f>
        <v>CONHCO</v>
      </c>
      <c r="D113" s="133" t="str">
        <f t="shared" si="30"/>
        <v>CONBCO</v>
      </c>
      <c r="E113" s="133" t="str">
        <f t="shared" si="30"/>
        <v>CONOVC</v>
      </c>
      <c r="F113" s="133" t="str">
        <f t="shared" si="30"/>
        <v>CONGSC</v>
      </c>
      <c r="G113" s="133" t="str">
        <f t="shared" si="30"/>
        <v>GANGWG</v>
      </c>
      <c r="H113" s="133" t="str">
        <f t="shared" si="30"/>
        <v>GANCOG</v>
      </c>
      <c r="I113" s="133" t="str">
        <f t="shared" si="30"/>
        <v>GANBFG</v>
      </c>
      <c r="J113" s="133" t="str">
        <f t="shared" si="30"/>
        <v>GANOXY</v>
      </c>
      <c r="K113" s="133" t="str">
        <f t="shared" si="30"/>
        <v>BIOCHR</v>
      </c>
      <c r="L113" s="133" t="str">
        <f t="shared" si="30"/>
        <v>BIOBSL</v>
      </c>
      <c r="M113" s="133" t="str">
        <f t="shared" si="30"/>
        <v>BIOBIN</v>
      </c>
      <c r="N113" s="133" t="str">
        <f t="shared" si="30"/>
        <v>BIOBMU</v>
      </c>
      <c r="O113" s="133" t="str">
        <f t="shared" si="30"/>
        <v>BIOGAS</v>
      </c>
      <c r="P113" s="133" t="str">
        <f t="shared" si="30"/>
        <v>BIOLIQ</v>
      </c>
      <c r="Q113" s="133" t="str">
        <f t="shared" si="30"/>
        <v>BIOREN</v>
      </c>
      <c r="R113" s="133" t="str">
        <f t="shared" si="30"/>
        <v>GANNGA</v>
      </c>
      <c r="S113" s="134" t="str">
        <f t="shared" ref="S113:AP113" si="31">U109</f>
        <v>OINCRD</v>
      </c>
      <c r="T113" s="134" t="str">
        <f t="shared" si="31"/>
        <v>OINNGL</v>
      </c>
      <c r="U113" s="134" t="str">
        <f t="shared" si="31"/>
        <v>OINFEE</v>
      </c>
      <c r="V113" s="134" t="str">
        <f t="shared" si="31"/>
        <v>OINADD</v>
      </c>
      <c r="W113" s="134" t="str">
        <f t="shared" si="31"/>
        <v>OINNCR</v>
      </c>
      <c r="X113" s="134" t="str">
        <f t="shared" si="31"/>
        <v>GANRFG</v>
      </c>
      <c r="Y113" s="134" t="str">
        <f t="shared" si="31"/>
        <v>GANETH</v>
      </c>
      <c r="Z113" s="134" t="str">
        <f t="shared" si="31"/>
        <v>OINLPG</v>
      </c>
      <c r="AA113" s="134" t="str">
        <f t="shared" si="31"/>
        <v>OINGSL</v>
      </c>
      <c r="AB113" s="134" t="str">
        <f t="shared" si="31"/>
        <v>OINAVG</v>
      </c>
      <c r="AC113" s="134" t="str">
        <f t="shared" si="31"/>
        <v>OINJTG</v>
      </c>
      <c r="AD113" s="134" t="str">
        <f t="shared" si="31"/>
        <v>OINJTK</v>
      </c>
      <c r="AE113" s="134" t="str">
        <f t="shared" si="31"/>
        <v>OINKER</v>
      </c>
      <c r="AF113" s="134" t="str">
        <f t="shared" si="31"/>
        <v>OINDST</v>
      </c>
      <c r="AG113" s="134" t="str">
        <f t="shared" si="31"/>
        <v>OINHFO</v>
      </c>
      <c r="AH113" s="134" t="str">
        <f t="shared" si="31"/>
        <v>OINNAP</v>
      </c>
      <c r="AI113" s="134" t="str">
        <f t="shared" si="31"/>
        <v>OINWSP</v>
      </c>
      <c r="AJ113" s="134" t="str">
        <f t="shared" si="31"/>
        <v>OINLUB</v>
      </c>
      <c r="AK113" s="134" t="str">
        <f t="shared" si="31"/>
        <v>OINASP</v>
      </c>
      <c r="AL113" s="134" t="str">
        <f t="shared" si="31"/>
        <v>OINWAX</v>
      </c>
      <c r="AM113" s="134" t="str">
        <f t="shared" si="31"/>
        <v>OINPTC</v>
      </c>
      <c r="AN113" s="134" t="str">
        <f t="shared" si="31"/>
        <v>OINNSP</v>
      </c>
      <c r="AO113" s="134" t="str">
        <f t="shared" si="31"/>
        <v>ELCC</v>
      </c>
      <c r="AP113" s="134" t="str">
        <f t="shared" si="31"/>
        <v>HET</v>
      </c>
      <c r="AQ113" s="134"/>
      <c r="AR113" s="123"/>
      <c r="AS113" s="123"/>
      <c r="AT113" s="123"/>
      <c r="AU113" s="123"/>
      <c r="AV113" s="123"/>
      <c r="AW113" s="123"/>
      <c r="AX113" s="123"/>
      <c r="AY113" s="123"/>
      <c r="AZ113" s="22"/>
    </row>
    <row r="114" spans="1:52">
      <c r="A114" s="107" t="str">
        <f t="shared" ref="A114:A121" si="32">A68</f>
        <v>THEAT</v>
      </c>
      <c r="B114" s="135" t="s">
        <v>194</v>
      </c>
      <c r="C114" s="42">
        <f t="shared" ref="C114:AN114" si="33">B68</f>
        <v>0</v>
      </c>
      <c r="D114" s="42">
        <f t="shared" si="33"/>
        <v>0</v>
      </c>
      <c r="E114" s="42">
        <f t="shared" si="33"/>
        <v>0</v>
      </c>
      <c r="F114" s="42">
        <f t="shared" si="33"/>
        <v>0</v>
      </c>
      <c r="G114" s="42">
        <f t="shared" si="33"/>
        <v>0</v>
      </c>
      <c r="H114" s="42">
        <f t="shared" si="33"/>
        <v>0</v>
      </c>
      <c r="I114" s="42">
        <f t="shared" si="33"/>
        <v>0</v>
      </c>
      <c r="J114" s="42">
        <f t="shared" si="33"/>
        <v>0</v>
      </c>
      <c r="K114" s="42">
        <f t="shared" si="33"/>
        <v>0</v>
      </c>
      <c r="L114" s="42">
        <f t="shared" si="33"/>
        <v>0</v>
      </c>
      <c r="M114" s="42">
        <f t="shared" si="33"/>
        <v>0</v>
      </c>
      <c r="N114" s="42">
        <f t="shared" si="33"/>
        <v>0</v>
      </c>
      <c r="O114" s="42">
        <f t="shared" si="33"/>
        <v>0</v>
      </c>
      <c r="P114" s="42">
        <f t="shared" si="33"/>
        <v>0</v>
      </c>
      <c r="Q114" s="42">
        <f t="shared" si="33"/>
        <v>0</v>
      </c>
      <c r="R114" s="42">
        <f t="shared" si="33"/>
        <v>0</v>
      </c>
      <c r="S114" s="42">
        <f t="shared" si="33"/>
        <v>0</v>
      </c>
      <c r="T114" s="42">
        <f t="shared" si="33"/>
        <v>0</v>
      </c>
      <c r="U114" s="42">
        <f t="shared" si="33"/>
        <v>0</v>
      </c>
      <c r="V114" s="42">
        <f t="shared" si="33"/>
        <v>0</v>
      </c>
      <c r="W114" s="42">
        <f t="shared" si="33"/>
        <v>0</v>
      </c>
      <c r="X114" s="42">
        <f t="shared" si="33"/>
        <v>0</v>
      </c>
      <c r="Y114" s="42">
        <f t="shared" si="33"/>
        <v>0</v>
      </c>
      <c r="Z114" s="42">
        <f t="shared" si="33"/>
        <v>0</v>
      </c>
      <c r="AA114" s="42">
        <f t="shared" si="33"/>
        <v>0</v>
      </c>
      <c r="AB114" s="42">
        <f t="shared" si="33"/>
        <v>0</v>
      </c>
      <c r="AC114" s="42">
        <f t="shared" si="33"/>
        <v>0</v>
      </c>
      <c r="AD114" s="42">
        <f t="shared" si="33"/>
        <v>0</v>
      </c>
      <c r="AE114" s="42">
        <f t="shared" si="33"/>
        <v>0</v>
      </c>
      <c r="AF114" s="42">
        <f t="shared" si="33"/>
        <v>0</v>
      </c>
      <c r="AG114" s="42">
        <f t="shared" si="33"/>
        <v>0</v>
      </c>
      <c r="AH114" s="42">
        <f t="shared" si="33"/>
        <v>0</v>
      </c>
      <c r="AI114" s="42">
        <f t="shared" si="33"/>
        <v>0</v>
      </c>
      <c r="AJ114" s="42">
        <f t="shared" si="33"/>
        <v>0</v>
      </c>
      <c r="AK114" s="42">
        <f t="shared" si="33"/>
        <v>0</v>
      </c>
      <c r="AL114" s="42">
        <f t="shared" si="33"/>
        <v>0</v>
      </c>
      <c r="AM114" s="42">
        <f t="shared" si="33"/>
        <v>0</v>
      </c>
      <c r="AN114" s="42">
        <f t="shared" si="33"/>
        <v>0</v>
      </c>
      <c r="AO114" s="42">
        <f t="shared" ref="AO114:AQ121" si="34">AU68</f>
        <v>-1.4436003000000002</v>
      </c>
      <c r="AP114" s="42">
        <f t="shared" si="34"/>
        <v>1.4436003000000002</v>
      </c>
      <c r="AQ114" s="42">
        <f t="shared" si="34"/>
        <v>0</v>
      </c>
      <c r="AR114" s="51"/>
      <c r="AS114" s="51"/>
      <c r="AT114" s="51"/>
      <c r="AU114" s="51"/>
      <c r="AV114" s="51"/>
      <c r="AW114" s="51"/>
      <c r="AX114" s="55"/>
      <c r="AY114" s="55"/>
      <c r="AZ114" s="22"/>
    </row>
    <row r="115" spans="1:52">
      <c r="A115" s="107" t="str">
        <f t="shared" si="32"/>
        <v>TBOILER</v>
      </c>
      <c r="B115" s="135" t="s">
        <v>195</v>
      </c>
      <c r="C115" s="42">
        <f t="shared" ref="C115:AN115" si="35">B69</f>
        <v>0</v>
      </c>
      <c r="D115" s="42">
        <f t="shared" si="35"/>
        <v>0</v>
      </c>
      <c r="E115" s="42">
        <f t="shared" si="35"/>
        <v>0</v>
      </c>
      <c r="F115" s="42">
        <f t="shared" si="35"/>
        <v>0</v>
      </c>
      <c r="G115" s="42">
        <f t="shared" si="35"/>
        <v>0</v>
      </c>
      <c r="H115" s="42">
        <f t="shared" si="35"/>
        <v>0</v>
      </c>
      <c r="I115" s="42">
        <f t="shared" si="35"/>
        <v>0</v>
      </c>
      <c r="J115" s="42">
        <f t="shared" si="35"/>
        <v>0</v>
      </c>
      <c r="K115" s="42">
        <f t="shared" si="35"/>
        <v>0</v>
      </c>
      <c r="L115" s="42">
        <f t="shared" si="35"/>
        <v>0</v>
      </c>
      <c r="M115" s="42">
        <f t="shared" si="35"/>
        <v>0</v>
      </c>
      <c r="N115" s="42">
        <f t="shared" si="35"/>
        <v>0</v>
      </c>
      <c r="O115" s="42">
        <f t="shared" si="35"/>
        <v>0</v>
      </c>
      <c r="P115" s="42">
        <f t="shared" si="35"/>
        <v>0</v>
      </c>
      <c r="Q115" s="42">
        <f t="shared" si="35"/>
        <v>0</v>
      </c>
      <c r="R115" s="42">
        <f t="shared" si="35"/>
        <v>0</v>
      </c>
      <c r="S115" s="42">
        <f t="shared" si="35"/>
        <v>0</v>
      </c>
      <c r="T115" s="42">
        <f t="shared" si="35"/>
        <v>0</v>
      </c>
      <c r="U115" s="42">
        <f t="shared" si="35"/>
        <v>0</v>
      </c>
      <c r="V115" s="42">
        <f t="shared" si="35"/>
        <v>0</v>
      </c>
      <c r="W115" s="42">
        <f t="shared" si="35"/>
        <v>0</v>
      </c>
      <c r="X115" s="42">
        <f t="shared" si="35"/>
        <v>0</v>
      </c>
      <c r="Y115" s="42">
        <f t="shared" si="35"/>
        <v>0</v>
      </c>
      <c r="Z115" s="42">
        <f t="shared" si="35"/>
        <v>0</v>
      </c>
      <c r="AA115" s="42">
        <f t="shared" si="35"/>
        <v>0</v>
      </c>
      <c r="AB115" s="42">
        <f t="shared" si="35"/>
        <v>0</v>
      </c>
      <c r="AC115" s="42">
        <f t="shared" si="35"/>
        <v>0</v>
      </c>
      <c r="AD115" s="42">
        <f t="shared" si="35"/>
        <v>0</v>
      </c>
      <c r="AE115" s="42">
        <f t="shared" si="35"/>
        <v>0</v>
      </c>
      <c r="AF115" s="42">
        <f t="shared" si="35"/>
        <v>0</v>
      </c>
      <c r="AG115" s="42">
        <f t="shared" si="35"/>
        <v>0</v>
      </c>
      <c r="AH115" s="42">
        <f t="shared" si="35"/>
        <v>0</v>
      </c>
      <c r="AI115" s="42">
        <f t="shared" si="35"/>
        <v>0</v>
      </c>
      <c r="AJ115" s="42">
        <f t="shared" si="35"/>
        <v>0</v>
      </c>
      <c r="AK115" s="42">
        <f t="shared" si="35"/>
        <v>0</v>
      </c>
      <c r="AL115" s="42">
        <f t="shared" si="35"/>
        <v>0</v>
      </c>
      <c r="AM115" s="42">
        <f t="shared" si="35"/>
        <v>0</v>
      </c>
      <c r="AN115" s="42">
        <f t="shared" si="35"/>
        <v>0</v>
      </c>
      <c r="AO115" s="42">
        <f t="shared" si="34"/>
        <v>-8.2798199999999988E-2</v>
      </c>
      <c r="AP115" s="42">
        <f t="shared" si="34"/>
        <v>7.4998099999999998E-2</v>
      </c>
      <c r="AQ115" s="42">
        <f t="shared" si="34"/>
        <v>-7.7999999999999996E-3</v>
      </c>
      <c r="AR115" s="51"/>
      <c r="AS115" s="51"/>
      <c r="AT115" s="51"/>
      <c r="AU115" s="51"/>
      <c r="AV115" s="51"/>
      <c r="AW115" s="51"/>
      <c r="AX115" s="55"/>
      <c r="AY115" s="48"/>
      <c r="AZ115" s="22"/>
    </row>
    <row r="116" spans="1:52">
      <c r="A116" s="107" t="str">
        <f t="shared" si="32"/>
        <v>TPATFUEL</v>
      </c>
      <c r="B116" s="135" t="s">
        <v>196</v>
      </c>
      <c r="C116" s="42">
        <f t="shared" ref="C116:AN116" si="36">B70</f>
        <v>0</v>
      </c>
      <c r="D116" s="42">
        <f t="shared" si="36"/>
        <v>0</v>
      </c>
      <c r="E116" s="42">
        <f t="shared" si="36"/>
        <v>0</v>
      </c>
      <c r="F116" s="42">
        <f t="shared" si="36"/>
        <v>0</v>
      </c>
      <c r="G116" s="42">
        <f t="shared" si="36"/>
        <v>0</v>
      </c>
      <c r="H116" s="42">
        <f t="shared" si="36"/>
        <v>0</v>
      </c>
      <c r="I116" s="42">
        <f t="shared" si="36"/>
        <v>0</v>
      </c>
      <c r="J116" s="42">
        <f t="shared" si="36"/>
        <v>0</v>
      </c>
      <c r="K116" s="42">
        <f t="shared" si="36"/>
        <v>0</v>
      </c>
      <c r="L116" s="42">
        <f t="shared" si="36"/>
        <v>0</v>
      </c>
      <c r="M116" s="42">
        <f t="shared" si="36"/>
        <v>0</v>
      </c>
      <c r="N116" s="42">
        <f t="shared" si="36"/>
        <v>0</v>
      </c>
      <c r="O116" s="42">
        <f t="shared" si="36"/>
        <v>0</v>
      </c>
      <c r="P116" s="42">
        <f t="shared" si="36"/>
        <v>0</v>
      </c>
      <c r="Q116" s="42">
        <f t="shared" si="36"/>
        <v>0</v>
      </c>
      <c r="R116" s="42">
        <f t="shared" si="36"/>
        <v>0</v>
      </c>
      <c r="S116" s="42">
        <f t="shared" si="36"/>
        <v>0</v>
      </c>
      <c r="T116" s="42">
        <f t="shared" si="36"/>
        <v>0</v>
      </c>
      <c r="U116" s="42">
        <f t="shared" si="36"/>
        <v>0</v>
      </c>
      <c r="V116" s="42">
        <f t="shared" si="36"/>
        <v>0</v>
      </c>
      <c r="W116" s="42">
        <f t="shared" si="36"/>
        <v>0</v>
      </c>
      <c r="X116" s="42">
        <f t="shared" si="36"/>
        <v>0</v>
      </c>
      <c r="Y116" s="42">
        <f t="shared" si="36"/>
        <v>0</v>
      </c>
      <c r="Z116" s="42">
        <f t="shared" si="36"/>
        <v>0</v>
      </c>
      <c r="AA116" s="42">
        <f t="shared" si="36"/>
        <v>0</v>
      </c>
      <c r="AB116" s="42">
        <f t="shared" si="36"/>
        <v>0</v>
      </c>
      <c r="AC116" s="42">
        <f t="shared" si="36"/>
        <v>0</v>
      </c>
      <c r="AD116" s="42">
        <f t="shared" si="36"/>
        <v>0</v>
      </c>
      <c r="AE116" s="42">
        <f t="shared" si="36"/>
        <v>0</v>
      </c>
      <c r="AF116" s="42">
        <f t="shared" si="36"/>
        <v>0</v>
      </c>
      <c r="AG116" s="42">
        <f t="shared" si="36"/>
        <v>0</v>
      </c>
      <c r="AH116" s="42">
        <f t="shared" si="36"/>
        <v>0</v>
      </c>
      <c r="AI116" s="42">
        <f t="shared" si="36"/>
        <v>0</v>
      </c>
      <c r="AJ116" s="42">
        <f t="shared" si="36"/>
        <v>0</v>
      </c>
      <c r="AK116" s="42">
        <f t="shared" si="36"/>
        <v>0</v>
      </c>
      <c r="AL116" s="42">
        <f t="shared" si="36"/>
        <v>0</v>
      </c>
      <c r="AM116" s="42">
        <f t="shared" si="36"/>
        <v>0</v>
      </c>
      <c r="AN116" s="42">
        <f t="shared" si="36"/>
        <v>0</v>
      </c>
      <c r="AO116" s="42">
        <f t="shared" si="34"/>
        <v>0</v>
      </c>
      <c r="AP116" s="42">
        <f t="shared" si="34"/>
        <v>0</v>
      </c>
      <c r="AQ116" s="42">
        <f t="shared" si="34"/>
        <v>0</v>
      </c>
      <c r="AR116" s="51"/>
      <c r="AS116" s="51"/>
      <c r="AT116" s="51"/>
      <c r="AU116" s="51"/>
      <c r="AV116" s="51"/>
      <c r="AW116" s="51"/>
      <c r="AX116" s="55"/>
      <c r="AY116" s="54"/>
      <c r="AZ116" s="22"/>
    </row>
    <row r="117" spans="1:52">
      <c r="A117" s="107" t="str">
        <f t="shared" si="32"/>
        <v>TCOKEOVS</v>
      </c>
      <c r="B117" s="135" t="s">
        <v>197</v>
      </c>
      <c r="C117" s="42">
        <f t="shared" ref="C117:AN117" si="37">B71</f>
        <v>-34.779098599999998</v>
      </c>
      <c r="D117" s="42">
        <f t="shared" si="37"/>
        <v>0</v>
      </c>
      <c r="E117" s="42">
        <f t="shared" si="37"/>
        <v>25.315201499999997</v>
      </c>
      <c r="F117" s="42">
        <f t="shared" si="37"/>
        <v>0</v>
      </c>
      <c r="G117" s="42">
        <f t="shared" si="37"/>
        <v>0</v>
      </c>
      <c r="H117" s="42">
        <f t="shared" si="37"/>
        <v>7.3773006999999993</v>
      </c>
      <c r="I117" s="42">
        <f t="shared" si="37"/>
        <v>0</v>
      </c>
      <c r="J117" s="42">
        <f t="shared" si="37"/>
        <v>0</v>
      </c>
      <c r="K117" s="42">
        <f t="shared" si="37"/>
        <v>0</v>
      </c>
      <c r="L117" s="42">
        <f t="shared" si="37"/>
        <v>0</v>
      </c>
      <c r="M117" s="42">
        <f t="shared" si="37"/>
        <v>0</v>
      </c>
      <c r="N117" s="42">
        <f t="shared" si="37"/>
        <v>0</v>
      </c>
      <c r="O117" s="42">
        <f t="shared" si="37"/>
        <v>0</v>
      </c>
      <c r="P117" s="42">
        <f t="shared" si="37"/>
        <v>0</v>
      </c>
      <c r="Q117" s="42">
        <f t="shared" si="37"/>
        <v>0</v>
      </c>
      <c r="R117" s="42">
        <f t="shared" si="37"/>
        <v>0</v>
      </c>
      <c r="S117" s="42">
        <f t="shared" si="37"/>
        <v>0</v>
      </c>
      <c r="T117" s="42">
        <f t="shared" si="37"/>
        <v>0</v>
      </c>
      <c r="U117" s="42">
        <f t="shared" si="37"/>
        <v>0</v>
      </c>
      <c r="V117" s="42">
        <f t="shared" si="37"/>
        <v>0</v>
      </c>
      <c r="W117" s="42">
        <f t="shared" si="37"/>
        <v>0</v>
      </c>
      <c r="X117" s="42">
        <f t="shared" si="37"/>
        <v>0</v>
      </c>
      <c r="Y117" s="42">
        <f t="shared" si="37"/>
        <v>0</v>
      </c>
      <c r="Z117" s="42">
        <f t="shared" si="37"/>
        <v>0</v>
      </c>
      <c r="AA117" s="42">
        <f t="shared" si="37"/>
        <v>0</v>
      </c>
      <c r="AB117" s="42">
        <f t="shared" si="37"/>
        <v>0</v>
      </c>
      <c r="AC117" s="42">
        <f t="shared" si="37"/>
        <v>0</v>
      </c>
      <c r="AD117" s="42">
        <f t="shared" si="37"/>
        <v>0</v>
      </c>
      <c r="AE117" s="42">
        <f t="shared" si="37"/>
        <v>0</v>
      </c>
      <c r="AF117" s="42">
        <f t="shared" si="37"/>
        <v>0</v>
      </c>
      <c r="AG117" s="42">
        <f t="shared" si="37"/>
        <v>0</v>
      </c>
      <c r="AH117" s="42">
        <f t="shared" si="37"/>
        <v>0</v>
      </c>
      <c r="AI117" s="42">
        <f t="shared" si="37"/>
        <v>0</v>
      </c>
      <c r="AJ117" s="42">
        <f t="shared" si="37"/>
        <v>0</v>
      </c>
      <c r="AK117" s="42">
        <f t="shared" si="37"/>
        <v>0</v>
      </c>
      <c r="AL117" s="42">
        <f t="shared" si="37"/>
        <v>0</v>
      </c>
      <c r="AM117" s="42">
        <f t="shared" si="37"/>
        <v>0</v>
      </c>
      <c r="AN117" s="42">
        <f t="shared" si="37"/>
        <v>0</v>
      </c>
      <c r="AO117" s="42">
        <f t="shared" si="34"/>
        <v>0</v>
      </c>
      <c r="AP117" s="42">
        <f t="shared" si="34"/>
        <v>0</v>
      </c>
      <c r="AQ117" s="42">
        <f t="shared" si="34"/>
        <v>-0.75459529999999997</v>
      </c>
      <c r="AR117" s="51"/>
      <c r="AS117" s="51"/>
      <c r="AT117" s="51"/>
      <c r="AU117" s="51"/>
      <c r="AV117" s="51"/>
      <c r="AW117" s="51"/>
      <c r="AX117" s="55"/>
      <c r="AY117" s="54"/>
      <c r="AZ117" s="22"/>
    </row>
    <row r="118" spans="1:52">
      <c r="A118" s="107" t="str">
        <f t="shared" si="32"/>
        <v>TGASWKS</v>
      </c>
      <c r="B118" s="135" t="s">
        <v>198</v>
      </c>
      <c r="C118" s="42">
        <f t="shared" ref="C118:AN118" si="38">B72</f>
        <v>0</v>
      </c>
      <c r="D118" s="42">
        <f t="shared" si="38"/>
        <v>0</v>
      </c>
      <c r="E118" s="42">
        <f t="shared" si="38"/>
        <v>0</v>
      </c>
      <c r="F118" s="42">
        <f t="shared" si="38"/>
        <v>0</v>
      </c>
      <c r="G118" s="42">
        <f t="shared" si="38"/>
        <v>0</v>
      </c>
      <c r="H118" s="42">
        <f t="shared" si="38"/>
        <v>0</v>
      </c>
      <c r="I118" s="42">
        <f t="shared" si="38"/>
        <v>0</v>
      </c>
      <c r="J118" s="42">
        <f t="shared" si="38"/>
        <v>0</v>
      </c>
      <c r="K118" s="42">
        <f t="shared" si="38"/>
        <v>0</v>
      </c>
      <c r="L118" s="42">
        <f t="shared" si="38"/>
        <v>0</v>
      </c>
      <c r="M118" s="42">
        <f t="shared" si="38"/>
        <v>0</v>
      </c>
      <c r="N118" s="42">
        <f t="shared" si="38"/>
        <v>0</v>
      </c>
      <c r="O118" s="42">
        <f t="shared" si="38"/>
        <v>0</v>
      </c>
      <c r="P118" s="42">
        <f t="shared" si="38"/>
        <v>0</v>
      </c>
      <c r="Q118" s="42">
        <f t="shared" si="38"/>
        <v>0</v>
      </c>
      <c r="R118" s="42">
        <f t="shared" si="38"/>
        <v>0</v>
      </c>
      <c r="S118" s="42">
        <f t="shared" si="38"/>
        <v>0</v>
      </c>
      <c r="T118" s="42">
        <f t="shared" si="38"/>
        <v>0</v>
      </c>
      <c r="U118" s="42">
        <f t="shared" si="38"/>
        <v>0</v>
      </c>
      <c r="V118" s="42">
        <f t="shared" si="38"/>
        <v>0</v>
      </c>
      <c r="W118" s="42">
        <f t="shared" si="38"/>
        <v>0</v>
      </c>
      <c r="X118" s="42">
        <f t="shared" si="38"/>
        <v>0</v>
      </c>
      <c r="Y118" s="42">
        <f t="shared" si="38"/>
        <v>0</v>
      </c>
      <c r="Z118" s="42">
        <f t="shared" si="38"/>
        <v>0</v>
      </c>
      <c r="AA118" s="42">
        <f t="shared" si="38"/>
        <v>0</v>
      </c>
      <c r="AB118" s="42">
        <f t="shared" si="38"/>
        <v>0</v>
      </c>
      <c r="AC118" s="42">
        <f t="shared" si="38"/>
        <v>0</v>
      </c>
      <c r="AD118" s="42">
        <f t="shared" si="38"/>
        <v>0</v>
      </c>
      <c r="AE118" s="42">
        <f t="shared" si="38"/>
        <v>0</v>
      </c>
      <c r="AF118" s="42">
        <f t="shared" si="38"/>
        <v>0</v>
      </c>
      <c r="AG118" s="42">
        <f t="shared" si="38"/>
        <v>0</v>
      </c>
      <c r="AH118" s="42">
        <f t="shared" si="38"/>
        <v>0</v>
      </c>
      <c r="AI118" s="42">
        <f t="shared" si="38"/>
        <v>0</v>
      </c>
      <c r="AJ118" s="42">
        <f t="shared" si="38"/>
        <v>0</v>
      </c>
      <c r="AK118" s="42">
        <f t="shared" si="38"/>
        <v>0</v>
      </c>
      <c r="AL118" s="42">
        <f t="shared" si="38"/>
        <v>0</v>
      </c>
      <c r="AM118" s="42">
        <f t="shared" si="38"/>
        <v>0</v>
      </c>
      <c r="AN118" s="42">
        <f t="shared" si="38"/>
        <v>0</v>
      </c>
      <c r="AO118" s="42">
        <f t="shared" si="34"/>
        <v>0</v>
      </c>
      <c r="AP118" s="42">
        <f t="shared" si="34"/>
        <v>0</v>
      </c>
      <c r="AQ118" s="42">
        <f t="shared" si="34"/>
        <v>0</v>
      </c>
      <c r="AR118" s="51"/>
      <c r="AS118" s="51"/>
      <c r="AT118" s="51"/>
      <c r="AU118" s="51"/>
      <c r="AV118" s="51"/>
      <c r="AW118" s="51"/>
      <c r="AX118" s="55"/>
      <c r="AY118" s="54"/>
      <c r="AZ118" s="22"/>
    </row>
    <row r="119" spans="1:52">
      <c r="A119" s="107" t="str">
        <f t="shared" si="32"/>
        <v>BLASTFUR</v>
      </c>
      <c r="B119" s="135" t="s">
        <v>199</v>
      </c>
      <c r="C119" s="42">
        <f t="shared" ref="C119:D121" si="39">B73</f>
        <v>-9.0688181000000014</v>
      </c>
      <c r="D119" s="42">
        <f t="shared" si="39"/>
        <v>0</v>
      </c>
      <c r="E119" s="42">
        <f>D73+D78</f>
        <v>-24.2311008</v>
      </c>
      <c r="F119" s="42">
        <f t="shared" ref="F119:G121" si="40">E73</f>
        <v>0</v>
      </c>
      <c r="G119" s="42">
        <f t="shared" si="40"/>
        <v>0</v>
      </c>
      <c r="H119" s="102">
        <f>G73+I91</f>
        <v>-0.81770290000000001</v>
      </c>
      <c r="I119" s="42">
        <f>H73</f>
        <v>7.1559990000000004</v>
      </c>
      <c r="J119" s="102">
        <f>I73+I78</f>
        <v>3.4100021000000003</v>
      </c>
      <c r="K119" s="42">
        <f t="shared" ref="K119:AN119" si="41">J73</f>
        <v>0</v>
      </c>
      <c r="L119" s="42">
        <f t="shared" si="41"/>
        <v>0</v>
      </c>
      <c r="M119" s="42">
        <f t="shared" si="41"/>
        <v>0</v>
      </c>
      <c r="N119" s="42">
        <f t="shared" si="41"/>
        <v>0</v>
      </c>
      <c r="O119" s="42">
        <f t="shared" si="41"/>
        <v>0</v>
      </c>
      <c r="P119" s="42">
        <f t="shared" si="41"/>
        <v>0</v>
      </c>
      <c r="Q119" s="42">
        <f t="shared" si="41"/>
        <v>0</v>
      </c>
      <c r="R119" s="42">
        <f t="shared" si="41"/>
        <v>0</v>
      </c>
      <c r="S119" s="42">
        <f t="shared" si="41"/>
        <v>0</v>
      </c>
      <c r="T119" s="42">
        <f t="shared" si="41"/>
        <v>0</v>
      </c>
      <c r="U119" s="42">
        <f t="shared" si="41"/>
        <v>0</v>
      </c>
      <c r="V119" s="42">
        <f t="shared" si="41"/>
        <v>0</v>
      </c>
      <c r="W119" s="42">
        <f t="shared" si="41"/>
        <v>0</v>
      </c>
      <c r="X119" s="42">
        <f t="shared" si="41"/>
        <v>0</v>
      </c>
      <c r="Y119" s="42">
        <f t="shared" si="41"/>
        <v>0</v>
      </c>
      <c r="Z119" s="42">
        <f t="shared" si="41"/>
        <v>0</v>
      </c>
      <c r="AA119" s="42">
        <f t="shared" si="41"/>
        <v>0</v>
      </c>
      <c r="AB119" s="42">
        <f t="shared" si="41"/>
        <v>0</v>
      </c>
      <c r="AC119" s="42">
        <f t="shared" si="41"/>
        <v>0</v>
      </c>
      <c r="AD119" s="42">
        <f t="shared" si="41"/>
        <v>0</v>
      </c>
      <c r="AE119" s="42">
        <f t="shared" si="41"/>
        <v>0</v>
      </c>
      <c r="AF119" s="42">
        <f t="shared" si="41"/>
        <v>0</v>
      </c>
      <c r="AG119" s="42">
        <f t="shared" si="41"/>
        <v>0</v>
      </c>
      <c r="AH119" s="42">
        <f t="shared" si="41"/>
        <v>0</v>
      </c>
      <c r="AI119" s="42">
        <f t="shared" si="41"/>
        <v>0</v>
      </c>
      <c r="AJ119" s="42">
        <f t="shared" si="41"/>
        <v>0</v>
      </c>
      <c r="AK119" s="42">
        <f t="shared" si="41"/>
        <v>0</v>
      </c>
      <c r="AL119" s="42">
        <f t="shared" si="41"/>
        <v>0</v>
      </c>
      <c r="AM119" s="42">
        <f t="shared" si="41"/>
        <v>0</v>
      </c>
      <c r="AN119" s="42">
        <f t="shared" si="41"/>
        <v>0</v>
      </c>
      <c r="AO119" s="42">
        <f t="shared" si="34"/>
        <v>0</v>
      </c>
      <c r="AP119" s="42">
        <f t="shared" si="34"/>
        <v>0</v>
      </c>
      <c r="AQ119" s="42">
        <f t="shared" si="34"/>
        <v>-20.869720099999999</v>
      </c>
      <c r="AR119" s="51"/>
      <c r="AS119" s="51"/>
      <c r="AT119" s="51"/>
      <c r="AU119" s="51"/>
      <c r="AV119" s="51"/>
      <c r="AW119" s="51"/>
      <c r="AX119" s="55"/>
      <c r="AY119" s="54"/>
      <c r="AZ119" s="22"/>
    </row>
    <row r="120" spans="1:52">
      <c r="A120" s="107" t="str">
        <f t="shared" si="32"/>
        <v>PETCHEM</v>
      </c>
      <c r="B120" s="135" t="s">
        <v>200</v>
      </c>
      <c r="C120" s="42">
        <f t="shared" si="39"/>
        <v>0</v>
      </c>
      <c r="D120" s="42">
        <f t="shared" si="39"/>
        <v>0</v>
      </c>
      <c r="E120" s="42">
        <f>D74</f>
        <v>0</v>
      </c>
      <c r="F120" s="42">
        <f t="shared" si="40"/>
        <v>0</v>
      </c>
      <c r="G120" s="42">
        <f t="shared" si="40"/>
        <v>0</v>
      </c>
      <c r="H120" s="42">
        <f>G74</f>
        <v>0</v>
      </c>
      <c r="I120" s="42">
        <f>H74</f>
        <v>0</v>
      </c>
      <c r="J120" s="42">
        <f>I74</f>
        <v>0</v>
      </c>
      <c r="K120" s="42">
        <f t="shared" ref="K120:AN120" si="42">J74</f>
        <v>0</v>
      </c>
      <c r="L120" s="42">
        <f t="shared" si="42"/>
        <v>0</v>
      </c>
      <c r="M120" s="42">
        <f t="shared" si="42"/>
        <v>0</v>
      </c>
      <c r="N120" s="42">
        <f t="shared" si="42"/>
        <v>0</v>
      </c>
      <c r="O120" s="42">
        <f t="shared" si="42"/>
        <v>0</v>
      </c>
      <c r="P120" s="42">
        <f t="shared" si="42"/>
        <v>0</v>
      </c>
      <c r="Q120" s="42">
        <f t="shared" si="42"/>
        <v>0</v>
      </c>
      <c r="R120" s="42">
        <f t="shared" si="42"/>
        <v>0</v>
      </c>
      <c r="S120" s="42">
        <f t="shared" si="42"/>
        <v>0</v>
      </c>
      <c r="T120" s="42">
        <f t="shared" si="42"/>
        <v>0</v>
      </c>
      <c r="U120" s="42">
        <f t="shared" si="42"/>
        <v>8.6275000999999989</v>
      </c>
      <c r="V120" s="42">
        <f t="shared" si="42"/>
        <v>0</v>
      </c>
      <c r="W120" s="42">
        <f t="shared" si="42"/>
        <v>0</v>
      </c>
      <c r="X120" s="42">
        <f t="shared" si="42"/>
        <v>-1.9305000000000001</v>
      </c>
      <c r="Y120" s="42">
        <f t="shared" si="42"/>
        <v>0</v>
      </c>
      <c r="Z120" s="42">
        <f t="shared" si="42"/>
        <v>-1.2420017000000001</v>
      </c>
      <c r="AA120" s="42">
        <f t="shared" si="42"/>
        <v>0</v>
      </c>
      <c r="AB120" s="42">
        <f t="shared" si="42"/>
        <v>0</v>
      </c>
      <c r="AC120" s="42">
        <f t="shared" si="42"/>
        <v>0</v>
      </c>
      <c r="AD120" s="42">
        <f t="shared" si="42"/>
        <v>0</v>
      </c>
      <c r="AE120" s="42">
        <f t="shared" si="42"/>
        <v>0</v>
      </c>
      <c r="AF120" s="42">
        <f t="shared" si="42"/>
        <v>0</v>
      </c>
      <c r="AG120" s="42">
        <f t="shared" si="42"/>
        <v>0</v>
      </c>
      <c r="AH120" s="42">
        <f t="shared" si="42"/>
        <v>-6.0279997000000005</v>
      </c>
      <c r="AI120" s="42">
        <f t="shared" si="42"/>
        <v>0</v>
      </c>
      <c r="AJ120" s="42">
        <f t="shared" si="42"/>
        <v>0</v>
      </c>
      <c r="AK120" s="42">
        <f t="shared" si="42"/>
        <v>0</v>
      </c>
      <c r="AL120" s="42">
        <f t="shared" si="42"/>
        <v>0</v>
      </c>
      <c r="AM120" s="42">
        <f t="shared" si="42"/>
        <v>0</v>
      </c>
      <c r="AN120" s="42">
        <f t="shared" si="42"/>
        <v>0</v>
      </c>
      <c r="AO120" s="42">
        <f t="shared" si="34"/>
        <v>0</v>
      </c>
      <c r="AP120" s="42">
        <f t="shared" si="34"/>
        <v>0</v>
      </c>
      <c r="AQ120" s="42">
        <f t="shared" si="34"/>
        <v>-0.57300130000000005</v>
      </c>
      <c r="AR120" s="51"/>
      <c r="AS120" s="51"/>
      <c r="AT120" s="51"/>
      <c r="AU120" s="51"/>
      <c r="AV120" s="51"/>
      <c r="AW120" s="51"/>
      <c r="AX120" s="55"/>
      <c r="AY120" s="54"/>
      <c r="AZ120" s="22"/>
    </row>
    <row r="121" spans="1:52">
      <c r="A121" s="107" t="str">
        <f t="shared" si="32"/>
        <v>TBKB</v>
      </c>
      <c r="B121" s="135" t="s">
        <v>201</v>
      </c>
      <c r="C121" s="42">
        <f t="shared" si="39"/>
        <v>0</v>
      </c>
      <c r="D121" s="42">
        <f t="shared" si="39"/>
        <v>0</v>
      </c>
      <c r="E121" s="42">
        <f>D75</f>
        <v>0</v>
      </c>
      <c r="F121" s="42">
        <f t="shared" si="40"/>
        <v>0</v>
      </c>
      <c r="G121" s="42">
        <f t="shared" si="40"/>
        <v>0</v>
      </c>
      <c r="H121" s="42">
        <f>G75</f>
        <v>0</v>
      </c>
      <c r="I121" s="42">
        <f>H75</f>
        <v>0</v>
      </c>
      <c r="J121" s="42">
        <f>I75</f>
        <v>0</v>
      </c>
      <c r="K121" s="42">
        <f t="shared" ref="K121:AN121" si="43">J75</f>
        <v>0</v>
      </c>
      <c r="L121" s="42">
        <f t="shared" si="43"/>
        <v>0</v>
      </c>
      <c r="M121" s="42">
        <f t="shared" si="43"/>
        <v>0</v>
      </c>
      <c r="N121" s="42">
        <f t="shared" si="43"/>
        <v>0</v>
      </c>
      <c r="O121" s="42">
        <f t="shared" si="43"/>
        <v>0</v>
      </c>
      <c r="P121" s="42">
        <f t="shared" si="43"/>
        <v>0</v>
      </c>
      <c r="Q121" s="42">
        <f t="shared" si="43"/>
        <v>0</v>
      </c>
      <c r="R121" s="42">
        <f t="shared" si="43"/>
        <v>0</v>
      </c>
      <c r="S121" s="42">
        <f t="shared" si="43"/>
        <v>0</v>
      </c>
      <c r="T121" s="42">
        <f t="shared" si="43"/>
        <v>0</v>
      </c>
      <c r="U121" s="42">
        <f t="shared" si="43"/>
        <v>0</v>
      </c>
      <c r="V121" s="42">
        <f t="shared" si="43"/>
        <v>0</v>
      </c>
      <c r="W121" s="42">
        <f t="shared" si="43"/>
        <v>0</v>
      </c>
      <c r="X121" s="42">
        <f t="shared" si="43"/>
        <v>0</v>
      </c>
      <c r="Y121" s="42">
        <f t="shared" si="43"/>
        <v>0</v>
      </c>
      <c r="Z121" s="42">
        <f t="shared" si="43"/>
        <v>0</v>
      </c>
      <c r="AA121" s="42">
        <f t="shared" si="43"/>
        <v>0</v>
      </c>
      <c r="AB121" s="42">
        <f t="shared" si="43"/>
        <v>0</v>
      </c>
      <c r="AC121" s="42">
        <f t="shared" si="43"/>
        <v>0</v>
      </c>
      <c r="AD121" s="42">
        <f t="shared" si="43"/>
        <v>0</v>
      </c>
      <c r="AE121" s="42">
        <f t="shared" si="43"/>
        <v>0</v>
      </c>
      <c r="AF121" s="42">
        <f t="shared" si="43"/>
        <v>0</v>
      </c>
      <c r="AG121" s="42">
        <f t="shared" si="43"/>
        <v>0</v>
      </c>
      <c r="AH121" s="42">
        <f t="shared" si="43"/>
        <v>0</v>
      </c>
      <c r="AI121" s="42">
        <f t="shared" si="43"/>
        <v>0</v>
      </c>
      <c r="AJ121" s="42">
        <f t="shared" si="43"/>
        <v>0</v>
      </c>
      <c r="AK121" s="42">
        <f t="shared" si="43"/>
        <v>0</v>
      </c>
      <c r="AL121" s="42">
        <f t="shared" si="43"/>
        <v>0</v>
      </c>
      <c r="AM121" s="42">
        <f t="shared" si="43"/>
        <v>0</v>
      </c>
      <c r="AN121" s="42">
        <f t="shared" si="43"/>
        <v>0</v>
      </c>
      <c r="AO121" s="42">
        <f t="shared" si="34"/>
        <v>0</v>
      </c>
      <c r="AP121" s="42">
        <f t="shared" si="34"/>
        <v>0</v>
      </c>
      <c r="AQ121" s="42">
        <f t="shared" si="34"/>
        <v>0</v>
      </c>
      <c r="AR121" s="51"/>
      <c r="AS121" s="51"/>
      <c r="AT121" s="51"/>
      <c r="AU121" s="51"/>
      <c r="AV121" s="51"/>
      <c r="AW121" s="51"/>
      <c r="AX121" s="55"/>
      <c r="AY121" s="54"/>
      <c r="AZ121" s="22"/>
    </row>
    <row r="122" spans="1:52">
      <c r="A122" s="136" t="s">
        <v>202</v>
      </c>
      <c r="B122" s="137" t="s">
        <v>203</v>
      </c>
      <c r="C122" s="125">
        <f t="shared" ref="C122:AQ122" si="44">IF(C124=0,C123,C124)</f>
        <v>0</v>
      </c>
      <c r="D122" s="125">
        <f t="shared" si="44"/>
        <v>0</v>
      </c>
      <c r="E122" s="125">
        <f t="shared" si="44"/>
        <v>0</v>
      </c>
      <c r="F122" s="125">
        <f t="shared" si="44"/>
        <v>0</v>
      </c>
      <c r="G122" s="125">
        <f t="shared" si="44"/>
        <v>0</v>
      </c>
      <c r="H122" s="125">
        <f t="shared" si="44"/>
        <v>0</v>
      </c>
      <c r="I122" s="125">
        <f t="shared" si="44"/>
        <v>0</v>
      </c>
      <c r="J122" s="125">
        <f t="shared" si="44"/>
        <v>0</v>
      </c>
      <c r="K122" s="125">
        <f t="shared" si="44"/>
        <v>0</v>
      </c>
      <c r="L122" s="125">
        <f t="shared" si="44"/>
        <v>0</v>
      </c>
      <c r="M122" s="125">
        <f t="shared" si="44"/>
        <v>0</v>
      </c>
      <c r="N122" s="125">
        <f t="shared" si="44"/>
        <v>0</v>
      </c>
      <c r="O122" s="125">
        <f t="shared" si="44"/>
        <v>0</v>
      </c>
      <c r="P122" s="125">
        <f t="shared" si="44"/>
        <v>0</v>
      </c>
      <c r="Q122" s="125">
        <f t="shared" si="44"/>
        <v>0</v>
      </c>
      <c r="R122" s="125">
        <f t="shared" si="44"/>
        <v>0</v>
      </c>
      <c r="S122" s="125">
        <f t="shared" si="44"/>
        <v>-479.79701819999997</v>
      </c>
      <c r="T122" s="125">
        <f t="shared" si="44"/>
        <v>-55.967999400000004</v>
      </c>
      <c r="U122" s="125">
        <f t="shared" si="44"/>
        <v>-86.232500899999991</v>
      </c>
      <c r="V122" s="125">
        <f t="shared" si="44"/>
        <v>-2.1250020000000003</v>
      </c>
      <c r="W122" s="125">
        <f t="shared" si="44"/>
        <v>-8.8400011000000003</v>
      </c>
      <c r="X122" s="125">
        <f t="shared" si="44"/>
        <v>28.3635017</v>
      </c>
      <c r="Y122" s="125">
        <f t="shared" si="44"/>
        <v>0</v>
      </c>
      <c r="Z122" s="125">
        <f t="shared" si="44"/>
        <v>13.110001200000001</v>
      </c>
      <c r="AA122" s="125">
        <f t="shared" si="44"/>
        <v>193.73199900000003</v>
      </c>
      <c r="AB122" s="125">
        <f t="shared" si="44"/>
        <v>0</v>
      </c>
      <c r="AC122" s="125">
        <f t="shared" si="44"/>
        <v>0</v>
      </c>
      <c r="AD122" s="125">
        <f t="shared" si="44"/>
        <v>32.464999899999995</v>
      </c>
      <c r="AE122" s="125">
        <f t="shared" si="44"/>
        <v>0</v>
      </c>
      <c r="AF122" s="125">
        <f t="shared" si="44"/>
        <v>268.63560110000003</v>
      </c>
      <c r="AG122" s="125">
        <f t="shared" si="44"/>
        <v>64.559999599999998</v>
      </c>
      <c r="AH122" s="125">
        <f t="shared" si="44"/>
        <v>4.5320016999999995</v>
      </c>
      <c r="AI122" s="125">
        <f t="shared" si="44"/>
        <v>5.6680019000000001</v>
      </c>
      <c r="AJ122" s="125">
        <f t="shared" si="44"/>
        <v>12.4319992</v>
      </c>
      <c r="AK122" s="125">
        <f t="shared" si="44"/>
        <v>5.4210016999999997</v>
      </c>
      <c r="AL122" s="125">
        <f t="shared" si="44"/>
        <v>0</v>
      </c>
      <c r="AM122" s="125">
        <f t="shared" si="44"/>
        <v>4.0320014000000004</v>
      </c>
      <c r="AN122" s="125">
        <f t="shared" si="44"/>
        <v>0</v>
      </c>
      <c r="AO122" s="125">
        <f t="shared" si="44"/>
        <v>0</v>
      </c>
      <c r="AP122" s="125">
        <f t="shared" si="44"/>
        <v>0</v>
      </c>
      <c r="AQ122" s="125">
        <f t="shared" si="44"/>
        <v>-1.14132E-2</v>
      </c>
      <c r="AR122" s="51"/>
      <c r="AS122" s="51"/>
      <c r="AT122" s="51"/>
      <c r="AU122" s="51"/>
      <c r="AV122" s="51"/>
      <c r="AW122" s="51"/>
      <c r="AX122" s="55"/>
      <c r="AY122" s="54"/>
    </row>
    <row r="123" spans="1:52">
      <c r="A123" s="107" t="s">
        <v>204</v>
      </c>
      <c r="B123" s="135"/>
      <c r="C123" s="42">
        <f t="shared" ref="C123:AN123" si="45">B76</f>
        <v>0</v>
      </c>
      <c r="D123" s="42">
        <f t="shared" si="45"/>
        <v>0</v>
      </c>
      <c r="E123" s="42">
        <f t="shared" si="45"/>
        <v>0</v>
      </c>
      <c r="F123" s="42">
        <f t="shared" si="45"/>
        <v>0</v>
      </c>
      <c r="G123" s="42">
        <f t="shared" si="45"/>
        <v>0</v>
      </c>
      <c r="H123" s="42">
        <f t="shared" si="45"/>
        <v>0</v>
      </c>
      <c r="I123" s="42">
        <f t="shared" si="45"/>
        <v>0</v>
      </c>
      <c r="J123" s="42">
        <f t="shared" si="45"/>
        <v>0</v>
      </c>
      <c r="K123" s="42">
        <f t="shared" si="45"/>
        <v>0</v>
      </c>
      <c r="L123" s="42">
        <f t="shared" si="45"/>
        <v>0</v>
      </c>
      <c r="M123" s="42">
        <f t="shared" si="45"/>
        <v>0</v>
      </c>
      <c r="N123" s="42">
        <f t="shared" si="45"/>
        <v>0</v>
      </c>
      <c r="O123" s="42">
        <f t="shared" si="45"/>
        <v>0</v>
      </c>
      <c r="P123" s="42">
        <f t="shared" si="45"/>
        <v>0</v>
      </c>
      <c r="Q123" s="42">
        <f t="shared" si="45"/>
        <v>0</v>
      </c>
      <c r="R123" s="42">
        <f t="shared" si="45"/>
        <v>0</v>
      </c>
      <c r="S123" s="42">
        <f t="shared" si="45"/>
        <v>-479.79701819999997</v>
      </c>
      <c r="T123" s="42">
        <f t="shared" si="45"/>
        <v>-55.967999400000004</v>
      </c>
      <c r="U123" s="42">
        <f t="shared" si="45"/>
        <v>-86.232500899999991</v>
      </c>
      <c r="V123" s="42">
        <f t="shared" si="45"/>
        <v>-2.1250020000000003</v>
      </c>
      <c r="W123" s="42">
        <f t="shared" si="45"/>
        <v>-8.8400011000000003</v>
      </c>
      <c r="X123" s="42">
        <f t="shared" si="45"/>
        <v>28.3635017</v>
      </c>
      <c r="Y123" s="42">
        <f t="shared" si="45"/>
        <v>0</v>
      </c>
      <c r="Z123" s="42">
        <f t="shared" si="45"/>
        <v>13.110001200000001</v>
      </c>
      <c r="AA123" s="42">
        <f t="shared" si="45"/>
        <v>193.73199900000003</v>
      </c>
      <c r="AB123" s="42">
        <f t="shared" si="45"/>
        <v>0</v>
      </c>
      <c r="AC123" s="42">
        <f t="shared" si="45"/>
        <v>0</v>
      </c>
      <c r="AD123" s="42">
        <f t="shared" si="45"/>
        <v>32.464999899999995</v>
      </c>
      <c r="AE123" s="42">
        <f t="shared" si="45"/>
        <v>0</v>
      </c>
      <c r="AF123" s="42">
        <f t="shared" si="45"/>
        <v>268.63560110000003</v>
      </c>
      <c r="AG123" s="42">
        <f t="shared" si="45"/>
        <v>64.559999599999998</v>
      </c>
      <c r="AH123" s="42">
        <f t="shared" si="45"/>
        <v>4.5320016999999995</v>
      </c>
      <c r="AI123" s="42">
        <f t="shared" si="45"/>
        <v>5.6680019000000001</v>
      </c>
      <c r="AJ123" s="42">
        <f t="shared" si="45"/>
        <v>12.4319992</v>
      </c>
      <c r="AK123" s="42">
        <f t="shared" si="45"/>
        <v>5.4210016999999997</v>
      </c>
      <c r="AL123" s="42">
        <f t="shared" si="45"/>
        <v>0</v>
      </c>
      <c r="AM123" s="42">
        <f t="shared" si="45"/>
        <v>4.0320014000000004</v>
      </c>
      <c r="AN123" s="42">
        <f t="shared" si="45"/>
        <v>0</v>
      </c>
      <c r="AO123" s="42">
        <f>AU76</f>
        <v>0</v>
      </c>
      <c r="AP123" s="42">
        <f>AV76</f>
        <v>0</v>
      </c>
      <c r="AQ123" s="42">
        <f>AW76</f>
        <v>-1.14132E-2</v>
      </c>
      <c r="AR123" s="51"/>
      <c r="AS123" s="51"/>
      <c r="AT123" s="51"/>
      <c r="AU123" s="51"/>
      <c r="AV123" s="51"/>
      <c r="AW123" s="51"/>
      <c r="AX123" s="55"/>
      <c r="AY123" s="54"/>
      <c r="AZ123" s="22"/>
    </row>
    <row r="124" spans="1:52">
      <c r="A124" s="138" t="s">
        <v>205</v>
      </c>
      <c r="B124" s="139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1"/>
      <c r="AS124" s="51"/>
      <c r="AT124" s="51"/>
      <c r="AU124" s="51"/>
      <c r="AV124" s="51"/>
      <c r="AW124" s="51"/>
      <c r="AX124" s="55"/>
      <c r="AY124" s="54"/>
      <c r="AZ124" s="22"/>
    </row>
    <row r="125" spans="1:52">
      <c r="A125" s="107" t="str">
        <f>A77</f>
        <v>LIQUEFAC,ELNG</v>
      </c>
      <c r="B125" s="135" t="s">
        <v>206</v>
      </c>
      <c r="C125" s="42">
        <f t="shared" ref="C125:AN125" si="46">B77</f>
        <v>0</v>
      </c>
      <c r="D125" s="42">
        <f t="shared" si="46"/>
        <v>0</v>
      </c>
      <c r="E125" s="42">
        <f t="shared" si="46"/>
        <v>0</v>
      </c>
      <c r="F125" s="42">
        <f t="shared" si="46"/>
        <v>0</v>
      </c>
      <c r="G125" s="42">
        <f t="shared" si="46"/>
        <v>0</v>
      </c>
      <c r="H125" s="42">
        <f t="shared" si="46"/>
        <v>0</v>
      </c>
      <c r="I125" s="42">
        <f t="shared" si="46"/>
        <v>0</v>
      </c>
      <c r="J125" s="42">
        <f t="shared" si="46"/>
        <v>0</v>
      </c>
      <c r="K125" s="42">
        <f t="shared" si="46"/>
        <v>0</v>
      </c>
      <c r="L125" s="42">
        <f t="shared" si="46"/>
        <v>0</v>
      </c>
      <c r="M125" s="42">
        <f t="shared" si="46"/>
        <v>0</v>
      </c>
      <c r="N125" s="42">
        <f t="shared" si="46"/>
        <v>0</v>
      </c>
      <c r="O125" s="42">
        <f t="shared" si="46"/>
        <v>0</v>
      </c>
      <c r="P125" s="42">
        <f t="shared" si="46"/>
        <v>0</v>
      </c>
      <c r="Q125" s="42">
        <f t="shared" si="46"/>
        <v>0</v>
      </c>
      <c r="R125" s="42">
        <f t="shared" si="46"/>
        <v>0</v>
      </c>
      <c r="S125" s="42">
        <f t="shared" si="46"/>
        <v>0</v>
      </c>
      <c r="T125" s="42">
        <f t="shared" si="46"/>
        <v>0</v>
      </c>
      <c r="U125" s="42">
        <f t="shared" si="46"/>
        <v>0</v>
      </c>
      <c r="V125" s="42">
        <f t="shared" si="46"/>
        <v>0</v>
      </c>
      <c r="W125" s="42">
        <f t="shared" si="46"/>
        <v>0</v>
      </c>
      <c r="X125" s="42">
        <f t="shared" si="46"/>
        <v>0</v>
      </c>
      <c r="Y125" s="42">
        <f t="shared" si="46"/>
        <v>0</v>
      </c>
      <c r="Z125" s="42">
        <f t="shared" si="46"/>
        <v>0</v>
      </c>
      <c r="AA125" s="42">
        <f t="shared" si="46"/>
        <v>0</v>
      </c>
      <c r="AB125" s="42">
        <f t="shared" si="46"/>
        <v>0</v>
      </c>
      <c r="AC125" s="42">
        <f t="shared" si="46"/>
        <v>0</v>
      </c>
      <c r="AD125" s="42">
        <f t="shared" si="46"/>
        <v>0</v>
      </c>
      <c r="AE125" s="42">
        <f t="shared" si="46"/>
        <v>0</v>
      </c>
      <c r="AF125" s="42">
        <f t="shared" si="46"/>
        <v>0</v>
      </c>
      <c r="AG125" s="42">
        <f t="shared" si="46"/>
        <v>0</v>
      </c>
      <c r="AH125" s="42">
        <f t="shared" si="46"/>
        <v>0</v>
      </c>
      <c r="AI125" s="42">
        <f t="shared" si="46"/>
        <v>0</v>
      </c>
      <c r="AJ125" s="42">
        <f t="shared" si="46"/>
        <v>0</v>
      </c>
      <c r="AK125" s="42">
        <f t="shared" si="46"/>
        <v>0</v>
      </c>
      <c r="AL125" s="42">
        <f t="shared" si="46"/>
        <v>0</v>
      </c>
      <c r="AM125" s="42">
        <f t="shared" si="46"/>
        <v>0</v>
      </c>
      <c r="AN125" s="42">
        <f t="shared" si="46"/>
        <v>0</v>
      </c>
      <c r="AO125" s="42">
        <f t="shared" ref="AO125:AQ126" si="47">AU77</f>
        <v>0</v>
      </c>
      <c r="AP125" s="42">
        <f t="shared" si="47"/>
        <v>0</v>
      </c>
      <c r="AQ125" s="42">
        <f t="shared" si="47"/>
        <v>0</v>
      </c>
      <c r="AR125" s="51"/>
      <c r="AS125" s="51"/>
      <c r="AT125" s="51"/>
      <c r="AU125" s="51"/>
      <c r="AV125" s="51"/>
      <c r="AW125" s="51"/>
      <c r="AX125" s="55"/>
      <c r="AY125" s="54"/>
      <c r="AZ125" s="22"/>
    </row>
    <row r="126" spans="1:52">
      <c r="A126" s="107" t="str">
        <f>A78</f>
        <v>TNONSPEC,TCHARCOAL</v>
      </c>
      <c r="B126" s="135" t="s">
        <v>207</v>
      </c>
      <c r="C126" s="42">
        <f t="shared" ref="C126:AN126" si="48">B78</f>
        <v>-2.75491E-2</v>
      </c>
      <c r="D126" s="42">
        <f t="shared" si="48"/>
        <v>0</v>
      </c>
      <c r="E126" s="42">
        <f t="shared" si="48"/>
        <v>-5.6549014</v>
      </c>
      <c r="F126" s="42">
        <f t="shared" si="48"/>
        <v>0</v>
      </c>
      <c r="G126" s="42">
        <f t="shared" si="48"/>
        <v>0</v>
      </c>
      <c r="H126" s="42">
        <f t="shared" si="48"/>
        <v>0</v>
      </c>
      <c r="I126" s="42">
        <f t="shared" si="48"/>
        <v>0</v>
      </c>
      <c r="J126" s="42">
        <f t="shared" si="48"/>
        <v>3.4100021000000003</v>
      </c>
      <c r="K126" s="42">
        <f t="shared" si="48"/>
        <v>0</v>
      </c>
      <c r="L126" s="42">
        <f t="shared" si="48"/>
        <v>0</v>
      </c>
      <c r="M126" s="42">
        <f t="shared" si="48"/>
        <v>0</v>
      </c>
      <c r="N126" s="42">
        <f t="shared" si="48"/>
        <v>0</v>
      </c>
      <c r="O126" s="42">
        <f t="shared" si="48"/>
        <v>0</v>
      </c>
      <c r="P126" s="42">
        <f t="shared" si="48"/>
        <v>0</v>
      </c>
      <c r="Q126" s="42">
        <f t="shared" si="48"/>
        <v>0</v>
      </c>
      <c r="R126" s="42">
        <f t="shared" si="48"/>
        <v>-11.3742</v>
      </c>
      <c r="S126" s="42">
        <f t="shared" si="48"/>
        <v>0</v>
      </c>
      <c r="T126" s="42">
        <f t="shared" si="48"/>
        <v>0</v>
      </c>
      <c r="U126" s="42">
        <f t="shared" si="48"/>
        <v>0</v>
      </c>
      <c r="V126" s="42">
        <f t="shared" si="48"/>
        <v>0</v>
      </c>
      <c r="W126" s="42">
        <f t="shared" si="48"/>
        <v>8.8400011000000003</v>
      </c>
      <c r="X126" s="42">
        <f t="shared" si="48"/>
        <v>0</v>
      </c>
      <c r="Y126" s="42">
        <f t="shared" si="48"/>
        <v>0</v>
      </c>
      <c r="Z126" s="42">
        <f t="shared" si="48"/>
        <v>0</v>
      </c>
      <c r="AA126" s="42">
        <f t="shared" si="48"/>
        <v>0</v>
      </c>
      <c r="AB126" s="42">
        <f t="shared" si="48"/>
        <v>0</v>
      </c>
      <c r="AC126" s="42">
        <f t="shared" si="48"/>
        <v>0</v>
      </c>
      <c r="AD126" s="42">
        <f t="shared" si="48"/>
        <v>0</v>
      </c>
      <c r="AE126" s="42">
        <f t="shared" si="48"/>
        <v>0</v>
      </c>
      <c r="AF126" s="42">
        <f t="shared" si="48"/>
        <v>0</v>
      </c>
      <c r="AG126" s="42">
        <f t="shared" si="48"/>
        <v>0</v>
      </c>
      <c r="AH126" s="42">
        <f t="shared" si="48"/>
        <v>0</v>
      </c>
      <c r="AI126" s="42">
        <f t="shared" si="48"/>
        <v>0</v>
      </c>
      <c r="AJ126" s="42">
        <f t="shared" si="48"/>
        <v>0</v>
      </c>
      <c r="AK126" s="42">
        <f t="shared" si="48"/>
        <v>0</v>
      </c>
      <c r="AL126" s="42">
        <f t="shared" si="48"/>
        <v>0</v>
      </c>
      <c r="AM126" s="42">
        <f t="shared" si="48"/>
        <v>0</v>
      </c>
      <c r="AN126" s="42">
        <f t="shared" si="48"/>
        <v>0</v>
      </c>
      <c r="AO126" s="42">
        <f t="shared" si="47"/>
        <v>0</v>
      </c>
      <c r="AP126" s="42">
        <f t="shared" si="47"/>
        <v>0</v>
      </c>
      <c r="AQ126" s="42">
        <f t="shared" si="47"/>
        <v>-4.8066474000000001</v>
      </c>
      <c r="AR126" s="51"/>
      <c r="AS126" s="51"/>
      <c r="AT126" s="51"/>
      <c r="AU126" s="51"/>
      <c r="AV126" s="51"/>
      <c r="AW126" s="51"/>
      <c r="AX126" s="55"/>
      <c r="AY126" s="54"/>
      <c r="AZ126" s="22"/>
    </row>
    <row r="127" spans="1:52">
      <c r="A127" s="14"/>
      <c r="B127" s="14"/>
      <c r="C127" s="49"/>
      <c r="D127" s="140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54"/>
      <c r="AY127" s="54"/>
      <c r="AZ127" s="22"/>
    </row>
    <row r="128" spans="1:52" ht="18">
      <c r="A128" s="47" t="s">
        <v>208</v>
      </c>
      <c r="B128" s="47"/>
      <c r="C128" s="19"/>
      <c r="D128" s="19"/>
      <c r="E128" s="19"/>
      <c r="F128" s="19"/>
      <c r="G128" s="19"/>
      <c r="H128" s="19"/>
      <c r="I128" s="19"/>
      <c r="J128" s="19"/>
      <c r="K128" s="141"/>
      <c r="L128" s="141"/>
      <c r="M128" s="141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48"/>
      <c r="AY128" s="48"/>
      <c r="AZ128" s="22"/>
    </row>
    <row r="129" spans="1:52" ht="33.75">
      <c r="A129" s="142"/>
      <c r="B129" s="142" t="s">
        <v>209</v>
      </c>
      <c r="C129" s="428" t="s">
        <v>210</v>
      </c>
      <c r="D129" s="428" t="s">
        <v>211</v>
      </c>
      <c r="E129" s="428" t="s">
        <v>212</v>
      </c>
      <c r="F129" s="428" t="s">
        <v>213</v>
      </c>
      <c r="G129" s="428" t="s">
        <v>27</v>
      </c>
      <c r="H129" s="428" t="s">
        <v>214</v>
      </c>
      <c r="I129" s="428" t="s">
        <v>215</v>
      </c>
      <c r="J129" s="428" t="s">
        <v>97</v>
      </c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70"/>
      <c r="AR129" s="70"/>
      <c r="AS129" s="70"/>
      <c r="AT129" s="70"/>
      <c r="AU129" s="70"/>
      <c r="AV129" s="70"/>
      <c r="AW129" s="70"/>
      <c r="AX129" s="13"/>
      <c r="AY129" s="13"/>
      <c r="AZ129" s="22"/>
    </row>
    <row r="130" spans="1:52" ht="13.5" thickBot="1">
      <c r="A130" s="119"/>
      <c r="B130" s="144"/>
      <c r="C130" s="121" t="s">
        <v>216</v>
      </c>
      <c r="D130" s="121" t="s">
        <v>217</v>
      </c>
      <c r="E130" s="121" t="s">
        <v>218</v>
      </c>
      <c r="F130" s="121" t="s">
        <v>219</v>
      </c>
      <c r="G130" s="121" t="s">
        <v>220</v>
      </c>
      <c r="H130" s="121" t="s">
        <v>221</v>
      </c>
      <c r="I130" s="121" t="s">
        <v>222</v>
      </c>
      <c r="J130" s="121" t="s">
        <v>223</v>
      </c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5"/>
      <c r="AR130" s="55"/>
      <c r="AS130" s="55"/>
      <c r="AT130" s="55"/>
      <c r="AU130" s="55"/>
      <c r="AV130" s="55"/>
      <c r="AW130" s="55"/>
      <c r="AX130" s="55"/>
      <c r="AY130" s="55"/>
      <c r="AZ130" s="22"/>
    </row>
    <row r="131" spans="1:52">
      <c r="A131" s="107" t="str">
        <f t="shared" ref="A131:A137" si="49">A81</f>
        <v>MINES</v>
      </c>
      <c r="B131" s="135" t="s">
        <v>224</v>
      </c>
      <c r="C131" s="42">
        <f t="shared" ref="C131:C137" si="50">Q81+F81</f>
        <v>0</v>
      </c>
      <c r="D131" s="42">
        <f t="shared" ref="D131:D137" si="51">B81+C81+D81+E81+G81+H81+I81</f>
        <v>0</v>
      </c>
      <c r="E131" s="42">
        <f t="shared" ref="E131:E137" si="52">R81+S81+T81+U81+V81</f>
        <v>0</v>
      </c>
      <c r="F131" s="42">
        <f t="shared" ref="F131:F137" si="53">Z81+AA81+AB81+AC81+AD81+AE81+AF81+AG81+AH81+AI81+AJ81+AK81+AM81+AL81</f>
        <v>0</v>
      </c>
      <c r="G131" s="42">
        <f t="shared" ref="G131:G137" si="54">W81+X81+Y81</f>
        <v>0</v>
      </c>
      <c r="H131" s="42">
        <f t="shared" ref="H131:H137" si="55">J81+K81+L81+M81+N81+P81</f>
        <v>0</v>
      </c>
      <c r="I131" s="42">
        <f t="shared" ref="I131:J137" si="56">AU81</f>
        <v>0</v>
      </c>
      <c r="J131" s="42">
        <f t="shared" si="56"/>
        <v>0</v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54"/>
      <c r="AY131" s="54"/>
      <c r="AZ131" s="22"/>
    </row>
    <row r="132" spans="1:52">
      <c r="A132" s="107" t="str">
        <f t="shared" si="49"/>
        <v>OILGASEX</v>
      </c>
      <c r="B132" s="135" t="s">
        <v>225</v>
      </c>
      <c r="C132" s="42">
        <f t="shared" si="50"/>
        <v>0</v>
      </c>
      <c r="D132" s="42">
        <f t="shared" si="51"/>
        <v>0</v>
      </c>
      <c r="E132" s="42">
        <f t="shared" si="52"/>
        <v>0</v>
      </c>
      <c r="F132" s="42">
        <f t="shared" si="53"/>
        <v>0</v>
      </c>
      <c r="G132" s="42">
        <f t="shared" si="54"/>
        <v>0</v>
      </c>
      <c r="H132" s="42">
        <f t="shared" si="55"/>
        <v>0</v>
      </c>
      <c r="I132" s="42">
        <f t="shared" si="56"/>
        <v>0</v>
      </c>
      <c r="J132" s="42">
        <f t="shared" si="56"/>
        <v>0</v>
      </c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54"/>
      <c r="AY132" s="54"/>
      <c r="AZ132" s="22"/>
    </row>
    <row r="133" spans="1:52">
      <c r="A133" s="107" t="str">
        <f t="shared" si="49"/>
        <v>EPATFUEL</v>
      </c>
      <c r="B133" s="135" t="s">
        <v>196</v>
      </c>
      <c r="C133" s="42">
        <f t="shared" si="50"/>
        <v>0</v>
      </c>
      <c r="D133" s="42">
        <f t="shared" si="51"/>
        <v>0</v>
      </c>
      <c r="E133" s="42">
        <f t="shared" si="52"/>
        <v>0</v>
      </c>
      <c r="F133" s="42">
        <f t="shared" si="53"/>
        <v>0</v>
      </c>
      <c r="G133" s="42">
        <f t="shared" si="54"/>
        <v>0</v>
      </c>
      <c r="H133" s="42">
        <f t="shared" si="55"/>
        <v>0</v>
      </c>
      <c r="I133" s="42">
        <f t="shared" si="56"/>
        <v>0</v>
      </c>
      <c r="J133" s="42">
        <f t="shared" si="56"/>
        <v>0</v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54"/>
      <c r="AY133" s="54"/>
      <c r="AZ133" s="22"/>
    </row>
    <row r="134" spans="1:52">
      <c r="A134" s="107" t="str">
        <f t="shared" si="49"/>
        <v>ECOKEOVS</v>
      </c>
      <c r="B134" s="135" t="s">
        <v>197</v>
      </c>
      <c r="C134" s="42">
        <f t="shared" si="50"/>
        <v>0</v>
      </c>
      <c r="D134" s="42">
        <f t="shared" si="51"/>
        <v>-3.2462980999999997</v>
      </c>
      <c r="E134" s="42">
        <f t="shared" si="52"/>
        <v>0</v>
      </c>
      <c r="F134" s="42">
        <f t="shared" si="53"/>
        <v>0</v>
      </c>
      <c r="G134" s="42">
        <f t="shared" si="54"/>
        <v>0</v>
      </c>
      <c r="H134" s="42">
        <f t="shared" si="55"/>
        <v>0</v>
      </c>
      <c r="I134" s="42">
        <f t="shared" si="56"/>
        <v>0</v>
      </c>
      <c r="J134" s="42">
        <f t="shared" si="56"/>
        <v>0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54"/>
      <c r="AY134" s="54"/>
      <c r="AZ134" s="22"/>
    </row>
    <row r="135" spans="1:52">
      <c r="A135" s="107" t="str">
        <f t="shared" si="49"/>
        <v>EGASWKS</v>
      </c>
      <c r="B135" s="135" t="s">
        <v>198</v>
      </c>
      <c r="C135" s="42">
        <f t="shared" si="50"/>
        <v>0</v>
      </c>
      <c r="D135" s="42">
        <f t="shared" si="51"/>
        <v>0</v>
      </c>
      <c r="E135" s="42">
        <f t="shared" si="52"/>
        <v>0</v>
      </c>
      <c r="F135" s="42">
        <f t="shared" si="53"/>
        <v>0</v>
      </c>
      <c r="G135" s="42">
        <f t="shared" si="54"/>
        <v>0</v>
      </c>
      <c r="H135" s="42">
        <f t="shared" si="55"/>
        <v>0</v>
      </c>
      <c r="I135" s="42">
        <f t="shared" si="56"/>
        <v>0</v>
      </c>
      <c r="J135" s="42">
        <f t="shared" si="56"/>
        <v>0</v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54"/>
      <c r="AY135" s="54"/>
      <c r="AZ135" s="22"/>
    </row>
    <row r="136" spans="1:52">
      <c r="A136" s="107" t="str">
        <f t="shared" si="49"/>
        <v>EBKB</v>
      </c>
      <c r="B136" s="135" t="s">
        <v>201</v>
      </c>
      <c r="C136" s="42">
        <f t="shared" si="50"/>
        <v>0</v>
      </c>
      <c r="D136" s="42">
        <f t="shared" si="51"/>
        <v>0</v>
      </c>
      <c r="E136" s="42">
        <f t="shared" si="52"/>
        <v>0</v>
      </c>
      <c r="F136" s="42">
        <f t="shared" si="53"/>
        <v>0</v>
      </c>
      <c r="G136" s="42">
        <f t="shared" si="54"/>
        <v>0</v>
      </c>
      <c r="H136" s="42">
        <f t="shared" si="55"/>
        <v>0</v>
      </c>
      <c r="I136" s="42">
        <f t="shared" si="56"/>
        <v>0</v>
      </c>
      <c r="J136" s="42">
        <f t="shared" si="56"/>
        <v>0</v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54"/>
      <c r="AY136" s="54"/>
      <c r="AZ136" s="22"/>
    </row>
    <row r="137" spans="1:52">
      <c r="A137" s="107" t="str">
        <f t="shared" si="49"/>
        <v>EREFINER</v>
      </c>
      <c r="B137" s="135" t="s">
        <v>226</v>
      </c>
      <c r="C137" s="42">
        <f t="shared" si="50"/>
        <v>-3.1148997</v>
      </c>
      <c r="D137" s="42">
        <f t="shared" si="51"/>
        <v>0</v>
      </c>
      <c r="E137" s="42">
        <f t="shared" si="52"/>
        <v>0</v>
      </c>
      <c r="F137" s="42">
        <f t="shared" si="53"/>
        <v>-4.0320014000000004</v>
      </c>
      <c r="G137" s="42">
        <f t="shared" si="54"/>
        <v>-23.512499400000003</v>
      </c>
      <c r="H137" s="42">
        <f t="shared" si="55"/>
        <v>0</v>
      </c>
      <c r="I137" s="42">
        <f t="shared" si="56"/>
        <v>-4.4496012</v>
      </c>
      <c r="J137" s="42">
        <f t="shared" si="56"/>
        <v>-5.4770001000000006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54"/>
      <c r="AY137" s="54"/>
      <c r="AZ137" s="22"/>
    </row>
    <row r="138" spans="1:52">
      <c r="A138" s="107" t="str">
        <f>A91</f>
        <v>ENONSPEC</v>
      </c>
      <c r="B138" s="135" t="s">
        <v>227</v>
      </c>
      <c r="C138" s="42">
        <f>Q91+F91</f>
        <v>0</v>
      </c>
      <c r="D138" s="42">
        <f>B91+C91+D91+E91+G91+H91+I91*0</f>
        <v>0</v>
      </c>
      <c r="E138" s="42">
        <f>R91+S91+T91+U91+V91</f>
        <v>0</v>
      </c>
      <c r="F138" s="42">
        <f>Z91+AA91+AB91+AC91+AD91+AE91+AF91+AG91+AH91+AI91+AJ91+AK91+AM91+AL91</f>
        <v>0</v>
      </c>
      <c r="G138" s="42">
        <f>W91+X91+Y91</f>
        <v>0</v>
      </c>
      <c r="H138" s="42">
        <f>J91+K91+L91+M91+N91+P91</f>
        <v>0</v>
      </c>
      <c r="I138" s="42">
        <f>AU91</f>
        <v>0</v>
      </c>
      <c r="J138" s="42">
        <f>AV91</f>
        <v>0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54"/>
      <c r="AY138" s="54"/>
      <c r="AZ138" s="22"/>
    </row>
    <row r="139" spans="1:52">
      <c r="A139" s="107" t="s">
        <v>141</v>
      </c>
      <c r="B139" s="135" t="s">
        <v>228</v>
      </c>
      <c r="C139" s="42">
        <f>Q92+F92+AQ94</f>
        <v>-0.26933285500000004</v>
      </c>
      <c r="D139" s="42">
        <f>B92+C92+D92+E92+G92+H92+I92</f>
        <v>-2.0477010999999998</v>
      </c>
      <c r="E139" s="42">
        <f>R92+S92+T92+U92+V92</f>
        <v>0</v>
      </c>
      <c r="F139" s="42">
        <f>Z92+AA92+AB92+AC92+AD92+AE92+AF92+AG92+AH92+AI92+AJ92+AK92+AM92+AL92</f>
        <v>0</v>
      </c>
      <c r="G139" s="42">
        <f>W92+X92+Y92</f>
        <v>-0.89100130000000011</v>
      </c>
      <c r="H139" s="42">
        <f>J92+K92+L92+M92+N92+P92</f>
        <v>0</v>
      </c>
      <c r="I139" s="42">
        <f>AU92</f>
        <v>-9.9648017000000007</v>
      </c>
      <c r="J139" s="42">
        <f>AV92</f>
        <v>-16.756000700000001</v>
      </c>
      <c r="K139" s="49"/>
      <c r="L139" s="49" t="s">
        <v>229</v>
      </c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54"/>
      <c r="AY139" s="54"/>
      <c r="AZ139" s="22"/>
    </row>
    <row r="140" spans="1:52">
      <c r="A140" s="107" t="str">
        <f>A94</f>
        <v>PIPELINE</v>
      </c>
      <c r="B140" s="135" t="s">
        <v>230</v>
      </c>
      <c r="C140" s="42">
        <f>-(Q94+F94-MAX(0,C139))</f>
        <v>-5.04007E-2</v>
      </c>
      <c r="D140" s="42">
        <f>B94+C94+D94+E94+G94+H94+I94</f>
        <v>0</v>
      </c>
      <c r="E140" s="42">
        <f>-(R94+S94+T94+U94+V94)</f>
        <v>0</v>
      </c>
      <c r="F140" s="42">
        <f>-(Z94+AA94+AB94+AC94+AD94+AE94+AF94+AG94+AH94+AI94+AJ94+AK94+AM94+AL94)</f>
        <v>0</v>
      </c>
      <c r="G140" s="42">
        <f>W94+X94+Y94</f>
        <v>0</v>
      </c>
      <c r="H140" s="42">
        <f>-(J94+K94+L94+M94+N94+P94)</f>
        <v>0</v>
      </c>
      <c r="I140" s="42">
        <f>-AU94</f>
        <v>0</v>
      </c>
      <c r="J140" s="42">
        <f>-AV94</f>
        <v>0</v>
      </c>
      <c r="K140" s="49"/>
      <c r="L140" s="145">
        <f>SUM(MIN(0,Q54+Q55),Q62:Q67,Q80,Q92,-Q93)</f>
        <v>-70.721097799999995</v>
      </c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54"/>
      <c r="AY140" s="54"/>
      <c r="AZ140" s="22"/>
    </row>
    <row r="141" spans="1:52">
      <c r="A141" s="107" t="s">
        <v>25</v>
      </c>
      <c r="B141" s="107" t="s">
        <v>25</v>
      </c>
      <c r="C141" s="42">
        <f t="shared" ref="C141:J141" si="57">SUM(C131:C138)</f>
        <v>-3.1148997</v>
      </c>
      <c r="D141" s="42">
        <f t="shared" si="57"/>
        <v>-3.2462980999999997</v>
      </c>
      <c r="E141" s="42">
        <f t="shared" si="57"/>
        <v>0</v>
      </c>
      <c r="F141" s="42">
        <f t="shared" si="57"/>
        <v>-4.0320014000000004</v>
      </c>
      <c r="G141" s="42">
        <f t="shared" si="57"/>
        <v>-23.512499400000003</v>
      </c>
      <c r="H141" s="42">
        <f t="shared" si="57"/>
        <v>0</v>
      </c>
      <c r="I141" s="42">
        <f t="shared" si="57"/>
        <v>-4.4496012</v>
      </c>
      <c r="J141" s="42">
        <f t="shared" si="57"/>
        <v>-5.4770001000000006</v>
      </c>
      <c r="K141" s="49"/>
      <c r="L141" s="49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48"/>
      <c r="AY141" s="48"/>
      <c r="AZ141" s="22"/>
    </row>
    <row r="142" spans="1:52">
      <c r="A142" s="22"/>
      <c r="B142" s="22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48"/>
      <c r="AY142" s="48"/>
      <c r="AZ142" s="22"/>
    </row>
    <row r="143" spans="1:52" ht="18">
      <c r="A143" s="47" t="s">
        <v>231</v>
      </c>
      <c r="B143" s="47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48"/>
      <c r="AY143" s="48"/>
      <c r="AZ143" s="22"/>
    </row>
    <row r="144" spans="1:52" ht="33.75">
      <c r="A144" s="142"/>
      <c r="B144" s="142" t="s">
        <v>209</v>
      </c>
      <c r="C144" s="428" t="s">
        <v>210</v>
      </c>
      <c r="D144" s="428" t="s">
        <v>211</v>
      </c>
      <c r="E144" s="428" t="s">
        <v>212</v>
      </c>
      <c r="F144" s="428" t="s">
        <v>213</v>
      </c>
      <c r="G144" s="428" t="s">
        <v>27</v>
      </c>
      <c r="H144" s="428" t="s">
        <v>214</v>
      </c>
      <c r="I144" s="428" t="s">
        <v>215</v>
      </c>
      <c r="J144" s="428" t="s">
        <v>97</v>
      </c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48"/>
      <c r="AY144" s="48"/>
      <c r="AZ144" s="22"/>
    </row>
    <row r="145" spans="1:52" ht="13.5" thickBot="1">
      <c r="A145" s="119"/>
      <c r="B145" s="144"/>
      <c r="C145" s="133" t="str">
        <f t="shared" ref="C145:J146" si="58">C130</f>
        <v>UPNNGA</v>
      </c>
      <c r="D145" s="133" t="str">
        <f t="shared" si="58"/>
        <v>UPNCOA</v>
      </c>
      <c r="E145" s="133" t="str">
        <f t="shared" si="58"/>
        <v>UPNCRD</v>
      </c>
      <c r="F145" s="133" t="str">
        <f t="shared" si="58"/>
        <v>UPNRPP</v>
      </c>
      <c r="G145" s="133" t="str">
        <f t="shared" si="58"/>
        <v>UPNRPG</v>
      </c>
      <c r="H145" s="133" t="str">
        <f t="shared" si="58"/>
        <v>UPNREN</v>
      </c>
      <c r="I145" s="133" t="str">
        <f t="shared" si="58"/>
        <v>UPNELC</v>
      </c>
      <c r="J145" s="133" t="str">
        <f t="shared" si="58"/>
        <v>UPNSTM</v>
      </c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48"/>
      <c r="AY145" s="48"/>
      <c r="AZ145" s="22"/>
    </row>
    <row r="146" spans="1:52">
      <c r="A146" s="107" t="str">
        <f>A131</f>
        <v>MINES</v>
      </c>
      <c r="B146" s="135" t="s">
        <v>224</v>
      </c>
      <c r="C146" s="42">
        <f t="shared" si="58"/>
        <v>0</v>
      </c>
      <c r="D146" s="42">
        <f t="shared" si="58"/>
        <v>0</v>
      </c>
      <c r="E146" s="42">
        <f t="shared" si="58"/>
        <v>0</v>
      </c>
      <c r="F146" s="42">
        <f t="shared" si="58"/>
        <v>0</v>
      </c>
      <c r="G146" s="42">
        <f t="shared" si="58"/>
        <v>0</v>
      </c>
      <c r="H146" s="42">
        <f t="shared" si="58"/>
        <v>0</v>
      </c>
      <c r="I146" s="42">
        <f t="shared" si="58"/>
        <v>0</v>
      </c>
      <c r="J146" s="42">
        <f t="shared" si="58"/>
        <v>0</v>
      </c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54"/>
      <c r="AY146" s="54"/>
      <c r="AZ146" s="22"/>
    </row>
    <row r="147" spans="1:52">
      <c r="A147" s="79" t="str">
        <f>B31</f>
        <v>Hardcoal mines</v>
      </c>
      <c r="B147" s="135" t="s">
        <v>18</v>
      </c>
      <c r="C147" s="42">
        <f>C31*C146</f>
        <v>0</v>
      </c>
      <c r="D147" s="42">
        <f>C31*D146</f>
        <v>0</v>
      </c>
      <c r="E147" s="42">
        <f>C31*E146</f>
        <v>0</v>
      </c>
      <c r="F147" s="42">
        <f>C31*F146</f>
        <v>0</v>
      </c>
      <c r="G147" s="42">
        <f>C31*G146</f>
        <v>0</v>
      </c>
      <c r="H147" s="42">
        <f>C31*H146</f>
        <v>0</v>
      </c>
      <c r="I147" s="42">
        <f>C31*I146</f>
        <v>0</v>
      </c>
      <c r="J147" s="42">
        <f>C31*J146</f>
        <v>0</v>
      </c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54"/>
      <c r="AY147" s="54"/>
      <c r="AZ147" s="22"/>
    </row>
    <row r="148" spans="1:52">
      <c r="A148" s="87" t="str">
        <f>B32</f>
        <v>Browncoal mines</v>
      </c>
      <c r="B148" s="146" t="s">
        <v>18</v>
      </c>
      <c r="C148" s="52">
        <f>C32*C146</f>
        <v>0</v>
      </c>
      <c r="D148" s="52">
        <f>C32*D146</f>
        <v>0</v>
      </c>
      <c r="E148" s="52">
        <f>C32*E146</f>
        <v>0</v>
      </c>
      <c r="F148" s="52">
        <f>C32*F146</f>
        <v>0</v>
      </c>
      <c r="G148" s="52">
        <f>C32*G146</f>
        <v>0</v>
      </c>
      <c r="H148" s="52">
        <f>C32*H146</f>
        <v>0</v>
      </c>
      <c r="I148" s="52">
        <f>C32*I146</f>
        <v>0</v>
      </c>
      <c r="J148" s="52">
        <f>C32*J146</f>
        <v>0</v>
      </c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54"/>
      <c r="AY148" s="54"/>
      <c r="AZ148" s="22"/>
    </row>
    <row r="149" spans="1:52">
      <c r="A149" s="107" t="str">
        <f>A132</f>
        <v>OILGASEX</v>
      </c>
      <c r="B149" s="135" t="s">
        <v>225</v>
      </c>
      <c r="C149" s="42">
        <f t="shared" ref="C149:J149" si="59">C132</f>
        <v>0</v>
      </c>
      <c r="D149" s="42">
        <f t="shared" si="59"/>
        <v>0</v>
      </c>
      <c r="E149" s="42">
        <f t="shared" si="59"/>
        <v>0</v>
      </c>
      <c r="F149" s="42">
        <f t="shared" si="59"/>
        <v>0</v>
      </c>
      <c r="G149" s="42">
        <f t="shared" si="59"/>
        <v>0</v>
      </c>
      <c r="H149" s="42">
        <f t="shared" si="59"/>
        <v>0</v>
      </c>
      <c r="I149" s="42">
        <f t="shared" si="59"/>
        <v>0</v>
      </c>
      <c r="J149" s="42">
        <f t="shared" si="59"/>
        <v>0</v>
      </c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54"/>
      <c r="AY149" s="54"/>
      <c r="AZ149" s="22"/>
    </row>
    <row r="150" spans="1:52">
      <c r="A150" s="79" t="s">
        <v>232</v>
      </c>
      <c r="B150" s="135" t="s">
        <v>18</v>
      </c>
      <c r="C150" s="42">
        <f t="shared" ref="C150:J150" si="60">C38*C$149</f>
        <v>0</v>
      </c>
      <c r="D150" s="42">
        <f t="shared" si="60"/>
        <v>0</v>
      </c>
      <c r="E150" s="42">
        <f t="shared" si="60"/>
        <v>0</v>
      </c>
      <c r="F150" s="42">
        <f t="shared" si="60"/>
        <v>0</v>
      </c>
      <c r="G150" s="42">
        <f t="shared" si="60"/>
        <v>0</v>
      </c>
      <c r="H150" s="42">
        <f t="shared" si="60"/>
        <v>0</v>
      </c>
      <c r="I150" s="42">
        <f t="shared" si="60"/>
        <v>0</v>
      </c>
      <c r="J150" s="42">
        <f t="shared" si="60"/>
        <v>0</v>
      </c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54"/>
      <c r="AY150" s="54"/>
      <c r="AZ150" s="22"/>
    </row>
    <row r="151" spans="1:52">
      <c r="A151" s="79" t="s">
        <v>45</v>
      </c>
      <c r="B151" s="135" t="s">
        <v>18</v>
      </c>
      <c r="C151" s="42">
        <f t="shared" ref="C151:J151" si="61">C39*C41*C$149</f>
        <v>0</v>
      </c>
      <c r="D151" s="42">
        <f t="shared" si="61"/>
        <v>0</v>
      </c>
      <c r="E151" s="42">
        <f t="shared" si="61"/>
        <v>0</v>
      </c>
      <c r="F151" s="42">
        <f t="shared" si="61"/>
        <v>0</v>
      </c>
      <c r="G151" s="42">
        <f t="shared" si="61"/>
        <v>0</v>
      </c>
      <c r="H151" s="42">
        <f t="shared" si="61"/>
        <v>0</v>
      </c>
      <c r="I151" s="42">
        <f t="shared" si="61"/>
        <v>0</v>
      </c>
      <c r="J151" s="42">
        <f t="shared" si="61"/>
        <v>0</v>
      </c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54"/>
      <c r="AY151" s="54"/>
      <c r="AZ151" s="22"/>
    </row>
    <row r="152" spans="1:52">
      <c r="A152" s="79" t="s">
        <v>47</v>
      </c>
      <c r="B152" s="135" t="s">
        <v>18</v>
      </c>
      <c r="C152" s="42">
        <f t="shared" ref="C152:J152" si="62">C39*C42*C$149</f>
        <v>0</v>
      </c>
      <c r="D152" s="42">
        <f t="shared" si="62"/>
        <v>0</v>
      </c>
      <c r="E152" s="42">
        <f t="shared" si="62"/>
        <v>0</v>
      </c>
      <c r="F152" s="42">
        <f t="shared" si="62"/>
        <v>0</v>
      </c>
      <c r="G152" s="42">
        <f t="shared" si="62"/>
        <v>0</v>
      </c>
      <c r="H152" s="42">
        <f t="shared" si="62"/>
        <v>0</v>
      </c>
      <c r="I152" s="42">
        <f t="shared" si="62"/>
        <v>0</v>
      </c>
      <c r="J152" s="42">
        <f t="shared" si="62"/>
        <v>0</v>
      </c>
      <c r="K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54"/>
      <c r="AY152" s="54"/>
      <c r="AZ152" s="22"/>
    </row>
    <row r="153" spans="1:52">
      <c r="A153" s="79" t="s">
        <v>19</v>
      </c>
      <c r="B153" s="135" t="s">
        <v>18</v>
      </c>
      <c r="C153" s="42">
        <f t="shared" ref="C153:J153" si="63">C39*C43*C$149</f>
        <v>0</v>
      </c>
      <c r="D153" s="42">
        <f t="shared" si="63"/>
        <v>0</v>
      </c>
      <c r="E153" s="42">
        <f t="shared" si="63"/>
        <v>0</v>
      </c>
      <c r="F153" s="42">
        <f t="shared" si="63"/>
        <v>0</v>
      </c>
      <c r="G153" s="42">
        <f t="shared" si="63"/>
        <v>0</v>
      </c>
      <c r="H153" s="42">
        <f t="shared" si="63"/>
        <v>0</v>
      </c>
      <c r="I153" s="42">
        <f t="shared" si="63"/>
        <v>0</v>
      </c>
      <c r="J153" s="42">
        <f t="shared" si="63"/>
        <v>0</v>
      </c>
      <c r="K153" s="57"/>
      <c r="L153" s="14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54"/>
      <c r="AY153" s="54"/>
      <c r="AZ153" s="22"/>
    </row>
    <row r="154" spans="1:52">
      <c r="A154" s="79" t="s">
        <v>21</v>
      </c>
      <c r="B154" s="135" t="s">
        <v>18</v>
      </c>
      <c r="C154" s="42">
        <f t="shared" ref="C154:J155" si="64">C39*C44*C$149</f>
        <v>0</v>
      </c>
      <c r="D154" s="42">
        <f t="shared" si="64"/>
        <v>0</v>
      </c>
      <c r="E154" s="42">
        <f t="shared" si="64"/>
        <v>0</v>
      </c>
      <c r="F154" s="42">
        <f t="shared" si="64"/>
        <v>0</v>
      </c>
      <c r="G154" s="42">
        <f t="shared" si="64"/>
        <v>0</v>
      </c>
      <c r="H154" s="42">
        <f t="shared" si="64"/>
        <v>0</v>
      </c>
      <c r="I154" s="42">
        <f t="shared" si="64"/>
        <v>0</v>
      </c>
      <c r="J154" s="42">
        <f t="shared" si="64"/>
        <v>0</v>
      </c>
      <c r="K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54"/>
      <c r="AY154" s="54"/>
      <c r="AZ154" s="22"/>
    </row>
    <row r="155" spans="1:52">
      <c r="A155" s="79" t="s">
        <v>17</v>
      </c>
      <c r="B155" s="135" t="s">
        <v>18</v>
      </c>
      <c r="C155" s="42">
        <f t="shared" si="64"/>
        <v>0</v>
      </c>
      <c r="D155" s="42">
        <f t="shared" si="64"/>
        <v>0</v>
      </c>
      <c r="E155" s="42">
        <f t="shared" si="64"/>
        <v>0</v>
      </c>
      <c r="F155" s="42">
        <f t="shared" si="64"/>
        <v>0</v>
      </c>
      <c r="G155" s="42">
        <f t="shared" si="64"/>
        <v>0</v>
      </c>
      <c r="H155" s="42">
        <f t="shared" si="64"/>
        <v>0</v>
      </c>
      <c r="I155" s="42">
        <f t="shared" si="64"/>
        <v>0</v>
      </c>
      <c r="J155" s="42">
        <f t="shared" si="64"/>
        <v>0</v>
      </c>
      <c r="K155" s="57"/>
      <c r="L155" s="14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54"/>
      <c r="AY155" s="54"/>
      <c r="AZ155" s="22"/>
    </row>
    <row r="156" spans="1:52">
      <c r="A156" s="87" t="s">
        <v>23</v>
      </c>
      <c r="B156" s="146" t="s">
        <v>18</v>
      </c>
      <c r="C156" s="52">
        <f t="shared" ref="C156:J156" si="65">C39*C46*C$149</f>
        <v>0</v>
      </c>
      <c r="D156" s="52">
        <f t="shared" si="65"/>
        <v>0</v>
      </c>
      <c r="E156" s="52">
        <f t="shared" si="65"/>
        <v>0</v>
      </c>
      <c r="F156" s="52">
        <f t="shared" si="65"/>
        <v>0</v>
      </c>
      <c r="G156" s="52">
        <f t="shared" si="65"/>
        <v>0</v>
      </c>
      <c r="H156" s="52">
        <f t="shared" si="65"/>
        <v>0</v>
      </c>
      <c r="I156" s="52">
        <f t="shared" si="65"/>
        <v>0</v>
      </c>
      <c r="J156" s="52">
        <f t="shared" si="65"/>
        <v>0</v>
      </c>
      <c r="K156" s="49"/>
      <c r="L156" s="49"/>
      <c r="M156" s="49"/>
      <c r="N156" s="49"/>
      <c r="O156" s="49"/>
      <c r="P156" s="49"/>
      <c r="Q156" s="49"/>
      <c r="R156" s="49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54"/>
      <c r="AY156" s="54"/>
      <c r="AZ156" s="22"/>
    </row>
    <row r="157" spans="1:52">
      <c r="A157" s="107" t="str">
        <f t="shared" ref="A157:A162" si="66">A133</f>
        <v>EPATFUEL</v>
      </c>
      <c r="B157" s="135" t="s">
        <v>196</v>
      </c>
      <c r="C157" s="42">
        <f t="shared" ref="C157:J160" si="67">C133</f>
        <v>0</v>
      </c>
      <c r="D157" s="42">
        <f t="shared" si="67"/>
        <v>0</v>
      </c>
      <c r="E157" s="42">
        <f t="shared" si="67"/>
        <v>0</v>
      </c>
      <c r="F157" s="42">
        <f t="shared" si="67"/>
        <v>0</v>
      </c>
      <c r="G157" s="42">
        <f t="shared" si="67"/>
        <v>0</v>
      </c>
      <c r="H157" s="42">
        <f t="shared" si="67"/>
        <v>0</v>
      </c>
      <c r="I157" s="42">
        <f t="shared" si="67"/>
        <v>0</v>
      </c>
      <c r="J157" s="42">
        <f t="shared" si="67"/>
        <v>0</v>
      </c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54"/>
      <c r="AY157" s="54"/>
      <c r="AZ157" s="22"/>
    </row>
    <row r="158" spans="1:52">
      <c r="A158" s="107" t="str">
        <f t="shared" si="66"/>
        <v>ECOKEOVS</v>
      </c>
      <c r="B158" s="135" t="s">
        <v>197</v>
      </c>
      <c r="C158" s="42">
        <f t="shared" si="67"/>
        <v>0</v>
      </c>
      <c r="D158" s="42">
        <f t="shared" si="67"/>
        <v>-3.2462980999999997</v>
      </c>
      <c r="E158" s="42">
        <f t="shared" si="67"/>
        <v>0</v>
      </c>
      <c r="F158" s="42">
        <f t="shared" si="67"/>
        <v>0</v>
      </c>
      <c r="G158" s="42">
        <f t="shared" si="67"/>
        <v>0</v>
      </c>
      <c r="H158" s="42">
        <f t="shared" si="67"/>
        <v>0</v>
      </c>
      <c r="I158" s="42">
        <f t="shared" si="67"/>
        <v>0</v>
      </c>
      <c r="J158" s="42">
        <f t="shared" si="67"/>
        <v>0</v>
      </c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54"/>
      <c r="AY158" s="54"/>
      <c r="AZ158" s="22"/>
    </row>
    <row r="159" spans="1:52">
      <c r="A159" s="107" t="str">
        <f t="shared" si="66"/>
        <v>EGASWKS</v>
      </c>
      <c r="B159" s="135" t="s">
        <v>198</v>
      </c>
      <c r="C159" s="42">
        <f t="shared" si="67"/>
        <v>0</v>
      </c>
      <c r="D159" s="42">
        <f t="shared" si="67"/>
        <v>0</v>
      </c>
      <c r="E159" s="42">
        <f t="shared" si="67"/>
        <v>0</v>
      </c>
      <c r="F159" s="42">
        <f t="shared" si="67"/>
        <v>0</v>
      </c>
      <c r="G159" s="42">
        <f t="shared" si="67"/>
        <v>0</v>
      </c>
      <c r="H159" s="42">
        <f t="shared" si="67"/>
        <v>0</v>
      </c>
      <c r="I159" s="42">
        <f t="shared" si="67"/>
        <v>0</v>
      </c>
      <c r="J159" s="42">
        <f t="shared" si="67"/>
        <v>0</v>
      </c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54"/>
      <c r="AY159" s="54"/>
      <c r="AZ159" s="22"/>
    </row>
    <row r="160" spans="1:52">
      <c r="A160" s="107" t="str">
        <f t="shared" si="66"/>
        <v>EBKB</v>
      </c>
      <c r="B160" s="135" t="s">
        <v>201</v>
      </c>
      <c r="C160" s="42">
        <f t="shared" si="67"/>
        <v>0</v>
      </c>
      <c r="D160" s="42">
        <f t="shared" si="67"/>
        <v>0</v>
      </c>
      <c r="E160" s="42">
        <f t="shared" si="67"/>
        <v>0</v>
      </c>
      <c r="F160" s="42">
        <f t="shared" si="67"/>
        <v>0</v>
      </c>
      <c r="G160" s="42">
        <f t="shared" si="67"/>
        <v>0</v>
      </c>
      <c r="H160" s="42">
        <f t="shared" si="67"/>
        <v>0</v>
      </c>
      <c r="I160" s="42">
        <f t="shared" si="67"/>
        <v>0</v>
      </c>
      <c r="J160" s="42">
        <f t="shared" si="67"/>
        <v>0</v>
      </c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54"/>
      <c r="AY160" s="54"/>
      <c r="AZ160" s="22"/>
    </row>
    <row r="161" spans="1:52">
      <c r="A161" s="147" t="str">
        <f t="shared" si="66"/>
        <v>EREFINER</v>
      </c>
      <c r="B161" s="148" t="s">
        <v>226</v>
      </c>
      <c r="C161" s="149">
        <f>C137+S180</f>
        <v>-2.9180594449133928</v>
      </c>
      <c r="D161" s="149">
        <f>D137+S183</f>
        <v>0</v>
      </c>
      <c r="E161" s="149">
        <f>E137</f>
        <v>0</v>
      </c>
      <c r="F161" s="149">
        <f>F137+S181</f>
        <v>-3.7772066199030494</v>
      </c>
      <c r="G161" s="149">
        <f>G137+S182</f>
        <v>-22.026671018553337</v>
      </c>
      <c r="H161" s="149">
        <f>H137</f>
        <v>0</v>
      </c>
      <c r="I161" s="149">
        <f>I137</f>
        <v>-4.4496012</v>
      </c>
      <c r="J161" s="149">
        <f>J137-$R$184</f>
        <v>-7.0269708333041789</v>
      </c>
      <c r="K161" s="150" t="s">
        <v>233</v>
      </c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54"/>
      <c r="AY161" s="54"/>
      <c r="AZ161" s="22"/>
    </row>
    <row r="162" spans="1:52">
      <c r="A162" s="106" t="str">
        <f t="shared" si="66"/>
        <v>ENONSPEC</v>
      </c>
      <c r="B162" s="146" t="s">
        <v>227</v>
      </c>
      <c r="C162" s="52">
        <f>C138</f>
        <v>0</v>
      </c>
      <c r="D162" s="52">
        <f>D138</f>
        <v>0</v>
      </c>
      <c r="E162" s="52">
        <f>E138</f>
        <v>0</v>
      </c>
      <c r="F162" s="52">
        <f>F138</f>
        <v>0</v>
      </c>
      <c r="G162" s="52">
        <f>G138</f>
        <v>0</v>
      </c>
      <c r="H162" s="52">
        <f>H138</f>
        <v>0</v>
      </c>
      <c r="I162" s="52">
        <f>I138</f>
        <v>0</v>
      </c>
      <c r="J162" s="52">
        <f>J138</f>
        <v>0</v>
      </c>
      <c r="K162" s="150" t="s">
        <v>234</v>
      </c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54"/>
      <c r="AY162" s="54"/>
      <c r="AZ162" s="22"/>
    </row>
    <row r="163" spans="1:52">
      <c r="A163" s="107" t="str">
        <f>A140</f>
        <v>PIPELINE</v>
      </c>
      <c r="B163" s="135" t="s">
        <v>230</v>
      </c>
      <c r="C163" s="42">
        <f t="shared" ref="C163:J163" si="68">C140</f>
        <v>-5.04007E-2</v>
      </c>
      <c r="D163" s="42">
        <f t="shared" si="68"/>
        <v>0</v>
      </c>
      <c r="E163" s="42">
        <f t="shared" si="68"/>
        <v>0</v>
      </c>
      <c r="F163" s="42">
        <f t="shared" si="68"/>
        <v>0</v>
      </c>
      <c r="G163" s="42">
        <f t="shared" si="68"/>
        <v>0</v>
      </c>
      <c r="H163" s="42">
        <f t="shared" si="68"/>
        <v>0</v>
      </c>
      <c r="I163" s="42">
        <f t="shared" si="68"/>
        <v>0</v>
      </c>
      <c r="J163" s="42">
        <f t="shared" si="68"/>
        <v>0</v>
      </c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54"/>
      <c r="AY163" s="54"/>
      <c r="AZ163" s="22"/>
    </row>
    <row r="164" spans="1:52">
      <c r="A164" s="79" t="str">
        <f>B24</f>
        <v>Oil pipelines</v>
      </c>
      <c r="B164" s="135" t="s">
        <v>18</v>
      </c>
      <c r="C164" s="42">
        <f t="shared" ref="C164:J164" si="69">C24*C163</f>
        <v>-1.5120209999999999E-2</v>
      </c>
      <c r="D164" s="42">
        <f t="shared" si="69"/>
        <v>0</v>
      </c>
      <c r="E164" s="42">
        <f t="shared" si="69"/>
        <v>0</v>
      </c>
      <c r="F164" s="42">
        <f t="shared" si="69"/>
        <v>0</v>
      </c>
      <c r="G164" s="42">
        <f t="shared" si="69"/>
        <v>0</v>
      </c>
      <c r="H164" s="42">
        <f t="shared" si="69"/>
        <v>0</v>
      </c>
      <c r="I164" s="42">
        <f t="shared" si="69"/>
        <v>0</v>
      </c>
      <c r="J164" s="42">
        <f t="shared" si="69"/>
        <v>0</v>
      </c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54"/>
      <c r="AY164" s="54"/>
      <c r="AZ164" s="22"/>
    </row>
    <row r="165" spans="1:52">
      <c r="A165" s="79" t="str">
        <f>B25</f>
        <v>Gas pipelines</v>
      </c>
      <c r="B165" s="135" t="s">
        <v>18</v>
      </c>
      <c r="C165" s="42">
        <f t="shared" ref="C165:J165" si="70">C25*C163</f>
        <v>-2.0160280000000003E-2</v>
      </c>
      <c r="D165" s="42">
        <f t="shared" si="70"/>
        <v>0</v>
      </c>
      <c r="E165" s="42">
        <f t="shared" si="70"/>
        <v>0</v>
      </c>
      <c r="F165" s="42">
        <f t="shared" si="70"/>
        <v>0</v>
      </c>
      <c r="G165" s="42">
        <f t="shared" si="70"/>
        <v>0</v>
      </c>
      <c r="H165" s="42">
        <f t="shared" si="70"/>
        <v>0</v>
      </c>
      <c r="I165" s="42">
        <f t="shared" si="70"/>
        <v>0</v>
      </c>
      <c r="J165" s="42">
        <f t="shared" si="70"/>
        <v>0</v>
      </c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54"/>
      <c r="AY165" s="54"/>
      <c r="AZ165" s="22"/>
    </row>
    <row r="166" spans="1:52">
      <c r="A166" s="79" t="str">
        <f>B26</f>
        <v>Rpp pipelines</v>
      </c>
      <c r="B166" s="135" t="s">
        <v>18</v>
      </c>
      <c r="C166" s="42">
        <f t="shared" ref="C166:J166" si="71">C26*C163</f>
        <v>-1.5120209999999999E-2</v>
      </c>
      <c r="D166" s="42">
        <f t="shared" si="71"/>
        <v>0</v>
      </c>
      <c r="E166" s="42">
        <f t="shared" si="71"/>
        <v>0</v>
      </c>
      <c r="F166" s="42">
        <f t="shared" si="71"/>
        <v>0</v>
      </c>
      <c r="G166" s="42">
        <f t="shared" si="71"/>
        <v>0</v>
      </c>
      <c r="H166" s="42">
        <f t="shared" si="71"/>
        <v>0</v>
      </c>
      <c r="I166" s="42">
        <f t="shared" si="71"/>
        <v>0</v>
      </c>
      <c r="J166" s="42">
        <f t="shared" si="71"/>
        <v>0</v>
      </c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54"/>
      <c r="AY166" s="54"/>
      <c r="AZ166" s="22"/>
    </row>
    <row r="167" spans="1:52">
      <c r="A167" s="22"/>
      <c r="B167" s="151"/>
      <c r="C167" s="49"/>
      <c r="D167" s="49"/>
      <c r="E167" s="49"/>
      <c r="F167" s="49"/>
      <c r="G167" s="49"/>
      <c r="H167" s="49"/>
      <c r="I167" s="49"/>
      <c r="J167" s="57"/>
      <c r="K167" s="57"/>
      <c r="L167" s="57"/>
      <c r="M167" s="57"/>
      <c r="N167" s="22"/>
      <c r="O167" s="22"/>
      <c r="P167" s="22"/>
      <c r="Q167" s="22"/>
      <c r="R167" s="22"/>
      <c r="S167" s="22"/>
      <c r="T167" s="22"/>
      <c r="U167" s="22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54"/>
      <c r="AY167" s="54"/>
      <c r="AZ167" s="22"/>
    </row>
    <row r="168" spans="1:52" ht="18">
      <c r="A168" s="152" t="s">
        <v>235</v>
      </c>
      <c r="B168" s="153"/>
      <c r="C168" s="154"/>
      <c r="D168" s="155"/>
      <c r="E168" s="36"/>
      <c r="F168" s="22"/>
      <c r="G168" s="22"/>
      <c r="H168" s="152" t="s">
        <v>236</v>
      </c>
      <c r="I168" s="153"/>
      <c r="J168" s="154"/>
      <c r="K168" s="155"/>
      <c r="L168" s="36"/>
      <c r="M168" s="22"/>
      <c r="N168" s="22"/>
      <c r="O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spans="1:52">
      <c r="A169" s="156" t="s">
        <v>237</v>
      </c>
      <c r="B169" s="157">
        <v>4.5637313924872913E-2</v>
      </c>
      <c r="C169" s="158" t="s">
        <v>238</v>
      </c>
      <c r="D169" s="158" t="s">
        <v>239</v>
      </c>
      <c r="E169" s="158" t="s">
        <v>240</v>
      </c>
      <c r="F169" s="22"/>
      <c r="G169" s="22"/>
      <c r="H169" s="159" t="s">
        <v>241</v>
      </c>
      <c r="I169" s="159"/>
      <c r="J169" s="160">
        <f>B169</f>
        <v>4.5637313924872913E-2</v>
      </c>
      <c r="K169" s="161" t="s">
        <v>242</v>
      </c>
      <c r="L169" s="16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 spans="1:52">
      <c r="A170" s="163"/>
      <c r="B170" s="164"/>
      <c r="C170" s="165">
        <v>-4.1868000000000002E-2</v>
      </c>
      <c r="D170" s="166">
        <v>3.5999999999999999E-3</v>
      </c>
      <c r="E170" s="166">
        <v>1E-3</v>
      </c>
      <c r="F170" s="22"/>
      <c r="G170" s="22"/>
      <c r="H170" s="161"/>
      <c r="I170" s="161"/>
      <c r="J170" s="161"/>
      <c r="K170" s="161"/>
      <c r="L170" s="16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spans="1:52" ht="13.5" thickBot="1">
      <c r="A171" s="167"/>
      <c r="B171" s="168" t="s">
        <v>243</v>
      </c>
      <c r="C171" s="169" t="s">
        <v>244</v>
      </c>
      <c r="D171" s="169" t="s">
        <v>245</v>
      </c>
      <c r="E171" s="169" t="s">
        <v>246</v>
      </c>
      <c r="F171" s="22"/>
      <c r="G171" s="22"/>
      <c r="H171" s="170"/>
      <c r="I171" s="171" t="s">
        <v>238</v>
      </c>
      <c r="J171" s="171" t="s">
        <v>239</v>
      </c>
      <c r="K171" s="171" t="s">
        <v>240</v>
      </c>
      <c r="L171" s="172" t="s">
        <v>247</v>
      </c>
      <c r="M171" s="172"/>
      <c r="O171" s="173">
        <v>4.4000000000000004</v>
      </c>
      <c r="P171" t="s">
        <v>248</v>
      </c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spans="1:52">
      <c r="A172" s="174" t="s">
        <v>249</v>
      </c>
      <c r="B172" s="175" t="s">
        <v>56</v>
      </c>
      <c r="C172" s="176">
        <v>0</v>
      </c>
      <c r="D172" s="177">
        <v>0</v>
      </c>
      <c r="E172" s="177">
        <v>0</v>
      </c>
      <c r="F172" s="22"/>
      <c r="G172" s="22"/>
      <c r="H172" s="178" t="s">
        <v>250</v>
      </c>
      <c r="I172" s="179">
        <f>C172+C176</f>
        <v>-2.6564125462589487</v>
      </c>
      <c r="J172" s="179">
        <f>D172+D176</f>
        <v>9.3166477099587599</v>
      </c>
      <c r="K172" s="179">
        <f>E172+E176</f>
        <v>-11.560494501226739</v>
      </c>
      <c r="L172" s="180">
        <f t="shared" ref="L172:L187" si="72">IF(I172=0,0,J172/I172)</f>
        <v>-3.5072292227649218</v>
      </c>
      <c r="M172" s="180">
        <f t="shared" ref="M172:M187" si="73">IF(K172=0,0,J172/K172)</f>
        <v>-0.80590390912517851</v>
      </c>
      <c r="O172" s="181">
        <v>1.6</v>
      </c>
      <c r="P172" t="s">
        <v>251</v>
      </c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 spans="1:52">
      <c r="A173" s="174" t="s">
        <v>252</v>
      </c>
      <c r="B173" s="175" t="s">
        <v>58</v>
      </c>
      <c r="C173" s="176">
        <v>0</v>
      </c>
      <c r="D173" s="177">
        <v>0</v>
      </c>
      <c r="E173" s="177">
        <v>0</v>
      </c>
      <c r="F173" s="22"/>
      <c r="G173" s="22"/>
      <c r="H173" s="178" t="s">
        <v>74</v>
      </c>
      <c r="I173" s="179">
        <f>C178</f>
        <v>0</v>
      </c>
      <c r="J173" s="179">
        <f>D178</f>
        <v>0</v>
      </c>
      <c r="K173" s="179">
        <f>E178</f>
        <v>0</v>
      </c>
      <c r="L173" s="180">
        <f t="shared" si="72"/>
        <v>0</v>
      </c>
      <c r="M173" s="180">
        <f t="shared" si="73"/>
        <v>0</v>
      </c>
      <c r="O173" s="182">
        <f>-SUM(R76,T76,V76)</f>
        <v>574.86952020000001</v>
      </c>
      <c r="P173" t="s">
        <v>253</v>
      </c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spans="1:52">
      <c r="A174" s="174" t="s">
        <v>254</v>
      </c>
      <c r="B174" s="175" t="s">
        <v>57</v>
      </c>
      <c r="C174" s="176">
        <v>0</v>
      </c>
      <c r="D174" s="177">
        <v>0</v>
      </c>
      <c r="E174" s="177">
        <v>0</v>
      </c>
      <c r="F174" s="22"/>
      <c r="G174" s="22"/>
      <c r="H174" s="178" t="s">
        <v>17</v>
      </c>
      <c r="I174" s="179">
        <f>C185</f>
        <v>0</v>
      </c>
      <c r="J174" s="179">
        <f>D185</f>
        <v>0</v>
      </c>
      <c r="K174" s="179">
        <f>E185</f>
        <v>0</v>
      </c>
      <c r="L174" s="180">
        <f t="shared" si="72"/>
        <v>0</v>
      </c>
      <c r="M174" s="180">
        <f t="shared" si="73"/>
        <v>0</v>
      </c>
      <c r="O174" s="183">
        <f>O173*O171/1000</f>
        <v>2.5294258888800005</v>
      </c>
      <c r="P174" t="s">
        <v>255</v>
      </c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spans="1:52">
      <c r="A175" s="174" t="s">
        <v>256</v>
      </c>
      <c r="B175" s="175" t="s">
        <v>59</v>
      </c>
      <c r="C175" s="176">
        <v>0</v>
      </c>
      <c r="D175" s="177">
        <v>0</v>
      </c>
      <c r="E175" s="177">
        <v>0</v>
      </c>
      <c r="F175" s="22"/>
      <c r="G175" s="22"/>
      <c r="H175" s="178" t="s">
        <v>257</v>
      </c>
      <c r="I175" s="179">
        <f>C197+C198</f>
        <v>8.9816481288776764</v>
      </c>
      <c r="J175" s="179">
        <f>D197+D198</f>
        <v>3.4594422915544145</v>
      </c>
      <c r="K175" s="179">
        <f>E197+E198</f>
        <v>4.142061144406604</v>
      </c>
      <c r="L175" s="180">
        <f t="shared" si="72"/>
        <v>0.38516787141011027</v>
      </c>
      <c r="M175" s="180">
        <f t="shared" si="73"/>
        <v>0.83519826746787873</v>
      </c>
      <c r="O175" s="183">
        <f>O174/O172</f>
        <v>1.5808911805500003</v>
      </c>
      <c r="P175" t="s">
        <v>258</v>
      </c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 spans="1:52">
      <c r="A176" s="174" t="s">
        <v>229</v>
      </c>
      <c r="B176" s="175" t="s">
        <v>67</v>
      </c>
      <c r="C176" s="176">
        <v>-2.6564125462589487</v>
      </c>
      <c r="D176" s="177">
        <v>9.3166477099587599</v>
      </c>
      <c r="E176" s="177">
        <v>-11.560494501226739</v>
      </c>
      <c r="F176" s="22"/>
      <c r="G176" s="22"/>
      <c r="H176" s="178" t="s">
        <v>259</v>
      </c>
      <c r="I176" s="179">
        <f>C199</f>
        <v>0</v>
      </c>
      <c r="J176" s="179">
        <f>D199</f>
        <v>0</v>
      </c>
      <c r="K176" s="179">
        <f>E199</f>
        <v>0</v>
      </c>
      <c r="L176" s="180">
        <f t="shared" si="72"/>
        <v>0</v>
      </c>
      <c r="M176" s="180">
        <f t="shared" si="73"/>
        <v>0</v>
      </c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spans="1:52">
      <c r="A177" s="174" t="s">
        <v>260</v>
      </c>
      <c r="B177" s="175" t="s">
        <v>72</v>
      </c>
      <c r="C177" s="176">
        <v>0.95017114675018732</v>
      </c>
      <c r="D177" s="177">
        <v>2.9737029339069812E-2</v>
      </c>
      <c r="E177" s="177">
        <v>0.77256428331000659</v>
      </c>
      <c r="F177" s="22"/>
      <c r="G177" s="22"/>
      <c r="H177" s="178" t="s">
        <v>261</v>
      </c>
      <c r="I177" s="179">
        <f>C174</f>
        <v>0</v>
      </c>
      <c r="J177" s="179">
        <f>D174</f>
        <v>0</v>
      </c>
      <c r="K177" s="179">
        <f>E174</f>
        <v>0</v>
      </c>
      <c r="L177" s="180">
        <f t="shared" si="72"/>
        <v>0</v>
      </c>
      <c r="M177" s="180">
        <f t="shared" si="73"/>
        <v>0</v>
      </c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 spans="1:52" ht="18">
      <c r="A178" s="174" t="s">
        <v>262</v>
      </c>
      <c r="B178" s="175" t="s">
        <v>74</v>
      </c>
      <c r="C178" s="176">
        <v>0</v>
      </c>
      <c r="D178" s="177">
        <v>0</v>
      </c>
      <c r="E178" s="177">
        <v>0</v>
      </c>
      <c r="F178" s="22"/>
      <c r="G178" s="22"/>
      <c r="H178" s="178" t="s">
        <v>263</v>
      </c>
      <c r="I178" s="179">
        <f>C173</f>
        <v>0</v>
      </c>
      <c r="J178" s="179">
        <f>D173</f>
        <v>0</v>
      </c>
      <c r="K178" s="179">
        <f>E173</f>
        <v>0</v>
      </c>
      <c r="L178" s="180">
        <f t="shared" si="72"/>
        <v>0</v>
      </c>
      <c r="M178" s="180">
        <f t="shared" si="73"/>
        <v>0</v>
      </c>
      <c r="P178" s="152" t="s">
        <v>264</v>
      </c>
      <c r="Q178" s="154"/>
      <c r="R178" s="155"/>
      <c r="S178" s="154"/>
      <c r="T178" s="48"/>
      <c r="U178" s="22"/>
      <c r="V178" s="22"/>
      <c r="W178" s="22"/>
      <c r="X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spans="1:52" ht="13.5" thickBot="1">
      <c r="A179" s="184" t="s">
        <v>265</v>
      </c>
      <c r="B179" s="185" t="s">
        <v>73</v>
      </c>
      <c r="C179" s="186">
        <v>0</v>
      </c>
      <c r="D179" s="186">
        <v>0</v>
      </c>
      <c r="E179" s="186">
        <v>0</v>
      </c>
      <c r="F179" s="22"/>
      <c r="G179" s="22"/>
      <c r="H179" s="178" t="s">
        <v>266</v>
      </c>
      <c r="I179" s="179">
        <f>C175</f>
        <v>0</v>
      </c>
      <c r="J179" s="179">
        <f>D175</f>
        <v>0</v>
      </c>
      <c r="K179" s="179">
        <f>E175</f>
        <v>0</v>
      </c>
      <c r="L179" s="180">
        <f t="shared" si="72"/>
        <v>0</v>
      </c>
      <c r="M179" s="180">
        <f t="shared" si="73"/>
        <v>0</v>
      </c>
      <c r="P179" s="187" t="s">
        <v>267</v>
      </c>
      <c r="Q179" s="187" t="s">
        <v>268</v>
      </c>
      <c r="R179" s="187" t="s">
        <v>269</v>
      </c>
      <c r="S179" s="188" t="s">
        <v>238</v>
      </c>
      <c r="U179" s="22"/>
      <c r="V179" s="22"/>
      <c r="W179" s="22"/>
      <c r="X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spans="1:52">
      <c r="A180" s="189" t="s">
        <v>270</v>
      </c>
      <c r="B180" s="190" t="s">
        <v>270</v>
      </c>
      <c r="C180" s="191">
        <v>-1.7062413995087615</v>
      </c>
      <c r="D180" s="192">
        <v>9.3463847392978305</v>
      </c>
      <c r="E180" s="192">
        <v>-10.787930217916731</v>
      </c>
      <c r="F180" s="22"/>
      <c r="G180" s="22"/>
      <c r="H180" s="178" t="s">
        <v>271</v>
      </c>
      <c r="I180" s="179">
        <f>C189+C181+C186+C187</f>
        <v>5.6633431821646623</v>
      </c>
      <c r="J180" s="179">
        <f>D189+D181+D186+D187</f>
        <v>0.47142288752288414</v>
      </c>
      <c r="K180" s="179">
        <f>E189+E181+E186+E187</f>
        <v>4.5494305031064926</v>
      </c>
      <c r="L180" s="180">
        <f t="shared" si="72"/>
        <v>8.3241094943269048E-2</v>
      </c>
      <c r="M180" s="180">
        <f t="shared" si="73"/>
        <v>0.10362239563852706</v>
      </c>
      <c r="O180" s="193" t="s">
        <v>216</v>
      </c>
      <c r="P180" s="194">
        <f>-C137</f>
        <v>3.1148997</v>
      </c>
      <c r="Q180" s="195">
        <v>0.8</v>
      </c>
      <c r="R180" s="194">
        <f>IF(P$184&gt;0,P180*Q180*N$206/Q$184,0)</f>
        <v>0.15747220406928586</v>
      </c>
      <c r="S180" s="196">
        <f>R180/Q180</f>
        <v>0.19684025508660732</v>
      </c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 spans="1:52">
      <c r="A181" s="174" t="s">
        <v>272</v>
      </c>
      <c r="B181" s="175" t="s">
        <v>68</v>
      </c>
      <c r="C181" s="176">
        <v>0</v>
      </c>
      <c r="D181" s="177">
        <v>0</v>
      </c>
      <c r="E181" s="177">
        <v>0</v>
      </c>
      <c r="F181" s="22"/>
      <c r="G181" s="22"/>
      <c r="H181" s="178" t="s">
        <v>273</v>
      </c>
      <c r="I181" s="179">
        <f>C182+C183+C188</f>
        <v>0.27955779345765142</v>
      </c>
      <c r="J181" s="179">
        <f>D182+D183+D188</f>
        <v>5.6031841074697733E-2</v>
      </c>
      <c r="K181" s="179">
        <f>E182+E183+E188</f>
        <v>0.21106220905307671</v>
      </c>
      <c r="L181" s="180">
        <f t="shared" si="72"/>
        <v>0.20043025945254384</v>
      </c>
      <c r="M181" s="180">
        <f t="shared" si="73"/>
        <v>0.26547547913045472</v>
      </c>
      <c r="O181" s="193" t="s">
        <v>219</v>
      </c>
      <c r="P181" s="194">
        <f>-F137</f>
        <v>4.0320014000000004</v>
      </c>
      <c r="Q181" s="195">
        <v>0.8</v>
      </c>
      <c r="R181" s="194">
        <f>IF(P$184&gt;0,P181*Q181*N$206/Q$184,0)</f>
        <v>0.20383582407756062</v>
      </c>
      <c r="S181" s="196">
        <f>R181/Q181</f>
        <v>0.25479478009695078</v>
      </c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spans="1:52">
      <c r="A182" s="174" t="s">
        <v>274</v>
      </c>
      <c r="B182" s="175" t="s">
        <v>80</v>
      </c>
      <c r="C182" s="176">
        <v>0.27955779345765142</v>
      </c>
      <c r="D182" s="177">
        <v>5.6031841074697733E-2</v>
      </c>
      <c r="E182" s="177">
        <v>0.21106220905307671</v>
      </c>
      <c r="F182" s="22"/>
      <c r="G182" s="22"/>
      <c r="H182" s="178" t="s">
        <v>275</v>
      </c>
      <c r="I182" s="179">
        <f>C177+C179</f>
        <v>0.95017114675018732</v>
      </c>
      <c r="J182" s="179">
        <f>D177+D179</f>
        <v>2.9737029339069812E-2</v>
      </c>
      <c r="K182" s="179">
        <f>E177+E179</f>
        <v>0.77256428331000659</v>
      </c>
      <c r="L182" s="180">
        <f t="shared" si="72"/>
        <v>3.1296497942268159E-2</v>
      </c>
      <c r="M182" s="180">
        <f t="shared" si="73"/>
        <v>3.8491333318779956E-2</v>
      </c>
      <c r="O182" s="193" t="s">
        <v>220</v>
      </c>
      <c r="P182" s="194">
        <f>-G137</f>
        <v>23.512499400000003</v>
      </c>
      <c r="Q182" s="195">
        <v>0.8</v>
      </c>
      <c r="R182" s="194">
        <f>IF(P$184&gt;0,P182*Q182*N$206/Q$184,0)</f>
        <v>1.188662705157332</v>
      </c>
      <c r="S182" s="196">
        <f>R182/Q182</f>
        <v>1.4858283814466648</v>
      </c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 spans="1:52">
      <c r="A183" s="174" t="s">
        <v>276</v>
      </c>
      <c r="B183" s="175" t="s">
        <v>75</v>
      </c>
      <c r="C183" s="176">
        <v>0</v>
      </c>
      <c r="D183" s="177">
        <v>0</v>
      </c>
      <c r="E183" s="177">
        <v>0</v>
      </c>
      <c r="F183" s="22"/>
      <c r="G183" s="22"/>
      <c r="H183" s="178" t="s">
        <v>277</v>
      </c>
      <c r="I183" s="179">
        <f>C184</f>
        <v>0</v>
      </c>
      <c r="J183" s="179">
        <f>D184</f>
        <v>0</v>
      </c>
      <c r="K183" s="179">
        <f>E184</f>
        <v>0</v>
      </c>
      <c r="L183" s="180">
        <f t="shared" si="72"/>
        <v>0</v>
      </c>
      <c r="M183" s="180">
        <f t="shared" si="73"/>
        <v>0</v>
      </c>
      <c r="O183" s="193" t="s">
        <v>217</v>
      </c>
      <c r="P183" s="194">
        <f>-D137</f>
        <v>0</v>
      </c>
      <c r="Q183" s="195">
        <v>0.8</v>
      </c>
      <c r="R183" s="194">
        <f>IF(P$184&gt;0,P183*Q183*N$206/Q$184,0)</f>
        <v>0</v>
      </c>
      <c r="S183" s="196">
        <f>R183/Q183</f>
        <v>0</v>
      </c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spans="1:52">
      <c r="A184" s="174" t="s">
        <v>278</v>
      </c>
      <c r="B184" s="175" t="s">
        <v>82</v>
      </c>
      <c r="C184" s="176">
        <v>0</v>
      </c>
      <c r="D184" s="177">
        <v>0</v>
      </c>
      <c r="E184" s="177">
        <v>0</v>
      </c>
      <c r="F184" s="22"/>
      <c r="G184" s="22"/>
      <c r="H184" s="178" t="s">
        <v>279</v>
      </c>
      <c r="I184" s="179">
        <f>C200</f>
        <v>0</v>
      </c>
      <c r="J184" s="179">
        <f>D200</f>
        <v>0</v>
      </c>
      <c r="K184" s="179">
        <f>E200</f>
        <v>0</v>
      </c>
      <c r="L184" s="180">
        <f t="shared" si="72"/>
        <v>0</v>
      </c>
      <c r="M184" s="180">
        <f t="shared" si="73"/>
        <v>0</v>
      </c>
      <c r="P184" s="197">
        <f>SUM(P180:P183)</f>
        <v>30.659400500000004</v>
      </c>
      <c r="Q184" s="113">
        <f>MAX(N206,SUMPRODUCT(P180:P183,Q180:Q183))</f>
        <v>24.5275204</v>
      </c>
      <c r="R184" s="197">
        <f>SUM(R180:R183)</f>
        <v>1.5499707333041783</v>
      </c>
      <c r="S184" s="197">
        <f>SUM(S180:S183)</f>
        <v>1.9374634166302229</v>
      </c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 spans="1:52">
      <c r="A185" s="174" t="s">
        <v>280</v>
      </c>
      <c r="B185" s="175" t="s">
        <v>17</v>
      </c>
      <c r="C185" s="176">
        <v>0</v>
      </c>
      <c r="D185" s="177">
        <v>0</v>
      </c>
      <c r="E185" s="177">
        <v>0</v>
      </c>
      <c r="F185" s="22"/>
      <c r="G185" s="22"/>
      <c r="H185" s="178" t="s">
        <v>281</v>
      </c>
      <c r="I185" s="179">
        <f>SUM(C191:C195)</f>
        <v>42.932831677244074</v>
      </c>
      <c r="J185" s="179">
        <f>SUM(D191:D195)</f>
        <v>25.188072896335903</v>
      </c>
      <c r="K185" s="179">
        <f>SUM(E191:E195)</f>
        <v>9.1306333273937561</v>
      </c>
      <c r="L185" s="180">
        <f t="shared" si="72"/>
        <v>0.58668557167838697</v>
      </c>
      <c r="M185" s="180">
        <f t="shared" si="73"/>
        <v>2.7586337106284362</v>
      </c>
      <c r="P185" s="22"/>
      <c r="Q185" s="22"/>
      <c r="R185" s="22"/>
      <c r="S185" s="22"/>
      <c r="T185" s="22"/>
      <c r="U185" s="22"/>
      <c r="V185" s="22"/>
      <c r="W185" s="22"/>
      <c r="X185" s="22"/>
      <c r="Y185" s="197"/>
      <c r="Z185" s="22"/>
      <c r="AA185" s="197"/>
      <c r="AB185" s="197"/>
      <c r="AC185" s="198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spans="1:52">
      <c r="A186" s="174" t="s">
        <v>282</v>
      </c>
      <c r="B186" s="175" t="s">
        <v>71</v>
      </c>
      <c r="C186" s="176">
        <v>0</v>
      </c>
      <c r="D186" s="177">
        <v>0</v>
      </c>
      <c r="E186" s="177">
        <v>0</v>
      </c>
      <c r="F186" s="22"/>
      <c r="G186" s="22"/>
      <c r="H186" s="178" t="s">
        <v>283</v>
      </c>
      <c r="I186" s="179">
        <f>C204</f>
        <v>0</v>
      </c>
      <c r="J186" s="179">
        <f>D204</f>
        <v>0</v>
      </c>
      <c r="K186" s="179">
        <f>E204</f>
        <v>0</v>
      </c>
      <c r="L186" s="180">
        <f t="shared" si="72"/>
        <v>0</v>
      </c>
      <c r="M186" s="180">
        <f t="shared" si="73"/>
        <v>0</v>
      </c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 spans="1:52">
      <c r="A187" s="174" t="s">
        <v>284</v>
      </c>
      <c r="B187" s="175" t="s">
        <v>88</v>
      </c>
      <c r="C187" s="176">
        <v>0.59055990218348764</v>
      </c>
      <c r="D187" s="177">
        <v>2.8642217603441891E-2</v>
      </c>
      <c r="E187" s="177">
        <v>0.44918741022697251</v>
      </c>
      <c r="F187" s="22"/>
      <c r="G187" s="22"/>
      <c r="H187" s="25" t="s">
        <v>285</v>
      </c>
      <c r="I187" s="199">
        <f>SUM(I172:I186)</f>
        <v>56.151139382235307</v>
      </c>
      <c r="J187" s="199">
        <f>SUM(J172:J186)</f>
        <v>38.521354655785728</v>
      </c>
      <c r="K187" s="199">
        <f>SUM(K172:K186)</f>
        <v>7.2452569660431969</v>
      </c>
      <c r="L187" s="199">
        <f t="shared" si="72"/>
        <v>0.68602979529161323</v>
      </c>
      <c r="M187" s="199">
        <f t="shared" si="73"/>
        <v>5.3167685889301364</v>
      </c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spans="1:52">
      <c r="A188" s="174" t="s">
        <v>286</v>
      </c>
      <c r="B188" s="175" t="s">
        <v>79</v>
      </c>
      <c r="C188" s="176">
        <v>0</v>
      </c>
      <c r="D188" s="177">
        <v>0</v>
      </c>
      <c r="E188" s="177">
        <v>0</v>
      </c>
      <c r="F188" s="22"/>
      <c r="G188" s="22"/>
      <c r="J188" s="200">
        <f t="array" ref="J188">MAX(0.01,SUM(IF($I172:$I186&gt;0,J172:J186,0)))</f>
        <v>29.20470694582697</v>
      </c>
      <c r="K188" s="200">
        <f t="array" ref="K188">MAX(0.01,SUM(IF($I172:$I186&gt;0,K172:K186,0)))</f>
        <v>18.805751467269936</v>
      </c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 spans="1:52" ht="13.5" thickBot="1">
      <c r="A189" s="174" t="s">
        <v>287</v>
      </c>
      <c r="B189" s="175" t="s">
        <v>81</v>
      </c>
      <c r="C189" s="176">
        <v>5.0727832799811745</v>
      </c>
      <c r="D189" s="177">
        <v>0.44278066991944226</v>
      </c>
      <c r="E189" s="177">
        <v>4.1002430928795199</v>
      </c>
      <c r="F189" s="22"/>
      <c r="G189" s="22"/>
      <c r="H189" s="171"/>
      <c r="I189" s="172" t="s">
        <v>288</v>
      </c>
      <c r="J189" s="172" t="s">
        <v>289</v>
      </c>
      <c r="K189" s="172" t="s">
        <v>290</v>
      </c>
      <c r="L189" s="172" t="s">
        <v>291</v>
      </c>
      <c r="M189" s="172" t="s">
        <v>292</v>
      </c>
      <c r="N189" s="201">
        <f>SUMPRODUCT(I172:I186,J190:J204,M190:M204)</f>
        <v>0.1804304404519334</v>
      </c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spans="1:52">
      <c r="A190" s="189" t="s">
        <v>270</v>
      </c>
      <c r="B190" s="190" t="s">
        <v>270</v>
      </c>
      <c r="C190" s="191">
        <v>5.9429009756223135</v>
      </c>
      <c r="D190" s="192">
        <v>0.52745472859758191</v>
      </c>
      <c r="E190" s="192">
        <v>4.7604927121595688</v>
      </c>
      <c r="F190" s="22"/>
      <c r="G190" s="22"/>
      <c r="H190" s="178" t="s">
        <v>250</v>
      </c>
      <c r="I190" s="202">
        <v>0.82</v>
      </c>
      <c r="J190" s="203">
        <f t="shared" ref="J190:J204" si="74">MAX(0.15,L172*J$187/J$188*(1-J$169))</f>
        <v>0.15</v>
      </c>
      <c r="K190" s="180">
        <f t="shared" ref="K190:K204" ca="1" si="75">MAX(0.01,(MAX(I190,MIN(1,J190+K172/(I172+Tiny)*K$187/K$188))-J190)/J190)</f>
        <v>5.666666666666667</v>
      </c>
      <c r="L190" s="204">
        <f t="shared" ref="L190:L204" si="76">J190*K190*I172</f>
        <v>-2.2579506643201062</v>
      </c>
      <c r="M190" s="196">
        <v>0.1</v>
      </c>
      <c r="N190" s="204">
        <f t="shared" ref="N190:N204" ca="1" si="77">J190*I172*M190*$O$175/($N$189+Tiny)*K190</f>
        <v>-1.9783658802894435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spans="1:52">
      <c r="A191" s="174" t="s">
        <v>293</v>
      </c>
      <c r="B191" s="175" t="s">
        <v>294</v>
      </c>
      <c r="C191" s="176">
        <v>0.37411783056310766</v>
      </c>
      <c r="D191" s="177">
        <v>0.38519999999999999</v>
      </c>
      <c r="E191" s="177">
        <v>0.12399999999999989</v>
      </c>
      <c r="F191" s="22"/>
      <c r="G191" s="22"/>
      <c r="H191" s="178" t="s">
        <v>74</v>
      </c>
      <c r="I191" s="202">
        <v>0.82</v>
      </c>
      <c r="J191" s="203">
        <f t="shared" si="74"/>
        <v>0.15</v>
      </c>
      <c r="K191" s="180">
        <f t="shared" ca="1" si="75"/>
        <v>4.4666666666666668</v>
      </c>
      <c r="L191" s="204">
        <f t="shared" si="76"/>
        <v>0</v>
      </c>
      <c r="M191" s="196">
        <v>0.1</v>
      </c>
      <c r="N191" s="204">
        <f t="shared" ca="1" si="77"/>
        <v>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 spans="1:52">
      <c r="A192" s="174" t="s">
        <v>295</v>
      </c>
      <c r="B192" s="175" t="s">
        <v>62</v>
      </c>
      <c r="C192" s="176">
        <v>0.81099990000000011</v>
      </c>
      <c r="D192" s="177">
        <v>0.20879999999999999</v>
      </c>
      <c r="E192" s="177">
        <v>0.34100000000000003</v>
      </c>
      <c r="F192" s="22"/>
      <c r="G192" s="22"/>
      <c r="H192" s="178" t="s">
        <v>17</v>
      </c>
      <c r="I192" s="202">
        <v>0.82</v>
      </c>
      <c r="J192" s="203">
        <f t="shared" si="74"/>
        <v>0.15</v>
      </c>
      <c r="K192" s="180">
        <f t="shared" ca="1" si="75"/>
        <v>4.4666666666666668</v>
      </c>
      <c r="L192" s="204">
        <f t="shared" si="76"/>
        <v>0</v>
      </c>
      <c r="M192" s="196">
        <v>0.1</v>
      </c>
      <c r="N192" s="204">
        <f t="shared" ca="1" si="77"/>
        <v>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spans="1:52">
      <c r="A193" s="174" t="s">
        <v>296</v>
      </c>
      <c r="B193" s="175" t="s">
        <v>297</v>
      </c>
      <c r="C193" s="176">
        <v>3.9778744876783421</v>
      </c>
      <c r="D193" s="177">
        <v>0.72903960000000012</v>
      </c>
      <c r="E193" s="177">
        <v>2.4179999999999993</v>
      </c>
      <c r="F193" s="22"/>
      <c r="G193" s="22"/>
      <c r="H193" s="178" t="s">
        <v>257</v>
      </c>
      <c r="I193" s="205">
        <v>0.78</v>
      </c>
      <c r="J193" s="203">
        <f t="shared" si="74"/>
        <v>0.48485536212676172</v>
      </c>
      <c r="K193" s="180">
        <f t="shared" ca="1" si="75"/>
        <v>0.60872718119197577</v>
      </c>
      <c r="L193" s="204">
        <f t="shared" si="76"/>
        <v>2.6508852845024502</v>
      </c>
      <c r="M193" s="196">
        <v>0</v>
      </c>
      <c r="N193" s="204">
        <f t="shared" ca="1" si="77"/>
        <v>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 spans="1:52">
      <c r="A194" s="174" t="s">
        <v>298</v>
      </c>
      <c r="B194" s="175" t="s">
        <v>61</v>
      </c>
      <c r="C194" s="176">
        <v>37.769839459002625</v>
      </c>
      <c r="D194" s="177">
        <v>23.865033296335902</v>
      </c>
      <c r="E194" s="177">
        <v>6.247633327393757</v>
      </c>
      <c r="F194" s="22"/>
      <c r="G194" s="22"/>
      <c r="H194" s="178" t="s">
        <v>259</v>
      </c>
      <c r="I194" s="205">
        <v>0.78</v>
      </c>
      <c r="J194" s="203">
        <f t="shared" si="74"/>
        <v>0.15</v>
      </c>
      <c r="K194" s="180">
        <f t="shared" ca="1" si="75"/>
        <v>4.2</v>
      </c>
      <c r="L194" s="204">
        <f t="shared" si="76"/>
        <v>0</v>
      </c>
      <c r="M194" s="196">
        <v>0.1</v>
      </c>
      <c r="N194" s="204">
        <f t="shared" ca="1" si="77"/>
        <v>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spans="1:52">
      <c r="A195" s="174" t="s">
        <v>159</v>
      </c>
      <c r="B195" s="175" t="s">
        <v>66</v>
      </c>
      <c r="C195" s="176">
        <v>0</v>
      </c>
      <c r="D195" s="177">
        <v>0</v>
      </c>
      <c r="E195" s="177">
        <v>0</v>
      </c>
      <c r="F195" s="22"/>
      <c r="G195" s="22"/>
      <c r="H195" s="178" t="s">
        <v>261</v>
      </c>
      <c r="I195" s="205">
        <v>0.78</v>
      </c>
      <c r="J195" s="203">
        <f t="shared" si="74"/>
        <v>0.15</v>
      </c>
      <c r="K195" s="180">
        <f t="shared" ca="1" si="75"/>
        <v>4.2</v>
      </c>
      <c r="L195" s="204">
        <f t="shared" si="76"/>
        <v>0</v>
      </c>
      <c r="M195" s="196">
        <v>0.1</v>
      </c>
      <c r="N195" s="204">
        <f t="shared" ca="1" si="77"/>
        <v>0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 spans="1:52">
      <c r="A196" s="189" t="s">
        <v>270</v>
      </c>
      <c r="B196" s="190" t="s">
        <v>270</v>
      </c>
      <c r="C196" s="191">
        <v>42.932831677244074</v>
      </c>
      <c r="D196" s="192">
        <v>25.188072896335903</v>
      </c>
      <c r="E196" s="192">
        <v>9.1306333273937561</v>
      </c>
      <c r="F196" s="22"/>
      <c r="G196" s="22"/>
      <c r="H196" s="178" t="s">
        <v>263</v>
      </c>
      <c r="I196" s="205">
        <v>0.78</v>
      </c>
      <c r="J196" s="203">
        <f t="shared" si="74"/>
        <v>0.15</v>
      </c>
      <c r="K196" s="180">
        <f t="shared" ca="1" si="75"/>
        <v>4.2</v>
      </c>
      <c r="L196" s="204">
        <f t="shared" si="76"/>
        <v>0</v>
      </c>
      <c r="M196" s="196">
        <v>0</v>
      </c>
      <c r="N196" s="204">
        <f t="shared" ca="1" si="77"/>
        <v>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 spans="1:52">
      <c r="A197" s="206" t="s">
        <v>299</v>
      </c>
      <c r="B197" s="175" t="s">
        <v>300</v>
      </c>
      <c r="C197" s="176">
        <v>7.450422716336341</v>
      </c>
      <c r="D197" s="177">
        <v>2.8187511516120116</v>
      </c>
      <c r="E197" s="177">
        <v>3.4198617065437595</v>
      </c>
      <c r="F197" s="22"/>
      <c r="G197" s="22"/>
      <c r="H197" s="178" t="s">
        <v>266</v>
      </c>
      <c r="I197" s="205">
        <v>0.78</v>
      </c>
      <c r="J197" s="203">
        <f t="shared" si="74"/>
        <v>0.15</v>
      </c>
      <c r="K197" s="180">
        <f t="shared" ca="1" si="75"/>
        <v>4.2</v>
      </c>
      <c r="L197" s="204">
        <f t="shared" si="76"/>
        <v>0</v>
      </c>
      <c r="M197" s="196">
        <v>0</v>
      </c>
      <c r="N197" s="204">
        <f t="shared" ca="1" si="77"/>
        <v>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spans="1:52">
      <c r="A198" s="206" t="s">
        <v>301</v>
      </c>
      <c r="B198" s="175" t="s">
        <v>302</v>
      </c>
      <c r="C198" s="176">
        <v>1.5312254125413345</v>
      </c>
      <c r="D198" s="177">
        <v>0.6406911399424029</v>
      </c>
      <c r="E198" s="177">
        <v>0.72219943786284446</v>
      </c>
      <c r="F198" s="22"/>
      <c r="G198" s="22"/>
      <c r="H198" s="178" t="s">
        <v>271</v>
      </c>
      <c r="I198" s="205">
        <v>0.78</v>
      </c>
      <c r="J198" s="203">
        <f t="shared" si="74"/>
        <v>0.15</v>
      </c>
      <c r="K198" s="180">
        <f t="shared" ca="1" si="75"/>
        <v>4.2</v>
      </c>
      <c r="L198" s="204">
        <f t="shared" si="76"/>
        <v>3.5679062047637373</v>
      </c>
      <c r="M198" s="196">
        <v>0.1</v>
      </c>
      <c r="N198" s="204">
        <f t="shared" ca="1" si="77"/>
        <v>3.1261196318932885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 spans="1:52">
      <c r="A199" s="206" t="s">
        <v>303</v>
      </c>
      <c r="B199" s="175" t="s">
        <v>54</v>
      </c>
      <c r="C199" s="176">
        <v>0</v>
      </c>
      <c r="D199" s="177">
        <v>0</v>
      </c>
      <c r="E199" s="177">
        <v>0</v>
      </c>
      <c r="F199" s="22"/>
      <c r="G199" s="22"/>
      <c r="H199" s="178" t="s">
        <v>273</v>
      </c>
      <c r="I199" s="205">
        <v>0.78</v>
      </c>
      <c r="J199" s="203">
        <f t="shared" si="74"/>
        <v>0.25230475655263357</v>
      </c>
      <c r="K199" s="180">
        <f t="shared" ca="1" si="75"/>
        <v>2.0914993861294224</v>
      </c>
      <c r="L199" s="204">
        <f t="shared" si="76"/>
        <v>0.14752131787624398</v>
      </c>
      <c r="M199" s="196">
        <v>0.1</v>
      </c>
      <c r="N199" s="204">
        <f t="shared" ca="1" si="77"/>
        <v>0.12925487988444323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spans="1:52">
      <c r="A200" s="174" t="s">
        <v>304</v>
      </c>
      <c r="B200" s="175" t="s">
        <v>87</v>
      </c>
      <c r="C200" s="176">
        <v>0</v>
      </c>
      <c r="D200" s="177">
        <v>0</v>
      </c>
      <c r="E200" s="177">
        <v>0</v>
      </c>
      <c r="F200" s="22"/>
      <c r="G200" s="22"/>
      <c r="H200" s="178" t="s">
        <v>275</v>
      </c>
      <c r="I200" s="205">
        <v>0.78</v>
      </c>
      <c r="J200" s="203">
        <f t="shared" si="74"/>
        <v>0.15</v>
      </c>
      <c r="K200" s="180">
        <f t="shared" ca="1" si="75"/>
        <v>4.2</v>
      </c>
      <c r="L200" s="204">
        <f t="shared" si="76"/>
        <v>0.59860782245261801</v>
      </c>
      <c r="M200" s="196">
        <v>0.9</v>
      </c>
      <c r="N200" s="204">
        <f t="shared" ca="1" si="77"/>
        <v>4.7203810928884655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 spans="1:52">
      <c r="A201" s="189" t="s">
        <v>270</v>
      </c>
      <c r="B201" s="190" t="s">
        <v>270</v>
      </c>
      <c r="C201" s="191">
        <v>8.9816481288776764</v>
      </c>
      <c r="D201" s="192">
        <v>3.4594422915544145</v>
      </c>
      <c r="E201" s="192">
        <v>4.142061144406604</v>
      </c>
      <c r="F201" s="22"/>
      <c r="G201" s="22"/>
      <c r="H201" s="178" t="s">
        <v>277</v>
      </c>
      <c r="I201" s="205">
        <v>0.78</v>
      </c>
      <c r="J201" s="203">
        <f t="shared" si="74"/>
        <v>0.15</v>
      </c>
      <c r="K201" s="180">
        <f t="shared" ca="1" si="75"/>
        <v>4.2</v>
      </c>
      <c r="L201" s="204">
        <f t="shared" si="76"/>
        <v>0</v>
      </c>
      <c r="M201" s="196">
        <v>0.1</v>
      </c>
      <c r="N201" s="204">
        <f t="shared" ca="1" si="77"/>
        <v>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 spans="1:52">
      <c r="A202" s="207" t="s">
        <v>305</v>
      </c>
      <c r="B202" s="175" t="s">
        <v>89</v>
      </c>
      <c r="C202" s="176">
        <v>0</v>
      </c>
      <c r="D202" s="177">
        <v>0</v>
      </c>
      <c r="E202" s="177">
        <v>0</v>
      </c>
      <c r="F202" s="22"/>
      <c r="G202" s="22"/>
      <c r="H202" s="178" t="s">
        <v>279</v>
      </c>
      <c r="I202" s="205">
        <v>0.78</v>
      </c>
      <c r="J202" s="203">
        <f t="shared" si="74"/>
        <v>0.15</v>
      </c>
      <c r="K202" s="180">
        <f t="shared" ca="1" si="75"/>
        <v>4.2</v>
      </c>
      <c r="L202" s="204">
        <f t="shared" si="76"/>
        <v>0</v>
      </c>
      <c r="M202" s="196">
        <v>0.1</v>
      </c>
      <c r="N202" s="204">
        <f t="shared" ca="1" si="77"/>
        <v>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spans="1:52">
      <c r="A203" s="207" t="s">
        <v>306</v>
      </c>
      <c r="B203" s="175" t="s">
        <v>90</v>
      </c>
      <c r="C203" s="176">
        <v>0</v>
      </c>
      <c r="D203" s="177">
        <v>0</v>
      </c>
      <c r="E203" s="177">
        <v>0</v>
      </c>
      <c r="F203" s="22"/>
      <c r="G203" s="22"/>
      <c r="H203" s="178" t="s">
        <v>281</v>
      </c>
      <c r="I203" s="205">
        <v>0.78</v>
      </c>
      <c r="J203" s="203">
        <f t="shared" si="74"/>
        <v>0.73852900624671314</v>
      </c>
      <c r="K203" s="180">
        <f t="shared" ca="1" si="75"/>
        <v>0.11094478998670129</v>
      </c>
      <c r="L203" s="204">
        <f t="shared" si="76"/>
        <v>3.5177421563440752</v>
      </c>
      <c r="M203" s="196">
        <v>0</v>
      </c>
      <c r="N203" s="204">
        <f t="shared" ca="1" si="77"/>
        <v>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 spans="1:52">
      <c r="A204" s="207" t="s">
        <v>307</v>
      </c>
      <c r="B204" s="175" t="s">
        <v>91</v>
      </c>
      <c r="C204" s="176">
        <v>0</v>
      </c>
      <c r="D204" s="177">
        <v>0</v>
      </c>
      <c r="E204" s="177">
        <v>0</v>
      </c>
      <c r="F204" s="22"/>
      <c r="G204" s="22"/>
      <c r="H204" s="178" t="s">
        <v>283</v>
      </c>
      <c r="I204" s="205">
        <v>0.8</v>
      </c>
      <c r="J204" s="203">
        <f t="shared" si="74"/>
        <v>0.15</v>
      </c>
      <c r="K204" s="180">
        <f t="shared" ca="1" si="75"/>
        <v>4.3333333333333339</v>
      </c>
      <c r="L204" s="204">
        <f t="shared" si="76"/>
        <v>0</v>
      </c>
      <c r="M204" s="196">
        <v>0.1</v>
      </c>
      <c r="N204" s="204">
        <f t="shared" ca="1" si="77"/>
        <v>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spans="1:52">
      <c r="A205" s="207" t="s">
        <v>308</v>
      </c>
      <c r="B205" s="175" t="s">
        <v>92</v>
      </c>
      <c r="C205" s="176">
        <v>0</v>
      </c>
      <c r="D205" s="177">
        <v>0</v>
      </c>
      <c r="E205" s="177">
        <v>0</v>
      </c>
      <c r="F205" s="22"/>
      <c r="G205" s="22"/>
      <c r="H205" t="s">
        <v>309</v>
      </c>
      <c r="J205" s="208">
        <f>SUMPRODUCT(J190:J204,I172:I186)</f>
        <v>36.726040798393718</v>
      </c>
      <c r="L205" s="208">
        <f>SUM(L190:L204)</f>
        <v>8.2247121216190191</v>
      </c>
      <c r="M205" s="6" t="s">
        <v>310</v>
      </c>
      <c r="N205" s="208">
        <f>MIN(MAX(0,L205-K187),SUM(N190:N204))</f>
        <v>0.97945515557582219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spans="1:52">
      <c r="A206" s="207" t="s">
        <v>311</v>
      </c>
      <c r="B206" s="175" t="s">
        <v>93</v>
      </c>
      <c r="C206" s="176">
        <v>0</v>
      </c>
      <c r="D206" s="177">
        <v>0</v>
      </c>
      <c r="E206" s="177">
        <v>0</v>
      </c>
      <c r="F206" s="22"/>
      <c r="G206" s="22"/>
      <c r="J206" t="s">
        <v>312</v>
      </c>
      <c r="L206" s="208">
        <f>SUM(K172:K186)</f>
        <v>7.2452569660431969</v>
      </c>
      <c r="M206" s="6" t="s">
        <v>313</v>
      </c>
      <c r="N206" s="208">
        <f>MAX(0,O174-N205)</f>
        <v>1.5499707333041783</v>
      </c>
      <c r="P206" s="200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 spans="1:52">
      <c r="A207" s="209" t="s">
        <v>314</v>
      </c>
      <c r="B207" s="190" t="s">
        <v>94</v>
      </c>
      <c r="C207" s="191">
        <v>0</v>
      </c>
      <c r="D207" s="192">
        <v>0</v>
      </c>
      <c r="E207" s="192">
        <v>0</v>
      </c>
      <c r="F207" s="22"/>
      <c r="G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spans="1:52">
      <c r="A208" s="210"/>
      <c r="B208" s="190" t="s">
        <v>315</v>
      </c>
      <c r="C208" s="191">
        <f>SUM(C202:C207)+C201+C196+C190+C180</f>
        <v>56.1511393822353</v>
      </c>
      <c r="D208" s="192">
        <f>SUM(D202:D207)+D201+D196+D190+D180</f>
        <v>38.521354655785728</v>
      </c>
      <c r="E208" s="192">
        <f>SUM(E202:E207)+E201+E196+E190+E180</f>
        <v>7.2452569660431969</v>
      </c>
      <c r="F208" s="22"/>
      <c r="G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10" spans="1:49" ht="18">
      <c r="A210" s="15" t="str">
        <f ca="1">IF(NOPEC,"PART II - Not used","PART II - OPEC Countries only")</f>
        <v>PART II - Not used</v>
      </c>
      <c r="B210" s="11"/>
      <c r="C210" s="3"/>
      <c r="D210" s="11"/>
      <c r="E210" s="11"/>
      <c r="F210" s="13"/>
      <c r="G210" s="14"/>
      <c r="H210" s="12"/>
      <c r="I210" s="6"/>
      <c r="J210" s="6"/>
      <c r="K210" s="7"/>
      <c r="L210" s="7"/>
      <c r="M210" s="7"/>
      <c r="N210" s="7"/>
      <c r="O210" s="7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</row>
    <row r="211" spans="1:49" ht="18">
      <c r="A211" s="15"/>
      <c r="B211" s="11"/>
      <c r="C211" s="3"/>
      <c r="D211" s="11"/>
      <c r="E211" s="11"/>
      <c r="F211" s="13"/>
      <c r="G211" s="14"/>
      <c r="H211" s="12"/>
      <c r="I211" s="6"/>
      <c r="J211" s="6"/>
      <c r="K211" s="7"/>
      <c r="L211" s="7"/>
      <c r="M211" s="7"/>
      <c r="N211" s="7"/>
      <c r="O211" s="7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B3:M36"/>
  <sheetViews>
    <sheetView zoomScale="75" workbookViewId="0">
      <selection activeCell="B15" sqref="B15"/>
    </sheetView>
  </sheetViews>
  <sheetFormatPr defaultRowHeight="12.75"/>
  <cols>
    <col min="2" max="2" width="12.28515625" customWidth="1"/>
    <col min="3" max="3" width="11.42578125" customWidth="1"/>
    <col min="4" max="4" width="16.28515625" customWidth="1"/>
    <col min="5" max="5" width="32.7109375" customWidth="1"/>
  </cols>
  <sheetData>
    <row r="3" spans="2:13">
      <c r="B3" s="310" t="s">
        <v>624</v>
      </c>
      <c r="C3" s="310"/>
    </row>
    <row r="4" spans="2:13">
      <c r="B4" s="397" t="s">
        <v>625</v>
      </c>
      <c r="C4" s="398" t="s">
        <v>1</v>
      </c>
      <c r="D4" s="398" t="s">
        <v>529</v>
      </c>
      <c r="E4" s="398" t="s">
        <v>530</v>
      </c>
      <c r="F4" s="398" t="s">
        <v>626</v>
      </c>
      <c r="G4" s="398" t="s">
        <v>627</v>
      </c>
      <c r="H4" s="398" t="s">
        <v>628</v>
      </c>
      <c r="I4" s="398" t="s">
        <v>629</v>
      </c>
      <c r="J4" s="399" t="s">
        <v>630</v>
      </c>
    </row>
    <row r="5" spans="2:13">
      <c r="B5" s="217" t="s">
        <v>631</v>
      </c>
      <c r="C5" s="217" t="str">
        <f t="shared" ref="C5:C35" si="0">Region</f>
        <v>FIM</v>
      </c>
      <c r="D5" s="217" t="s">
        <v>598</v>
      </c>
      <c r="E5" s="217" t="s">
        <v>599</v>
      </c>
      <c r="F5" s="217" t="s">
        <v>332</v>
      </c>
      <c r="G5" s="217" t="s">
        <v>632</v>
      </c>
      <c r="H5" s="217" t="s">
        <v>393</v>
      </c>
      <c r="I5" s="217"/>
      <c r="J5" s="217" t="s">
        <v>633</v>
      </c>
      <c r="M5" s="212"/>
    </row>
    <row r="6" spans="2:13">
      <c r="B6" s="217" t="s">
        <v>634</v>
      </c>
      <c r="C6" s="217" t="str">
        <f t="shared" si="0"/>
        <v>FIM</v>
      </c>
      <c r="D6" s="217" t="s">
        <v>602</v>
      </c>
      <c r="E6" s="217" t="s">
        <v>603</v>
      </c>
      <c r="F6" s="217" t="s">
        <v>332</v>
      </c>
      <c r="G6" s="217" t="s">
        <v>632</v>
      </c>
      <c r="H6" s="217" t="s">
        <v>435</v>
      </c>
      <c r="I6" s="217"/>
      <c r="J6" s="217" t="s">
        <v>633</v>
      </c>
      <c r="M6" s="212"/>
    </row>
    <row r="7" spans="2:13">
      <c r="B7" s="217" t="s">
        <v>635</v>
      </c>
      <c r="C7" s="217" t="str">
        <f t="shared" si="0"/>
        <v>FIM</v>
      </c>
      <c r="D7" s="217" t="s">
        <v>617</v>
      </c>
      <c r="E7" s="217" t="s">
        <v>593</v>
      </c>
      <c r="F7" s="217" t="s">
        <v>332</v>
      </c>
      <c r="G7" s="217" t="s">
        <v>632</v>
      </c>
      <c r="H7" s="217"/>
      <c r="I7" s="217"/>
      <c r="J7" s="217" t="s">
        <v>633</v>
      </c>
      <c r="M7" s="212"/>
    </row>
    <row r="8" spans="2:13">
      <c r="B8" s="217" t="s">
        <v>635</v>
      </c>
      <c r="C8" s="217" t="str">
        <f t="shared" si="0"/>
        <v>FIM</v>
      </c>
      <c r="D8" s="217" t="s">
        <v>618</v>
      </c>
      <c r="E8" s="217" t="s">
        <v>594</v>
      </c>
      <c r="F8" s="217" t="s">
        <v>332</v>
      </c>
      <c r="G8" s="217" t="s">
        <v>632</v>
      </c>
      <c r="H8" s="217"/>
      <c r="I8" s="217"/>
      <c r="J8" s="217" t="s">
        <v>633</v>
      </c>
      <c r="M8" s="212"/>
    </row>
    <row r="9" spans="2:13">
      <c r="B9" s="217" t="s">
        <v>635</v>
      </c>
      <c r="C9" s="217" t="str">
        <f t="shared" si="0"/>
        <v>FIM</v>
      </c>
      <c r="D9" s="217" t="s">
        <v>615</v>
      </c>
      <c r="E9" s="217" t="s">
        <v>591</v>
      </c>
      <c r="F9" s="217" t="s">
        <v>332</v>
      </c>
      <c r="G9" s="217" t="s">
        <v>632</v>
      </c>
      <c r="H9" s="217"/>
      <c r="I9" s="217"/>
      <c r="J9" s="217" t="s">
        <v>633</v>
      </c>
      <c r="M9" s="212"/>
    </row>
    <row r="10" spans="2:13">
      <c r="B10" s="217" t="s">
        <v>635</v>
      </c>
      <c r="C10" s="217" t="str">
        <f t="shared" si="0"/>
        <v>FIM</v>
      </c>
      <c r="D10" s="217" t="s">
        <v>616</v>
      </c>
      <c r="E10" s="217" t="s">
        <v>592</v>
      </c>
      <c r="F10" s="217" t="s">
        <v>332</v>
      </c>
      <c r="G10" s="217" t="s">
        <v>632</v>
      </c>
      <c r="H10" s="217"/>
      <c r="I10" s="217"/>
      <c r="J10" s="217" t="s">
        <v>633</v>
      </c>
      <c r="M10" s="212"/>
    </row>
    <row r="11" spans="2:13">
      <c r="B11" s="217" t="s">
        <v>635</v>
      </c>
      <c r="C11" s="217" t="str">
        <f t="shared" si="0"/>
        <v>FIM</v>
      </c>
      <c r="D11" s="217" t="s">
        <v>636</v>
      </c>
      <c r="E11" s="217" t="s">
        <v>597</v>
      </c>
      <c r="F11" s="217" t="s">
        <v>332</v>
      </c>
      <c r="G11" s="217" t="s">
        <v>632</v>
      </c>
      <c r="H11" s="217"/>
      <c r="I11" s="217"/>
      <c r="J11" s="217" t="s">
        <v>633</v>
      </c>
      <c r="M11" s="212"/>
    </row>
    <row r="12" spans="2:13">
      <c r="B12" s="217" t="s">
        <v>635</v>
      </c>
      <c r="C12" s="217" t="str">
        <f t="shared" si="0"/>
        <v>FIM</v>
      </c>
      <c r="D12" s="217" t="s">
        <v>620</v>
      </c>
      <c r="E12" s="217" t="s">
        <v>596</v>
      </c>
      <c r="F12" s="217" t="s">
        <v>332</v>
      </c>
      <c r="G12" s="217" t="s">
        <v>632</v>
      </c>
      <c r="H12" s="217"/>
      <c r="I12" s="217"/>
      <c r="J12" s="217" t="s">
        <v>633</v>
      </c>
      <c r="M12" s="212"/>
    </row>
    <row r="13" spans="2:13">
      <c r="B13" s="217" t="s">
        <v>635</v>
      </c>
      <c r="C13" s="217" t="str">
        <f t="shared" si="0"/>
        <v>FIM</v>
      </c>
      <c r="D13" s="217" t="s">
        <v>619</v>
      </c>
      <c r="E13" s="217" t="s">
        <v>595</v>
      </c>
      <c r="F13" s="217" t="s">
        <v>332</v>
      </c>
      <c r="G13" s="217" t="s">
        <v>632</v>
      </c>
      <c r="H13" s="217"/>
      <c r="I13" s="217"/>
      <c r="J13" s="217" t="s">
        <v>633</v>
      </c>
      <c r="M13" s="212"/>
    </row>
    <row r="14" spans="2:13">
      <c r="B14" s="217" t="s">
        <v>631</v>
      </c>
      <c r="C14" s="217" t="str">
        <f t="shared" si="0"/>
        <v>FIM</v>
      </c>
      <c r="D14" s="217" t="s">
        <v>637</v>
      </c>
      <c r="E14" s="217" t="s">
        <v>604</v>
      </c>
      <c r="F14" s="217" t="s">
        <v>332</v>
      </c>
      <c r="G14" s="217" t="s">
        <v>632</v>
      </c>
      <c r="H14" s="217" t="s">
        <v>430</v>
      </c>
      <c r="I14" s="217"/>
      <c r="J14" s="217" t="s">
        <v>633</v>
      </c>
    </row>
    <row r="15" spans="2:13">
      <c r="B15" s="217" t="s">
        <v>635</v>
      </c>
      <c r="C15" s="217" t="str">
        <f t="shared" si="0"/>
        <v>FIM</v>
      </c>
      <c r="D15" s="217" t="s">
        <v>606</v>
      </c>
      <c r="E15" s="217" t="s">
        <v>607</v>
      </c>
      <c r="F15" s="217" t="s">
        <v>332</v>
      </c>
      <c r="G15" s="217" t="s">
        <v>632</v>
      </c>
      <c r="H15" s="217"/>
      <c r="I15" s="217"/>
      <c r="J15" s="217" t="s">
        <v>633</v>
      </c>
    </row>
    <row r="16" spans="2:13">
      <c r="B16" s="217" t="s">
        <v>635</v>
      </c>
      <c r="C16" s="217" t="str">
        <f t="shared" si="0"/>
        <v>FIM</v>
      </c>
      <c r="D16" s="217" t="s">
        <v>550</v>
      </c>
      <c r="E16" s="217" t="s">
        <v>551</v>
      </c>
      <c r="F16" s="217" t="s">
        <v>332</v>
      </c>
      <c r="G16" s="217" t="s">
        <v>632</v>
      </c>
      <c r="H16" s="217"/>
      <c r="I16" s="217"/>
      <c r="J16" s="217" t="s">
        <v>633</v>
      </c>
    </row>
    <row r="17" spans="2:10">
      <c r="B17" s="217" t="s">
        <v>635</v>
      </c>
      <c r="C17" s="217" t="str">
        <f t="shared" si="0"/>
        <v>FIM</v>
      </c>
      <c r="D17" s="217" t="s">
        <v>552</v>
      </c>
      <c r="E17" s="217" t="s">
        <v>553</v>
      </c>
      <c r="F17" s="217" t="s">
        <v>332</v>
      </c>
      <c r="G17" s="217" t="s">
        <v>632</v>
      </c>
      <c r="H17" s="217"/>
      <c r="I17" s="217" t="s">
        <v>154</v>
      </c>
      <c r="J17" s="217" t="s">
        <v>633</v>
      </c>
    </row>
    <row r="18" spans="2:10">
      <c r="B18" s="217" t="s">
        <v>635</v>
      </c>
      <c r="C18" s="217" t="str">
        <f t="shared" si="0"/>
        <v>FIM</v>
      </c>
      <c r="D18" s="217" t="s">
        <v>554</v>
      </c>
      <c r="E18" s="217" t="s">
        <v>555</v>
      </c>
      <c r="F18" s="217" t="s">
        <v>332</v>
      </c>
      <c r="G18" s="217" t="s">
        <v>632</v>
      </c>
      <c r="H18" s="217"/>
      <c r="I18" s="217" t="s">
        <v>154</v>
      </c>
      <c r="J18" s="217" t="s">
        <v>633</v>
      </c>
    </row>
    <row r="19" spans="2:10">
      <c r="B19" s="217" t="s">
        <v>635</v>
      </c>
      <c r="C19" s="217" t="str">
        <f t="shared" si="0"/>
        <v>FIM</v>
      </c>
      <c r="D19" s="217" t="s">
        <v>556</v>
      </c>
      <c r="E19" s="217" t="s">
        <v>557</v>
      </c>
      <c r="F19" s="217" t="s">
        <v>332</v>
      </c>
      <c r="G19" s="217" t="s">
        <v>632</v>
      </c>
      <c r="H19" s="217"/>
      <c r="I19" s="217"/>
      <c r="J19" s="217" t="s">
        <v>633</v>
      </c>
    </row>
    <row r="20" spans="2:10">
      <c r="B20" s="217" t="s">
        <v>635</v>
      </c>
      <c r="C20" s="217" t="str">
        <f t="shared" si="0"/>
        <v>FIM</v>
      </c>
      <c r="D20" s="217" t="s">
        <v>558</v>
      </c>
      <c r="E20" s="217" t="s">
        <v>559</v>
      </c>
      <c r="F20" s="217" t="s">
        <v>332</v>
      </c>
      <c r="G20" s="217" t="s">
        <v>632</v>
      </c>
      <c r="H20" s="217"/>
      <c r="I20" s="217"/>
      <c r="J20" s="217" t="s">
        <v>633</v>
      </c>
    </row>
    <row r="21" spans="2:10">
      <c r="B21" s="217" t="s">
        <v>635</v>
      </c>
      <c r="C21" s="217" t="str">
        <f t="shared" si="0"/>
        <v>FIM</v>
      </c>
      <c r="D21" s="217" t="s">
        <v>560</v>
      </c>
      <c r="E21" s="217" t="s">
        <v>561</v>
      </c>
      <c r="F21" s="217" t="s">
        <v>332</v>
      </c>
      <c r="G21" s="217" t="s">
        <v>632</v>
      </c>
      <c r="H21" s="217"/>
      <c r="I21" s="217"/>
      <c r="J21" s="217" t="s">
        <v>633</v>
      </c>
    </row>
    <row r="22" spans="2:10">
      <c r="B22" s="217" t="s">
        <v>635</v>
      </c>
      <c r="C22" s="217" t="str">
        <f t="shared" si="0"/>
        <v>FIM</v>
      </c>
      <c r="D22" s="217" t="s">
        <v>562</v>
      </c>
      <c r="E22" s="217" t="s">
        <v>563</v>
      </c>
      <c r="F22" s="217" t="s">
        <v>332</v>
      </c>
      <c r="G22" s="217" t="s">
        <v>632</v>
      </c>
      <c r="H22" s="217"/>
      <c r="I22" s="217"/>
      <c r="J22" s="217" t="s">
        <v>633</v>
      </c>
    </row>
    <row r="23" spans="2:10">
      <c r="B23" s="217" t="s">
        <v>635</v>
      </c>
      <c r="C23" s="217" t="str">
        <f t="shared" si="0"/>
        <v>FIM</v>
      </c>
      <c r="D23" s="217" t="s">
        <v>565</v>
      </c>
      <c r="E23" s="217" t="s">
        <v>566</v>
      </c>
      <c r="F23" s="217" t="s">
        <v>332</v>
      </c>
      <c r="G23" s="217" t="s">
        <v>632</v>
      </c>
      <c r="H23" s="217"/>
      <c r="I23" s="217"/>
      <c r="J23" s="217" t="s">
        <v>633</v>
      </c>
    </row>
    <row r="24" spans="2:10">
      <c r="B24" s="217" t="s">
        <v>635</v>
      </c>
      <c r="C24" s="217" t="str">
        <f t="shared" si="0"/>
        <v>FIM</v>
      </c>
      <c r="D24" s="217" t="s">
        <v>541</v>
      </c>
      <c r="E24" s="217" t="s">
        <v>542</v>
      </c>
      <c r="F24" s="217" t="s">
        <v>332</v>
      </c>
      <c r="G24" s="217" t="s">
        <v>632</v>
      </c>
      <c r="H24" s="217"/>
      <c r="I24" s="217"/>
      <c r="J24" s="217" t="s">
        <v>633</v>
      </c>
    </row>
    <row r="25" spans="2:10">
      <c r="B25" s="217" t="s">
        <v>635</v>
      </c>
      <c r="C25" s="217" t="str">
        <f t="shared" si="0"/>
        <v>FIM</v>
      </c>
      <c r="D25" s="217" t="s">
        <v>583</v>
      </c>
      <c r="E25" s="217" t="s">
        <v>584</v>
      </c>
      <c r="F25" s="217" t="s">
        <v>332</v>
      </c>
      <c r="G25" s="217" t="s">
        <v>632</v>
      </c>
      <c r="H25" s="217"/>
      <c r="I25" s="217"/>
      <c r="J25" s="217" t="s">
        <v>633</v>
      </c>
    </row>
    <row r="26" spans="2:10">
      <c r="B26" s="217" t="s">
        <v>635</v>
      </c>
      <c r="C26" s="217" t="str">
        <f t="shared" si="0"/>
        <v>FIM</v>
      </c>
      <c r="D26" s="217" t="s">
        <v>586</v>
      </c>
      <c r="E26" s="217" t="s">
        <v>587</v>
      </c>
      <c r="F26" s="217" t="s">
        <v>332</v>
      </c>
      <c r="G26" s="217" t="s">
        <v>632</v>
      </c>
      <c r="H26" s="217"/>
      <c r="I26" s="217"/>
      <c r="J26" s="217" t="s">
        <v>633</v>
      </c>
    </row>
    <row r="27" spans="2:10">
      <c r="B27" s="217" t="s">
        <v>635</v>
      </c>
      <c r="C27" s="217" t="str">
        <f t="shared" si="0"/>
        <v>FIM</v>
      </c>
      <c r="D27" s="217" t="s">
        <v>572</v>
      </c>
      <c r="E27" s="217" t="s">
        <v>573</v>
      </c>
      <c r="F27" s="217" t="s">
        <v>332</v>
      </c>
      <c r="G27" s="217" t="s">
        <v>632</v>
      </c>
      <c r="H27" s="217"/>
      <c r="I27" s="217" t="s">
        <v>229</v>
      </c>
      <c r="J27" s="217" t="s">
        <v>633</v>
      </c>
    </row>
    <row r="28" spans="2:10">
      <c r="B28" s="217" t="s">
        <v>635</v>
      </c>
      <c r="C28" s="217" t="str">
        <f t="shared" si="0"/>
        <v>FIM</v>
      </c>
      <c r="D28" s="217" t="s">
        <v>574</v>
      </c>
      <c r="E28" s="217" t="s">
        <v>573</v>
      </c>
      <c r="F28" s="217" t="s">
        <v>332</v>
      </c>
      <c r="G28" s="217" t="s">
        <v>632</v>
      </c>
      <c r="H28" s="217"/>
      <c r="I28" s="217" t="s">
        <v>524</v>
      </c>
      <c r="J28" s="217" t="s">
        <v>633</v>
      </c>
    </row>
    <row r="29" spans="2:10">
      <c r="B29" s="400" t="s">
        <v>638</v>
      </c>
      <c r="C29" s="400" t="str">
        <f t="shared" si="0"/>
        <v>FIM</v>
      </c>
      <c r="D29" s="400" t="s">
        <v>639</v>
      </c>
      <c r="E29" s="400" t="s">
        <v>640</v>
      </c>
      <c r="F29" s="400" t="s">
        <v>332</v>
      </c>
      <c r="G29" s="400"/>
      <c r="H29" s="400" t="s">
        <v>430</v>
      </c>
      <c r="I29" s="400" t="s">
        <v>329</v>
      </c>
      <c r="J29" s="400" t="s">
        <v>633</v>
      </c>
    </row>
    <row r="30" spans="2:10">
      <c r="B30" s="400" t="s">
        <v>638</v>
      </c>
      <c r="C30" s="400" t="str">
        <f t="shared" si="0"/>
        <v>FIM</v>
      </c>
      <c r="D30" s="400" t="s">
        <v>641</v>
      </c>
      <c r="E30" s="400" t="s">
        <v>642</v>
      </c>
      <c r="F30" s="400" t="s">
        <v>332</v>
      </c>
      <c r="G30" s="400"/>
      <c r="H30" s="400" t="s">
        <v>430</v>
      </c>
      <c r="I30" s="400" t="s">
        <v>329</v>
      </c>
      <c r="J30" s="400" t="s">
        <v>633</v>
      </c>
    </row>
    <row r="31" spans="2:10">
      <c r="B31" s="400" t="s">
        <v>638</v>
      </c>
      <c r="C31" s="400" t="str">
        <f t="shared" si="0"/>
        <v>FIM</v>
      </c>
      <c r="D31" s="400" t="s">
        <v>643</v>
      </c>
      <c r="E31" s="400" t="s">
        <v>644</v>
      </c>
      <c r="F31" s="400" t="s">
        <v>332</v>
      </c>
      <c r="G31" s="400"/>
      <c r="H31" s="400" t="s">
        <v>430</v>
      </c>
      <c r="I31" s="400" t="s">
        <v>329</v>
      </c>
      <c r="J31" s="400" t="s">
        <v>633</v>
      </c>
    </row>
    <row r="32" spans="2:10">
      <c r="B32" s="400" t="s">
        <v>638</v>
      </c>
      <c r="C32" s="400" t="str">
        <f t="shared" si="0"/>
        <v>FIM</v>
      </c>
      <c r="D32" s="400" t="s">
        <v>645</v>
      </c>
      <c r="E32" s="400" t="s">
        <v>646</v>
      </c>
      <c r="F32" s="400" t="s">
        <v>332</v>
      </c>
      <c r="G32" s="400"/>
      <c r="H32" s="400" t="s">
        <v>430</v>
      </c>
      <c r="I32" s="400" t="s">
        <v>329</v>
      </c>
      <c r="J32" s="400" t="s">
        <v>633</v>
      </c>
    </row>
    <row r="33" spans="2:10">
      <c r="B33" s="400" t="s">
        <v>638</v>
      </c>
      <c r="C33" s="400" t="str">
        <f t="shared" si="0"/>
        <v>FIM</v>
      </c>
      <c r="D33" s="400" t="s">
        <v>647</v>
      </c>
      <c r="E33" s="400" t="s">
        <v>648</v>
      </c>
      <c r="F33" s="400" t="s">
        <v>332</v>
      </c>
      <c r="G33" s="400"/>
      <c r="H33" s="400" t="s">
        <v>430</v>
      </c>
      <c r="I33" s="400" t="s">
        <v>329</v>
      </c>
      <c r="J33" s="400" t="s">
        <v>633</v>
      </c>
    </row>
    <row r="34" spans="2:10">
      <c r="B34" s="400" t="s">
        <v>638</v>
      </c>
      <c r="C34" s="400" t="str">
        <f t="shared" si="0"/>
        <v>FIM</v>
      </c>
      <c r="D34" s="400" t="s">
        <v>649</v>
      </c>
      <c r="E34" s="400" t="s">
        <v>650</v>
      </c>
      <c r="F34" s="400" t="s">
        <v>332</v>
      </c>
      <c r="G34" s="400"/>
      <c r="H34" s="400" t="s">
        <v>377</v>
      </c>
      <c r="I34" s="400" t="s">
        <v>329</v>
      </c>
      <c r="J34" s="400" t="s">
        <v>633</v>
      </c>
    </row>
    <row r="35" spans="2:10">
      <c r="B35" s="400" t="s">
        <v>638</v>
      </c>
      <c r="C35" s="400" t="str">
        <f t="shared" si="0"/>
        <v>FIM</v>
      </c>
      <c r="D35" s="400" t="s">
        <v>651</v>
      </c>
      <c r="E35" s="400" t="s">
        <v>652</v>
      </c>
      <c r="F35" s="400" t="s">
        <v>332</v>
      </c>
      <c r="G35" s="400"/>
      <c r="H35" s="400" t="s">
        <v>393</v>
      </c>
      <c r="I35" s="400" t="s">
        <v>329</v>
      </c>
      <c r="J35" s="400" t="s">
        <v>633</v>
      </c>
    </row>
    <row r="36" spans="2:10">
      <c r="B36" s="217" t="s">
        <v>661</v>
      </c>
      <c r="C36" s="217" t="str">
        <f>Region</f>
        <v>FIM</v>
      </c>
      <c r="D36" s="217" t="s">
        <v>659</v>
      </c>
      <c r="E36" s="217" t="s">
        <v>660</v>
      </c>
      <c r="F36" s="217" t="s">
        <v>332</v>
      </c>
      <c r="G36" s="217" t="s">
        <v>632</v>
      </c>
      <c r="H36" s="217"/>
      <c r="I36" s="217" t="s">
        <v>444</v>
      </c>
      <c r="J36" s="217"/>
    </row>
  </sheetData>
  <phoneticPr fontId="38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X56"/>
  <sheetViews>
    <sheetView zoomScale="75" workbookViewId="0">
      <pane xSplit="3" ySplit="3" topLeftCell="D4" activePane="bottomRight" state="frozen"/>
      <selection activeCell="D129" sqref="D129"/>
      <selection pane="topRight" activeCell="D129" sqref="D129"/>
      <selection pane="bottomLeft" activeCell="D129" sqref="D129"/>
      <selection pane="bottomRight" activeCell="D129" sqref="D129"/>
    </sheetView>
  </sheetViews>
  <sheetFormatPr defaultRowHeight="12.75"/>
  <cols>
    <col min="1" max="1" width="36" customWidth="1"/>
    <col min="2" max="2" width="10.140625" customWidth="1"/>
    <col min="3" max="3" width="7" customWidth="1"/>
  </cols>
  <sheetData>
    <row r="1" spans="1:11">
      <c r="B1" s="432" t="s">
        <v>4</v>
      </c>
      <c r="C1" s="433">
        <f>MATCH(Region,$D$3:$I$3,0)</f>
        <v>3</v>
      </c>
      <c r="D1" s="434" t="s">
        <v>670</v>
      </c>
      <c r="E1" s="434">
        <f>INDEX(D4:I4,RegIndex)</f>
        <v>0</v>
      </c>
      <c r="F1" s="435" t="s">
        <v>671</v>
      </c>
      <c r="G1" s="436" t="b">
        <f>NOT(E1)</f>
        <v>1</v>
      </c>
    </row>
    <row r="2" spans="1:11" ht="15">
      <c r="D2" s="437" t="s">
        <v>672</v>
      </c>
      <c r="E2" s="437"/>
    </row>
    <row r="3" spans="1:11">
      <c r="A3" s="438" t="s">
        <v>673</v>
      </c>
      <c r="B3" s="438" t="s">
        <v>674</v>
      </c>
      <c r="C3" s="438" t="s">
        <v>675</v>
      </c>
      <c r="D3" s="438" t="s">
        <v>666</v>
      </c>
      <c r="E3" s="438" t="s">
        <v>667</v>
      </c>
      <c r="F3" s="439" t="s">
        <v>46</v>
      </c>
      <c r="G3" s="440" t="s">
        <v>48</v>
      </c>
      <c r="H3" s="440" t="s">
        <v>668</v>
      </c>
      <c r="I3" s="440" t="s">
        <v>668</v>
      </c>
      <c r="K3" s="441" t="str">
        <f>Region</f>
        <v>FIN</v>
      </c>
    </row>
    <row r="4" spans="1:11">
      <c r="A4" s="442" t="s">
        <v>676</v>
      </c>
      <c r="B4" s="442"/>
      <c r="C4" s="442"/>
      <c r="D4" s="443">
        <v>0</v>
      </c>
      <c r="E4" s="443">
        <v>0</v>
      </c>
      <c r="F4" s="443">
        <v>0</v>
      </c>
      <c r="G4" s="443">
        <v>0</v>
      </c>
      <c r="H4" s="443">
        <v>0</v>
      </c>
      <c r="I4" s="444">
        <v>0</v>
      </c>
      <c r="K4" s="445">
        <f t="shared" ref="K4:K15" ca="1" si="0">OFFSET($C4,0,RegIndex)</f>
        <v>0</v>
      </c>
    </row>
    <row r="5" spans="1:11">
      <c r="A5" s="446" t="s">
        <v>677</v>
      </c>
      <c r="B5" s="446" t="s">
        <v>540</v>
      </c>
      <c r="C5" s="434">
        <v>2005</v>
      </c>
      <c r="D5" s="446"/>
      <c r="E5" s="446"/>
      <c r="F5" s="447">
        <v>3.24</v>
      </c>
      <c r="G5" s="446"/>
      <c r="H5" s="446"/>
      <c r="I5" s="446"/>
      <c r="J5" s="446"/>
      <c r="K5" s="447">
        <f t="shared" ca="1" si="0"/>
        <v>3.24</v>
      </c>
    </row>
    <row r="6" spans="1:11">
      <c r="A6" s="446" t="s">
        <v>677</v>
      </c>
      <c r="B6" s="446" t="s">
        <v>540</v>
      </c>
      <c r="C6" s="434">
        <v>2050</v>
      </c>
      <c r="D6" s="446"/>
      <c r="E6" s="446"/>
      <c r="F6" s="447">
        <v>2.09</v>
      </c>
      <c r="G6" s="446"/>
      <c r="H6" s="446"/>
      <c r="I6" s="446"/>
      <c r="J6" s="446"/>
      <c r="K6" s="448">
        <f t="shared" ca="1" si="0"/>
        <v>2.09</v>
      </c>
    </row>
    <row r="7" spans="1:11">
      <c r="A7" s="446" t="s">
        <v>678</v>
      </c>
      <c r="B7" s="446"/>
      <c r="C7" s="446"/>
      <c r="D7" s="446"/>
      <c r="E7" s="446"/>
      <c r="F7" s="447">
        <v>0.06</v>
      </c>
      <c r="G7" s="446"/>
      <c r="H7" s="446"/>
      <c r="I7" s="446"/>
      <c r="K7" s="447">
        <f t="shared" ca="1" si="0"/>
        <v>0.06</v>
      </c>
    </row>
    <row r="8" spans="1:11">
      <c r="A8" s="446" t="s">
        <v>679</v>
      </c>
      <c r="B8" s="446"/>
      <c r="C8" s="446"/>
      <c r="D8" s="446"/>
      <c r="E8" s="446"/>
      <c r="F8" s="447">
        <v>0.02</v>
      </c>
      <c r="G8" s="446"/>
      <c r="H8" s="446"/>
      <c r="I8" s="446"/>
      <c r="K8" s="447">
        <f t="shared" ca="1" si="0"/>
        <v>0.02</v>
      </c>
    </row>
    <row r="9" spans="1:11">
      <c r="A9" s="446" t="s">
        <v>680</v>
      </c>
      <c r="B9" s="446"/>
      <c r="C9" s="446"/>
      <c r="D9" s="446"/>
      <c r="E9" s="446"/>
      <c r="F9" s="447">
        <v>5.2999999999999999E-2</v>
      </c>
      <c r="G9" s="446"/>
      <c r="H9" s="446"/>
      <c r="I9" s="446"/>
      <c r="K9" s="447">
        <f t="shared" ca="1" si="0"/>
        <v>5.2999999999999999E-2</v>
      </c>
    </row>
    <row r="10" spans="1:11">
      <c r="A10" s="446" t="s">
        <v>681</v>
      </c>
      <c r="B10" s="446"/>
      <c r="C10" s="434" t="s">
        <v>682</v>
      </c>
      <c r="D10" s="446"/>
      <c r="E10" s="446"/>
      <c r="F10" s="447">
        <v>0.26500000000000001</v>
      </c>
      <c r="G10" s="446"/>
      <c r="H10" s="446"/>
      <c r="I10" s="446"/>
      <c r="K10" s="447">
        <f t="shared" ca="1" si="0"/>
        <v>0.26500000000000001</v>
      </c>
    </row>
    <row r="11" spans="1:11">
      <c r="A11" s="446" t="s">
        <v>683</v>
      </c>
      <c r="B11" s="446"/>
      <c r="C11" s="434" t="s">
        <v>682</v>
      </c>
      <c r="D11" s="446"/>
      <c r="E11" s="446"/>
      <c r="F11" s="447">
        <v>0.26500000000000001</v>
      </c>
      <c r="G11" s="446"/>
      <c r="H11" s="446"/>
      <c r="I11" s="446"/>
      <c r="K11" s="447">
        <f t="shared" ca="1" si="0"/>
        <v>0.26500000000000001</v>
      </c>
    </row>
    <row r="12" spans="1:11">
      <c r="A12" s="446" t="s">
        <v>684</v>
      </c>
      <c r="B12" s="446"/>
      <c r="C12" s="434" t="s">
        <v>682</v>
      </c>
      <c r="D12" s="446"/>
      <c r="E12" s="446"/>
      <c r="F12" s="447">
        <v>0.2</v>
      </c>
      <c r="G12" s="446"/>
      <c r="H12" s="446"/>
      <c r="I12" s="446"/>
      <c r="K12" s="447">
        <f t="shared" ca="1" si="0"/>
        <v>0.2</v>
      </c>
    </row>
    <row r="13" spans="1:11">
      <c r="A13" s="446" t="s">
        <v>685</v>
      </c>
      <c r="B13" s="446"/>
      <c r="C13" s="434" t="s">
        <v>682</v>
      </c>
      <c r="D13" s="446"/>
      <c r="E13" s="446"/>
      <c r="F13" s="447">
        <v>0</v>
      </c>
      <c r="G13" s="446"/>
      <c r="H13" s="446"/>
      <c r="I13" s="446"/>
      <c r="K13" s="447">
        <f t="shared" ca="1" si="0"/>
        <v>0</v>
      </c>
    </row>
    <row r="14" spans="1:11">
      <c r="A14" s="446" t="s">
        <v>686</v>
      </c>
      <c r="B14" s="446"/>
      <c r="C14" s="434" t="s">
        <v>682</v>
      </c>
      <c r="D14" s="446"/>
      <c r="E14" s="446"/>
      <c r="F14" s="447">
        <v>0.2</v>
      </c>
      <c r="G14" s="446"/>
      <c r="H14" s="446"/>
      <c r="I14" s="446"/>
      <c r="K14" s="447">
        <f t="shared" ca="1" si="0"/>
        <v>0.2</v>
      </c>
    </row>
    <row r="15" spans="1:11">
      <c r="A15" s="446" t="s">
        <v>687</v>
      </c>
      <c r="B15" s="446"/>
      <c r="C15" s="434" t="s">
        <v>682</v>
      </c>
      <c r="D15" s="446"/>
      <c r="E15" s="446"/>
      <c r="F15" s="447">
        <v>0</v>
      </c>
      <c r="G15" s="446"/>
      <c r="H15" s="446"/>
      <c r="I15" s="446"/>
      <c r="K15" s="448">
        <f t="shared" ca="1" si="0"/>
        <v>0</v>
      </c>
    </row>
    <row r="19" spans="1:24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</row>
    <row r="21" spans="1:24">
      <c r="A21" s="11"/>
    </row>
    <row r="22" spans="1:24" ht="18">
      <c r="A22" s="15" t="s">
        <v>663</v>
      </c>
      <c r="B22" s="450"/>
      <c r="C22" s="450"/>
      <c r="D22" s="450"/>
      <c r="E22" s="450"/>
      <c r="F22" s="22"/>
      <c r="G22" s="383"/>
      <c r="H22" s="22"/>
      <c r="I22" s="22"/>
      <c r="J22" s="22"/>
      <c r="K22" s="22"/>
    </row>
    <row r="23" spans="1:24">
      <c r="A23" s="14"/>
      <c r="B23" s="22"/>
      <c r="C23" s="22"/>
      <c r="D23" s="22"/>
      <c r="E23" s="22"/>
      <c r="F23" s="22"/>
      <c r="G23" s="383"/>
      <c r="H23" s="22"/>
      <c r="I23" s="22"/>
      <c r="J23" s="22"/>
      <c r="K23" s="22"/>
    </row>
    <row r="24" spans="1:24" ht="18">
      <c r="A24" s="47" t="s">
        <v>688</v>
      </c>
      <c r="B24" s="47"/>
      <c r="C24" s="47"/>
      <c r="D24" s="91"/>
      <c r="E24" s="91"/>
      <c r="F24" s="22"/>
      <c r="G24" s="22"/>
      <c r="H24" s="22"/>
      <c r="I24" s="22"/>
      <c r="J24" s="22"/>
      <c r="K24" s="22"/>
      <c r="M24" s="215" t="s">
        <v>689</v>
      </c>
      <c r="N24" s="215"/>
      <c r="O24" s="215"/>
      <c r="P24" s="215"/>
      <c r="Q24" s="215"/>
      <c r="R24" s="215" t="s">
        <v>690</v>
      </c>
    </row>
    <row r="25" spans="1:24" ht="13.5" thickBot="1">
      <c r="A25" s="451"/>
      <c r="B25" s="452"/>
      <c r="C25" s="451"/>
      <c r="D25" s="22"/>
      <c r="E25" s="22"/>
      <c r="F25" s="22"/>
      <c r="G25" s="22"/>
      <c r="H25" s="22"/>
      <c r="I25" s="453" t="s">
        <v>691</v>
      </c>
      <c r="J25" s="96"/>
      <c r="K25" s="96"/>
      <c r="M25" s="454" t="s">
        <v>692</v>
      </c>
      <c r="N25" s="215"/>
      <c r="O25" s="215"/>
      <c r="P25" s="215"/>
      <c r="Q25" s="215" t="s">
        <v>693</v>
      </c>
      <c r="R25" s="215" t="s">
        <v>694</v>
      </c>
    </row>
    <row r="26" spans="1:24">
      <c r="A26" s="455" t="s">
        <v>695</v>
      </c>
      <c r="B26" s="456"/>
      <c r="C26" s="455"/>
      <c r="D26" s="22"/>
      <c r="E26" s="22"/>
      <c r="F26" s="22"/>
      <c r="G26" s="22"/>
      <c r="H26" s="22"/>
      <c r="I26" s="254" t="str">
        <f ca="1">CalibData!A7</f>
        <v>Vented gas (per PJ light production)</v>
      </c>
      <c r="J26" s="107"/>
      <c r="K26" s="254">
        <f ca="1">CalibData!$K7</f>
        <v>0.06</v>
      </c>
      <c r="M26" s="457">
        <v>2005</v>
      </c>
      <c r="N26" s="458" t="s">
        <v>696</v>
      </c>
      <c r="O26" s="458" t="s">
        <v>232</v>
      </c>
      <c r="P26" s="458" t="s">
        <v>697</v>
      </c>
      <c r="Q26" s="458" t="s">
        <v>697</v>
      </c>
      <c r="R26" s="458" t="s">
        <v>232</v>
      </c>
    </row>
    <row r="27" spans="1:24">
      <c r="A27" s="107" t="s">
        <v>681</v>
      </c>
      <c r="B27" s="459">
        <f ca="1">K29</f>
        <v>0.26500000000000001</v>
      </c>
      <c r="C27" s="107"/>
      <c r="D27" s="14"/>
      <c r="E27" s="22"/>
      <c r="F27" s="22"/>
      <c r="G27" s="22"/>
      <c r="H27" s="22"/>
      <c r="I27" s="254" t="str">
        <f ca="1">CalibData!A8</f>
        <v>Vented gas (per PJ heavy production)</v>
      </c>
      <c r="J27" s="107"/>
      <c r="K27" s="254">
        <f ca="1">CalibData!$K8</f>
        <v>0.02</v>
      </c>
      <c r="M27" s="460" t="s">
        <v>666</v>
      </c>
      <c r="N27" s="461">
        <v>286.40175859094188</v>
      </c>
      <c r="O27" s="461">
        <v>160.60825057311533</v>
      </c>
      <c r="P27" s="461">
        <v>52.794971717544847</v>
      </c>
      <c r="Q27" s="462">
        <v>2.15</v>
      </c>
      <c r="R27" s="215"/>
    </row>
    <row r="28" spans="1:24">
      <c r="A28" s="107" t="s">
        <v>698</v>
      </c>
      <c r="B28" s="463">
        <f ca="1">B27*AuxData!S98</f>
        <v>0</v>
      </c>
      <c r="C28" s="107" t="s">
        <v>332</v>
      </c>
      <c r="D28" s="22"/>
      <c r="E28" s="22"/>
      <c r="F28" s="22"/>
      <c r="G28" s="22"/>
      <c r="H28" s="22"/>
      <c r="I28" s="254" t="str">
        <f ca="1">CalibData!A9</f>
        <v>Vented gas (per PJ synth production)</v>
      </c>
      <c r="J28" s="107"/>
      <c r="K28" s="254">
        <f ca="1">CalibData!$K9</f>
        <v>5.2999999999999999E-2</v>
      </c>
      <c r="M28" s="460" t="s">
        <v>667</v>
      </c>
      <c r="N28" s="461">
        <v>286.40175859094188</v>
      </c>
      <c r="O28" s="461">
        <v>160.60825057311533</v>
      </c>
      <c r="P28" s="461">
        <v>52.794971717544847</v>
      </c>
      <c r="Q28" s="462">
        <v>2.15</v>
      </c>
      <c r="R28" s="215"/>
    </row>
    <row r="29" spans="1:24">
      <c r="A29" s="107" t="s">
        <v>699</v>
      </c>
      <c r="B29" s="463">
        <f ca="1">B30*8.32*273/(16*10^-9*101325)*37.23/1000000000</f>
        <v>0</v>
      </c>
      <c r="C29" s="107" t="s">
        <v>332</v>
      </c>
      <c r="D29" s="22"/>
      <c r="E29" s="22"/>
      <c r="F29" s="22"/>
      <c r="G29" s="22"/>
      <c r="H29" s="22"/>
      <c r="I29" s="254" t="str">
        <f ca="1">CalibData!A10</f>
        <v>Gas recovered (PJ) / Light oil production (PJ)</v>
      </c>
      <c r="J29" s="107"/>
      <c r="K29" s="464">
        <f ca="1">CalibData!$K10</f>
        <v>0.26500000000000001</v>
      </c>
      <c r="M29" s="460" t="s">
        <v>46</v>
      </c>
      <c r="N29" s="461">
        <v>1</v>
      </c>
      <c r="O29" s="461">
        <v>10</v>
      </c>
      <c r="P29" s="461">
        <v>10</v>
      </c>
      <c r="Q29" s="215">
        <v>0.33300000000000002</v>
      </c>
      <c r="R29" s="215">
        <f>0.00066*0.89</f>
        <v>5.8739999999999997E-4</v>
      </c>
    </row>
    <row r="30" spans="1:24">
      <c r="A30" s="107" t="s">
        <v>699</v>
      </c>
      <c r="B30" s="463">
        <f ca="1">AuxData!S98*(B32*16/44+B31)</f>
        <v>0</v>
      </c>
      <c r="C30" s="107" t="s">
        <v>700</v>
      </c>
      <c r="D30" s="22"/>
      <c r="E30" s="22"/>
      <c r="F30" s="22"/>
      <c r="G30" s="22"/>
      <c r="H30" s="22"/>
      <c r="I30" s="254" t="str">
        <f ca="1">CalibData!A11</f>
        <v>Gas recovered (PJ) / Heavy oil production (PJ)</v>
      </c>
      <c r="J30" s="107"/>
      <c r="K30" s="464">
        <f ca="1">CalibData!$K11</f>
        <v>0.26500000000000001</v>
      </c>
      <c r="M30" s="215" t="s">
        <v>701</v>
      </c>
      <c r="N30" s="461">
        <v>0</v>
      </c>
      <c r="O30" s="461">
        <v>0</v>
      </c>
      <c r="P30" s="461">
        <v>0</v>
      </c>
      <c r="Q30" s="215">
        <v>0</v>
      </c>
      <c r="R30" s="215"/>
    </row>
    <row r="31" spans="1:24">
      <c r="A31" s="107" t="s">
        <v>702</v>
      </c>
      <c r="B31" s="196">
        <f ca="1">K26</f>
        <v>0.06</v>
      </c>
      <c r="C31" s="465" t="s">
        <v>703</v>
      </c>
      <c r="D31" s="22"/>
      <c r="E31" s="463">
        <f ca="1">IF($B$29=0,0,B31*AuxData!$S$98/$B$29)</f>
        <v>0</v>
      </c>
      <c r="F31" s="465" t="s">
        <v>704</v>
      </c>
      <c r="G31" s="288"/>
      <c r="H31" s="22"/>
      <c r="I31" s="254" t="str">
        <f ca="1">CalibData!A12</f>
        <v>Gas recovered (PJ) / Synthetic oil production (PJ)</v>
      </c>
      <c r="J31" s="107"/>
      <c r="K31" s="464">
        <f ca="1">CalibData!$K12</f>
        <v>0.2</v>
      </c>
      <c r="M31" s="215" t="s">
        <v>49</v>
      </c>
      <c r="N31" s="461">
        <v>0</v>
      </c>
      <c r="O31" s="461">
        <v>0</v>
      </c>
      <c r="P31" s="461">
        <v>0</v>
      </c>
      <c r="Q31" s="215">
        <v>0</v>
      </c>
      <c r="R31" s="215"/>
    </row>
    <row r="32" spans="1:24">
      <c r="A32" s="107" t="s">
        <v>705</v>
      </c>
      <c r="B32" s="196">
        <v>2.15</v>
      </c>
      <c r="C32" s="465" t="s">
        <v>706</v>
      </c>
      <c r="D32" s="22"/>
      <c r="E32" s="463">
        <f ca="1">IF($B$29=0,0,B32*AuxData!$S$98/$B$29)</f>
        <v>0</v>
      </c>
      <c r="F32" s="466" t="s">
        <v>707</v>
      </c>
      <c r="G32" s="288"/>
      <c r="H32" s="22"/>
      <c r="I32" s="254" t="str">
        <f ca="1">CalibData!A13</f>
        <v>Vented+Flared Gas</v>
      </c>
      <c r="J32" s="107"/>
      <c r="K32" s="254">
        <f ca="1">CalibData!$K13</f>
        <v>0</v>
      </c>
      <c r="L32" s="22"/>
      <c r="M32" s="460" t="s">
        <v>48</v>
      </c>
      <c r="N32" s="461">
        <v>0</v>
      </c>
      <c r="O32" s="461">
        <v>0</v>
      </c>
      <c r="P32" s="461">
        <v>0</v>
      </c>
      <c r="Q32" s="460">
        <v>0</v>
      </c>
      <c r="R32" s="215"/>
    </row>
    <row r="33" spans="1:24">
      <c r="A33" s="455" t="s">
        <v>708</v>
      </c>
      <c r="B33" s="456"/>
      <c r="C33" s="455"/>
      <c r="D33" s="22"/>
      <c r="E33" s="22"/>
      <c r="F33" s="22"/>
      <c r="G33" s="22"/>
      <c r="H33" s="22"/>
      <c r="I33" s="254" t="str">
        <f ca="1">CalibData!A14</f>
        <v>Vented gas</v>
      </c>
      <c r="J33" s="107"/>
      <c r="K33" s="254">
        <f ca="1">CalibData!$K14</f>
        <v>0.2</v>
      </c>
      <c r="L33" s="22"/>
      <c r="M33" s="467"/>
      <c r="N33" s="200"/>
    </row>
    <row r="34" spans="1:24">
      <c r="A34" s="107" t="s">
        <v>683</v>
      </c>
      <c r="B34" s="459">
        <f ca="1">K30</f>
        <v>0.26500000000000001</v>
      </c>
      <c r="C34" s="107"/>
      <c r="D34" s="14"/>
      <c r="E34" s="22"/>
      <c r="F34" s="22"/>
      <c r="G34" s="22"/>
      <c r="H34" s="22"/>
      <c r="I34" s="254" t="str">
        <f ca="1">CalibData!A15</f>
        <v>Reinjected gas</v>
      </c>
      <c r="J34" s="107"/>
      <c r="K34" s="254">
        <f ca="1">CalibData!$K15</f>
        <v>0</v>
      </c>
      <c r="L34" s="22"/>
    </row>
    <row r="35" spans="1:24">
      <c r="A35" s="107" t="s">
        <v>709</v>
      </c>
      <c r="B35" s="463">
        <f ca="1">B34*AuxData!T98</f>
        <v>0</v>
      </c>
      <c r="C35" s="107" t="s">
        <v>332</v>
      </c>
      <c r="D35" s="22"/>
      <c r="E35" s="22"/>
      <c r="F35" s="22"/>
      <c r="G35" s="22"/>
      <c r="H35" s="22"/>
      <c r="I35" s="446"/>
      <c r="J35" s="446"/>
      <c r="K35" s="446"/>
      <c r="L35" s="22"/>
    </row>
    <row r="36" spans="1:24">
      <c r="A36" s="107" t="s">
        <v>710</v>
      </c>
      <c r="B36" s="463">
        <f ca="1">B37*8.32*273/(16*10^-9*101325)*37.23/1000000000</f>
        <v>0</v>
      </c>
      <c r="C36" s="107" t="s">
        <v>332</v>
      </c>
      <c r="D36" s="22"/>
      <c r="E36" s="22"/>
      <c r="F36" s="22"/>
      <c r="G36" s="22"/>
      <c r="H36" s="22"/>
      <c r="I36" s="446"/>
      <c r="J36" s="446"/>
      <c r="K36" s="446"/>
      <c r="L36" s="22"/>
    </row>
    <row r="37" spans="1:24">
      <c r="A37" s="107" t="s">
        <v>710</v>
      </c>
      <c r="B37" s="463">
        <f ca="1">AuxData!T98*(B39*16/44+B38)</f>
        <v>0</v>
      </c>
      <c r="C37" s="107" t="s">
        <v>700</v>
      </c>
      <c r="D37" s="22"/>
      <c r="E37" s="22"/>
      <c r="F37" s="22"/>
      <c r="G37" s="22"/>
      <c r="H37" s="22"/>
      <c r="I37" s="446"/>
      <c r="J37" s="446"/>
      <c r="K37" s="446"/>
      <c r="L37" s="22"/>
    </row>
    <row r="38" spans="1:24">
      <c r="A38" s="107" t="s">
        <v>702</v>
      </c>
      <c r="B38" s="196">
        <f>INDEX(P$27:P$32,RegIndex)/1000</f>
        <v>0.01</v>
      </c>
      <c r="C38" s="465" t="s">
        <v>703</v>
      </c>
      <c r="D38" s="22" t="s">
        <v>711</v>
      </c>
      <c r="E38" s="463">
        <f ca="1">IF($B$36=0,1.22,B38*AuxData!$T$98/$B$36)</f>
        <v>1.22</v>
      </c>
      <c r="F38" s="465" t="s">
        <v>704</v>
      </c>
      <c r="G38" s="288"/>
      <c r="H38" s="22"/>
      <c r="I38" s="446"/>
      <c r="J38" s="446"/>
      <c r="K38" s="446"/>
      <c r="L38" s="22"/>
    </row>
    <row r="39" spans="1:24">
      <c r="A39" s="106" t="s">
        <v>705</v>
      </c>
      <c r="B39" s="196">
        <f>INDEX(Q$27:Q$32,RegIndex)</f>
        <v>0.33300000000000002</v>
      </c>
      <c r="C39" s="466" t="s">
        <v>706</v>
      </c>
      <c r="D39" s="22"/>
      <c r="E39" s="463">
        <f ca="1">IF($B$36=0,0,B39*AuxData!$T$98/$B$36)</f>
        <v>0</v>
      </c>
      <c r="F39" s="466" t="s">
        <v>707</v>
      </c>
      <c r="G39" s="288"/>
      <c r="H39" s="22"/>
      <c r="I39" s="455" t="s">
        <v>211</v>
      </c>
      <c r="J39" s="456"/>
      <c r="K39" s="455"/>
      <c r="L39" s="22"/>
    </row>
    <row r="40" spans="1:24">
      <c r="A40" s="468" t="s">
        <v>712</v>
      </c>
      <c r="B40" s="463"/>
      <c r="C40" s="107"/>
      <c r="D40" s="22"/>
      <c r="E40" s="22"/>
      <c r="F40" s="22"/>
      <c r="G40" s="22"/>
      <c r="H40" s="22"/>
      <c r="I40" s="107" t="s">
        <v>702</v>
      </c>
      <c r="J40" s="469">
        <f>INDEX($N$27:$N$32,RegIndex)/1000</f>
        <v>1E-3</v>
      </c>
      <c r="K40" s="465" t="s">
        <v>703</v>
      </c>
      <c r="L40" s="22"/>
    </row>
    <row r="41" spans="1:24">
      <c r="A41" s="107" t="s">
        <v>684</v>
      </c>
      <c r="B41" s="459">
        <f ca="1">K31</f>
        <v>0.2</v>
      </c>
      <c r="C41" s="107"/>
      <c r="D41" s="14"/>
      <c r="E41" s="22"/>
      <c r="F41" s="22"/>
      <c r="G41" s="22"/>
      <c r="H41" s="22"/>
      <c r="I41" s="106" t="s">
        <v>705</v>
      </c>
      <c r="J41" s="470">
        <v>0</v>
      </c>
      <c r="K41" s="466" t="s">
        <v>706</v>
      </c>
      <c r="L41" s="22"/>
    </row>
    <row r="42" spans="1:24">
      <c r="A42" s="107" t="s">
        <v>713</v>
      </c>
      <c r="B42" s="471">
        <f ca="1">B41*(AuxData!Y98+AuxData!AU98)</f>
        <v>0</v>
      </c>
      <c r="C42" s="107" t="s">
        <v>332</v>
      </c>
      <c r="D42" s="22"/>
      <c r="E42" s="22"/>
      <c r="F42" s="22"/>
      <c r="G42" s="22"/>
      <c r="H42" s="22"/>
      <c r="I42" s="446"/>
      <c r="J42" s="446"/>
      <c r="K42" s="446"/>
      <c r="L42" s="22"/>
    </row>
    <row r="43" spans="1:24">
      <c r="A43" s="107" t="s">
        <v>714</v>
      </c>
      <c r="B43" s="463">
        <f ca="1">B44*8.32*273/(16*10^-9*101325)*37.23/1000000000</f>
        <v>0</v>
      </c>
      <c r="C43" s="107" t="s">
        <v>332</v>
      </c>
      <c r="D43" s="22"/>
      <c r="E43" s="22"/>
      <c r="F43" s="22"/>
      <c r="G43" s="22"/>
      <c r="H43" s="22"/>
      <c r="I43" s="446"/>
      <c r="J43" s="446"/>
      <c r="K43" s="446"/>
      <c r="L43" s="22"/>
      <c r="M43" s="205" t="s">
        <v>715</v>
      </c>
      <c r="N43" s="205"/>
      <c r="O43" s="205"/>
      <c r="P43" s="205"/>
      <c r="Q43" s="205"/>
      <c r="T43" s="472" t="s">
        <v>716</v>
      </c>
      <c r="U43" s="472"/>
      <c r="V43" s="472"/>
      <c r="X43" s="472" t="s">
        <v>717</v>
      </c>
    </row>
    <row r="44" spans="1:24" ht="13.5" thickBot="1">
      <c r="A44" s="107" t="s">
        <v>714</v>
      </c>
      <c r="B44" s="471">
        <f ca="1">(AuxData!Y98+AuxData!AU98)*(B46*16/44+B45)</f>
        <v>0</v>
      </c>
      <c r="C44" s="107" t="s">
        <v>700</v>
      </c>
      <c r="D44" s="22"/>
      <c r="E44" s="22"/>
      <c r="F44" s="22"/>
      <c r="G44" s="22"/>
      <c r="H44" s="22"/>
      <c r="I44" s="446"/>
      <c r="J44" s="446"/>
      <c r="K44" s="446"/>
      <c r="L44" s="22"/>
      <c r="M44" s="473" t="s">
        <v>718</v>
      </c>
      <c r="N44" s="205"/>
      <c r="O44" s="205"/>
      <c r="P44" s="205"/>
      <c r="Q44" s="205"/>
      <c r="S44" s="474" t="s">
        <v>1</v>
      </c>
      <c r="T44" s="475">
        <f ca="1">BaseYear</f>
        <v>2010</v>
      </c>
      <c r="U44" s="475">
        <f>T44+5</f>
        <v>2015</v>
      </c>
      <c r="V44" s="475">
        <f>U44+5</f>
        <v>2020</v>
      </c>
      <c r="W44" s="475">
        <v>2030</v>
      </c>
      <c r="X44" s="476">
        <v>2020</v>
      </c>
    </row>
    <row r="45" spans="1:24">
      <c r="A45" s="107" t="s">
        <v>702</v>
      </c>
      <c r="B45" s="196">
        <f ca="1">K28</f>
        <v>5.2999999999999999E-2</v>
      </c>
      <c r="C45" s="465" t="s">
        <v>703</v>
      </c>
      <c r="D45" s="22"/>
      <c r="E45" s="463">
        <f ca="1">IF($B$43=0,1.22,B45*(AuxData!Y98+AuxData!AU98)/$B$43)</f>
        <v>1.22</v>
      </c>
      <c r="F45" s="465" t="s">
        <v>704</v>
      </c>
      <c r="G45" s="288"/>
      <c r="H45" s="22"/>
      <c r="I45" s="446"/>
      <c r="J45" s="446"/>
      <c r="K45" s="446"/>
      <c r="L45" s="22"/>
      <c r="M45" s="477">
        <v>6.3150145095503304E-2</v>
      </c>
      <c r="N45" s="478" t="s">
        <v>719</v>
      </c>
      <c r="O45" s="205"/>
      <c r="P45" s="205"/>
      <c r="Q45" s="205"/>
      <c r="S45" s="446" t="s">
        <v>666</v>
      </c>
      <c r="T45" s="479">
        <v>0</v>
      </c>
      <c r="U45" s="479">
        <v>0</v>
      </c>
      <c r="V45" s="479">
        <v>0</v>
      </c>
      <c r="W45" s="479">
        <v>0</v>
      </c>
      <c r="X45" s="480">
        <v>0</v>
      </c>
    </row>
    <row r="46" spans="1:24">
      <c r="A46" s="107" t="s">
        <v>705</v>
      </c>
      <c r="B46" s="196">
        <f>INDEX(Q$27:Q$32,RegIndex)</f>
        <v>0.33300000000000002</v>
      </c>
      <c r="C46" s="465" t="s">
        <v>706</v>
      </c>
      <c r="D46" s="22"/>
      <c r="E46" s="463">
        <f ca="1">IF($B$43=0,MIN(49.37,E39),B46*AuxData!$Y$98/$B$43)</f>
        <v>0</v>
      </c>
      <c r="F46" s="466" t="s">
        <v>707</v>
      </c>
      <c r="G46" s="288"/>
      <c r="H46" s="22"/>
      <c r="I46" s="288"/>
      <c r="J46" s="288"/>
      <c r="K46" s="288"/>
      <c r="L46" s="22"/>
      <c r="M46" s="477">
        <v>5.1202532747546797E-2</v>
      </c>
      <c r="N46" s="478" t="s">
        <v>720</v>
      </c>
      <c r="O46" s="205"/>
      <c r="P46" s="205"/>
      <c r="Q46" s="205"/>
      <c r="S46" s="446" t="s">
        <v>667</v>
      </c>
      <c r="T46" s="479">
        <v>0</v>
      </c>
      <c r="U46" s="479">
        <v>0</v>
      </c>
      <c r="V46" s="479">
        <v>0</v>
      </c>
      <c r="W46" s="479">
        <v>0</v>
      </c>
      <c r="X46" s="480">
        <v>0</v>
      </c>
    </row>
    <row r="47" spans="1:24">
      <c r="A47" s="455" t="s">
        <v>721</v>
      </c>
      <c r="B47" s="456"/>
      <c r="C47" s="481"/>
      <c r="D47" s="22"/>
      <c r="E47" s="22"/>
      <c r="F47" s="22"/>
      <c r="G47" s="22"/>
      <c r="H47" s="22"/>
      <c r="I47" s="455" t="s">
        <v>722</v>
      </c>
      <c r="J47" s="482"/>
      <c r="K47" s="481"/>
      <c r="L47" s="22"/>
      <c r="M47" s="477">
        <v>4.6524502644668897E-2</v>
      </c>
      <c r="N47" s="478" t="s">
        <v>723</v>
      </c>
      <c r="O47" s="205"/>
      <c r="P47" s="205"/>
      <c r="Q47" s="205"/>
      <c r="S47" s="446" t="s">
        <v>46</v>
      </c>
      <c r="T47" s="479">
        <v>0</v>
      </c>
      <c r="U47" s="479">
        <v>0</v>
      </c>
      <c r="V47" s="479">
        <v>6.6303464855045959</v>
      </c>
      <c r="W47" s="479">
        <v>15.910051300443268</v>
      </c>
      <c r="X47" s="480">
        <v>0.67</v>
      </c>
    </row>
    <row r="48" spans="1:24">
      <c r="A48" s="107" t="s">
        <v>685</v>
      </c>
      <c r="B48" s="483">
        <f ca="1">K32</f>
        <v>0</v>
      </c>
      <c r="C48" s="484" t="s">
        <v>724</v>
      </c>
      <c r="D48" s="22"/>
      <c r="E48" s="14"/>
      <c r="F48" s="22"/>
      <c r="G48" s="22"/>
      <c r="H48" s="22"/>
      <c r="I48" s="107" t="s">
        <v>685</v>
      </c>
      <c r="J48" s="485">
        <v>64</v>
      </c>
      <c r="K48" s="484" t="s">
        <v>724</v>
      </c>
      <c r="L48" s="22"/>
      <c r="M48" s="477">
        <v>2.5577246997932498E-2</v>
      </c>
      <c r="N48" s="478" t="s">
        <v>725</v>
      </c>
      <c r="O48" s="205"/>
      <c r="P48" s="205"/>
      <c r="Q48" s="205"/>
      <c r="S48" s="446" t="s">
        <v>48</v>
      </c>
      <c r="T48" s="479">
        <v>0</v>
      </c>
      <c r="U48" s="479">
        <v>0</v>
      </c>
      <c r="V48" s="479">
        <v>0</v>
      </c>
      <c r="W48" s="479">
        <v>0</v>
      </c>
      <c r="X48" s="480">
        <v>0</v>
      </c>
    </row>
    <row r="49" spans="1:24">
      <c r="A49" s="107" t="s">
        <v>685</v>
      </c>
      <c r="B49" s="485">
        <f ca="1">B48*1.0547</f>
        <v>0</v>
      </c>
      <c r="C49" s="484" t="s">
        <v>332</v>
      </c>
      <c r="D49" s="22"/>
      <c r="E49" s="14"/>
      <c r="F49" s="22"/>
      <c r="G49" s="22"/>
      <c r="H49" s="22"/>
      <c r="I49" s="107" t="s">
        <v>685</v>
      </c>
      <c r="J49" s="485">
        <f>J48*1.0547</f>
        <v>67.500799999999998</v>
      </c>
      <c r="K49" s="484" t="s">
        <v>332</v>
      </c>
      <c r="L49" s="22"/>
      <c r="M49" s="486">
        <f>M45+M46+M47</f>
        <v>0.16087718048771898</v>
      </c>
      <c r="N49" s="478" t="s">
        <v>726</v>
      </c>
      <c r="O49" s="205"/>
      <c r="P49" s="205"/>
      <c r="Q49" s="205"/>
      <c r="S49" s="446" t="s">
        <v>668</v>
      </c>
      <c r="T49" s="479">
        <v>0</v>
      </c>
      <c r="U49" s="479">
        <v>0</v>
      </c>
      <c r="V49" s="479">
        <v>0</v>
      </c>
      <c r="W49" s="479">
        <v>0</v>
      </c>
      <c r="X49" s="480">
        <v>0</v>
      </c>
    </row>
    <row r="50" spans="1:24">
      <c r="A50" s="107" t="s">
        <v>686</v>
      </c>
      <c r="B50" s="487">
        <f ca="1">K33</f>
        <v>0.2</v>
      </c>
      <c r="C50" s="465"/>
      <c r="D50" s="22"/>
      <c r="E50" s="14"/>
      <c r="F50" s="22"/>
      <c r="G50" s="22"/>
      <c r="H50" s="22"/>
      <c r="I50" s="107" t="s">
        <v>686</v>
      </c>
      <c r="J50" s="465">
        <v>0.4</v>
      </c>
      <c r="K50" s="465"/>
      <c r="M50" s="473" t="s">
        <v>727</v>
      </c>
      <c r="N50" s="488"/>
      <c r="O50" s="205"/>
      <c r="P50" s="205"/>
      <c r="Q50" s="205"/>
      <c r="S50" s="446" t="s">
        <v>668</v>
      </c>
      <c r="T50" s="479">
        <v>0</v>
      </c>
      <c r="U50" s="479">
        <v>0</v>
      </c>
      <c r="V50" s="479">
        <v>0</v>
      </c>
      <c r="W50" s="479">
        <v>0</v>
      </c>
      <c r="X50" s="480">
        <v>0</v>
      </c>
    </row>
    <row r="51" spans="1:24">
      <c r="A51" s="107" t="s">
        <v>728</v>
      </c>
      <c r="B51" s="487">
        <f ca="1">1-B50</f>
        <v>0.8</v>
      </c>
      <c r="C51" s="465"/>
      <c r="D51" s="22"/>
      <c r="E51" s="14"/>
      <c r="F51" s="22"/>
      <c r="G51" s="22"/>
      <c r="H51" s="22"/>
      <c r="I51" s="107" t="s">
        <v>728</v>
      </c>
      <c r="J51" s="465">
        <f>1-J50</f>
        <v>0.6</v>
      </c>
      <c r="K51" s="465"/>
      <c r="M51" s="486">
        <v>8.0688560291379399E-2</v>
      </c>
      <c r="N51" s="205" t="s">
        <v>729</v>
      </c>
      <c r="O51" s="205"/>
      <c r="P51" s="205"/>
      <c r="Q51" s="205"/>
    </row>
    <row r="52" spans="1:24">
      <c r="A52" s="107" t="s">
        <v>730</v>
      </c>
      <c r="B52" s="463">
        <f>INDEX(O$27:O$32,RegIndex)/1000</f>
        <v>0.01</v>
      </c>
      <c r="C52" s="107" t="s">
        <v>703</v>
      </c>
      <c r="D52" s="489"/>
      <c r="E52" s="463">
        <f ca="1">IF($B$49=0,1.22,B52*AuxData!$R$98/$B$49)</f>
        <v>1.22</v>
      </c>
      <c r="F52" s="465" t="s">
        <v>704</v>
      </c>
      <c r="G52" s="288"/>
      <c r="H52" s="22"/>
      <c r="I52" s="107" t="s">
        <v>702</v>
      </c>
      <c r="J52" s="463">
        <f ca="1">IF(AuxData!R98=0,0,J50*J48/35.3*101325*10^9*16/8.32/273/1000000000/AuxData!R98)</f>
        <v>0</v>
      </c>
      <c r="K52" s="107" t="s">
        <v>703</v>
      </c>
      <c r="M52" s="486">
        <v>0.12844560070977801</v>
      </c>
      <c r="N52" s="205" t="s">
        <v>731</v>
      </c>
      <c r="O52" s="205"/>
      <c r="P52" s="205"/>
      <c r="Q52" s="205"/>
    </row>
    <row r="53" spans="1:24">
      <c r="A53" s="107" t="s">
        <v>732</v>
      </c>
      <c r="B53" s="463">
        <f ca="1">IF(AuxData!R98=0,0,B51*B49/35.3*101325*10^9*44/8.32/273/1000000000/AuxData!R98)</f>
        <v>0</v>
      </c>
      <c r="C53" s="107" t="s">
        <v>706</v>
      </c>
      <c r="D53" s="489"/>
      <c r="E53" s="463">
        <f ca="1">IF($B$49=0,1.22,B53*AuxData!$R$98/$B$49)</f>
        <v>1.22</v>
      </c>
      <c r="F53" s="466" t="s">
        <v>707</v>
      </c>
      <c r="G53" s="288"/>
      <c r="H53" s="22"/>
      <c r="I53" s="107" t="s">
        <v>705</v>
      </c>
      <c r="J53" s="463">
        <f ca="1">IF(AuxData!R98=0,0,J51*J48/35.3*101325*10^9*44/8.32/273/1000000000/AuxData!R98)</f>
        <v>0</v>
      </c>
      <c r="K53" s="107" t="s">
        <v>706</v>
      </c>
      <c r="M53" s="486">
        <v>6.9518534161016596E-2</v>
      </c>
      <c r="N53" s="205" t="s">
        <v>733</v>
      </c>
      <c r="O53" s="205"/>
      <c r="P53" s="205"/>
      <c r="Q53" s="205"/>
      <c r="S53" s="490" t="str">
        <f t="shared" ref="S53:X53" ca="1" si="1">OFFSET(S$44,RegIndex,0)</f>
        <v>FIN</v>
      </c>
      <c r="T53" s="490">
        <f t="shared" ca="1" si="1"/>
        <v>0</v>
      </c>
      <c r="U53" s="490">
        <f t="shared" ca="1" si="1"/>
        <v>0</v>
      </c>
      <c r="V53" s="490">
        <f t="shared" ca="1" si="1"/>
        <v>6.6303464855045959</v>
      </c>
      <c r="W53" s="490">
        <f t="shared" ca="1" si="1"/>
        <v>15.910051300443268</v>
      </c>
      <c r="X53" s="491">
        <f t="shared" ca="1" si="1"/>
        <v>0.67</v>
      </c>
    </row>
    <row r="54" spans="1:24">
      <c r="A54" s="107" t="s">
        <v>687</v>
      </c>
      <c r="B54" s="492">
        <f ca="1">K34</f>
        <v>0</v>
      </c>
      <c r="C54" s="484" t="s">
        <v>724</v>
      </c>
      <c r="D54" s="489"/>
      <c r="E54" s="14"/>
      <c r="F54" s="90"/>
      <c r="G54" s="22"/>
      <c r="H54" s="22"/>
      <c r="I54" s="107" t="s">
        <v>687</v>
      </c>
      <c r="J54" s="484">
        <v>1469</v>
      </c>
      <c r="K54" s="484" t="s">
        <v>724</v>
      </c>
      <c r="M54" s="486">
        <f>M51+M52</f>
        <v>0.20913416100115739</v>
      </c>
      <c r="N54" s="478" t="s">
        <v>726</v>
      </c>
      <c r="O54" s="205"/>
      <c r="P54" s="205"/>
      <c r="Q54" s="205"/>
    </row>
    <row r="55" spans="1:24">
      <c r="A55" s="14"/>
      <c r="B55" s="22"/>
      <c r="C55" s="22"/>
      <c r="D55" s="22"/>
      <c r="E55" s="22"/>
      <c r="F55" s="22"/>
      <c r="G55" s="22"/>
      <c r="H55" s="22"/>
      <c r="I55" s="22"/>
      <c r="K55" s="22"/>
    </row>
    <row r="56" spans="1:24">
      <c r="A56" s="493"/>
      <c r="B56" s="493"/>
      <c r="C56" s="493"/>
      <c r="D56" s="493"/>
      <c r="E56" s="493"/>
      <c r="F56" s="493"/>
      <c r="G56" s="493"/>
      <c r="H56" s="493"/>
      <c r="I56" s="22"/>
      <c r="J56" s="22"/>
      <c r="K56" s="22"/>
    </row>
  </sheetData>
  <phoneticPr fontId="38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I179"/>
  <sheetViews>
    <sheetView topLeftCell="A132" zoomScale="80" workbookViewId="0">
      <selection activeCell="D129" sqref="D129"/>
    </sheetView>
  </sheetViews>
  <sheetFormatPr defaultColWidth="9.140625" defaultRowHeight="12.75"/>
  <cols>
    <col min="1" max="1" width="9.140625" customWidth="1"/>
    <col min="2" max="2" width="11" customWidth="1"/>
    <col min="3" max="3" width="15.28515625" customWidth="1"/>
    <col min="4" max="4" width="43" bestFit="1" customWidth="1"/>
    <col min="13" max="13" width="12.42578125" customWidth="1"/>
  </cols>
  <sheetData>
    <row r="2" spans="2:9">
      <c r="B2" s="213" t="s">
        <v>320</v>
      </c>
    </row>
    <row r="3" spans="2:9">
      <c r="B3" s="214" t="s">
        <v>321</v>
      </c>
      <c r="C3" s="214" t="s">
        <v>322</v>
      </c>
      <c r="D3" s="214" t="s">
        <v>323</v>
      </c>
      <c r="E3" s="214" t="s">
        <v>324</v>
      </c>
      <c r="F3" s="214" t="s">
        <v>325</v>
      </c>
      <c r="G3" s="214" t="s">
        <v>326</v>
      </c>
      <c r="H3" s="214" t="s">
        <v>327</v>
      </c>
      <c r="I3" s="214" t="s">
        <v>328</v>
      </c>
    </row>
    <row r="4" spans="2:9">
      <c r="B4" s="494" t="s">
        <v>329</v>
      </c>
      <c r="C4" s="495" t="s">
        <v>222</v>
      </c>
      <c r="D4" s="495" t="s">
        <v>605</v>
      </c>
      <c r="E4" s="495" t="s">
        <v>332</v>
      </c>
      <c r="F4" s="495"/>
      <c r="G4" s="496" t="s">
        <v>430</v>
      </c>
      <c r="H4" s="496"/>
      <c r="I4" s="496" t="s">
        <v>378</v>
      </c>
    </row>
    <row r="5" spans="2:9">
      <c r="B5" s="494" t="s">
        <v>329</v>
      </c>
      <c r="C5" s="495" t="s">
        <v>431</v>
      </c>
      <c r="D5" s="495" t="s">
        <v>432</v>
      </c>
      <c r="E5" s="495" t="s">
        <v>332</v>
      </c>
      <c r="F5" s="495"/>
      <c r="G5" s="496" t="s">
        <v>393</v>
      </c>
      <c r="H5" s="496"/>
      <c r="I5" s="496" t="s">
        <v>378</v>
      </c>
    </row>
    <row r="6" spans="2:9">
      <c r="B6" s="494" t="s">
        <v>329</v>
      </c>
      <c r="C6" s="495" t="s">
        <v>151</v>
      </c>
      <c r="D6" s="495" t="s">
        <v>734</v>
      </c>
      <c r="E6" s="495" t="s">
        <v>332</v>
      </c>
      <c r="F6" s="495"/>
      <c r="G6" s="495"/>
      <c r="H6" s="495"/>
      <c r="I6" s="495"/>
    </row>
    <row r="7" spans="2:9">
      <c r="B7" s="494" t="s">
        <v>329</v>
      </c>
      <c r="C7" s="495" t="s">
        <v>150</v>
      </c>
      <c r="D7" s="495" t="s">
        <v>735</v>
      </c>
      <c r="E7" s="495" t="s">
        <v>332</v>
      </c>
      <c r="F7" s="495"/>
      <c r="G7" s="495"/>
      <c r="H7" s="495"/>
      <c r="I7" s="495"/>
    </row>
    <row r="8" spans="2:9">
      <c r="B8" s="494" t="s">
        <v>329</v>
      </c>
      <c r="C8" s="495" t="s">
        <v>149</v>
      </c>
      <c r="D8" s="495" t="s">
        <v>736</v>
      </c>
      <c r="E8" s="495" t="s">
        <v>332</v>
      </c>
      <c r="F8" s="495"/>
      <c r="G8" s="495"/>
      <c r="H8" s="495"/>
      <c r="I8" s="495"/>
    </row>
    <row r="9" spans="2:9">
      <c r="B9" s="494" t="s">
        <v>329</v>
      </c>
      <c r="C9" s="495" t="s">
        <v>443</v>
      </c>
      <c r="D9" s="495" t="s">
        <v>737</v>
      </c>
      <c r="E9" s="495" t="s">
        <v>332</v>
      </c>
      <c r="F9" s="495"/>
      <c r="G9" s="495"/>
      <c r="H9" s="495"/>
      <c r="I9" s="495"/>
    </row>
    <row r="10" spans="2:9">
      <c r="B10" s="494" t="s">
        <v>329</v>
      </c>
      <c r="C10" s="495" t="s">
        <v>160</v>
      </c>
      <c r="D10" s="495" t="s">
        <v>738</v>
      </c>
      <c r="E10" s="495" t="s">
        <v>332</v>
      </c>
      <c r="F10" s="495"/>
      <c r="G10" s="495"/>
      <c r="H10" s="495"/>
      <c r="I10" s="495"/>
    </row>
    <row r="11" spans="2:9">
      <c r="B11" s="494" t="s">
        <v>329</v>
      </c>
      <c r="C11" s="495" t="s">
        <v>152</v>
      </c>
      <c r="D11" s="495" t="s">
        <v>739</v>
      </c>
      <c r="E11" s="495" t="s">
        <v>332</v>
      </c>
      <c r="F11" s="495"/>
      <c r="G11" s="495"/>
      <c r="H11" s="495"/>
      <c r="I11" s="495"/>
    </row>
    <row r="12" spans="2:9">
      <c r="B12" s="494" t="s">
        <v>329</v>
      </c>
      <c r="C12" s="495" t="s">
        <v>168</v>
      </c>
      <c r="D12" s="495" t="s">
        <v>740</v>
      </c>
      <c r="E12" s="495" t="s">
        <v>332</v>
      </c>
      <c r="F12" s="495"/>
      <c r="G12" s="495"/>
      <c r="H12" s="495"/>
      <c r="I12" s="495"/>
    </row>
    <row r="13" spans="2:9">
      <c r="B13" s="494" t="s">
        <v>329</v>
      </c>
      <c r="C13" s="495" t="s">
        <v>252</v>
      </c>
      <c r="D13" s="495" t="s">
        <v>379</v>
      </c>
      <c r="E13" s="495" t="s">
        <v>332</v>
      </c>
      <c r="F13" s="495"/>
      <c r="G13" s="495"/>
      <c r="H13" s="495"/>
      <c r="I13" s="495"/>
    </row>
    <row r="14" spans="2:9">
      <c r="B14" s="494" t="s">
        <v>329</v>
      </c>
      <c r="C14" s="495" t="s">
        <v>254</v>
      </c>
      <c r="D14" s="495" t="s">
        <v>380</v>
      </c>
      <c r="E14" s="495" t="s">
        <v>332</v>
      </c>
      <c r="F14" s="495"/>
      <c r="G14" s="495"/>
      <c r="H14" s="495"/>
      <c r="I14" s="495"/>
    </row>
    <row r="15" spans="2:9">
      <c r="B15" s="494" t="s">
        <v>329</v>
      </c>
      <c r="C15" s="495" t="s">
        <v>265</v>
      </c>
      <c r="D15" s="495" t="s">
        <v>381</v>
      </c>
      <c r="E15" s="495" t="s">
        <v>332</v>
      </c>
      <c r="F15" s="495"/>
      <c r="G15" s="495"/>
      <c r="H15" s="495"/>
      <c r="I15" s="495"/>
    </row>
    <row r="16" spans="2:9">
      <c r="B16" s="494" t="s">
        <v>329</v>
      </c>
      <c r="C16" s="495" t="s">
        <v>249</v>
      </c>
      <c r="D16" s="495" t="s">
        <v>382</v>
      </c>
      <c r="E16" s="495" t="s">
        <v>332</v>
      </c>
      <c r="F16" s="495"/>
      <c r="G16" s="495"/>
      <c r="H16" s="495"/>
      <c r="I16" s="495"/>
    </row>
    <row r="17" spans="2:9">
      <c r="B17" s="494" t="s">
        <v>329</v>
      </c>
      <c r="C17" s="495" t="s">
        <v>383</v>
      </c>
      <c r="D17" s="495" t="s">
        <v>384</v>
      </c>
      <c r="E17" s="495" t="s">
        <v>332</v>
      </c>
      <c r="F17" s="495"/>
      <c r="G17" s="495"/>
      <c r="H17" s="495"/>
      <c r="I17" s="495"/>
    </row>
    <row r="18" spans="2:9">
      <c r="B18" s="494" t="s">
        <v>329</v>
      </c>
      <c r="C18" s="495" t="s">
        <v>229</v>
      </c>
      <c r="D18" s="495" t="s">
        <v>385</v>
      </c>
      <c r="E18" s="495" t="s">
        <v>332</v>
      </c>
      <c r="F18" s="495"/>
      <c r="G18" s="495"/>
      <c r="H18" s="495"/>
      <c r="I18" s="495"/>
    </row>
    <row r="19" spans="2:9">
      <c r="B19" s="494" t="s">
        <v>329</v>
      </c>
      <c r="C19" s="495" t="s">
        <v>256</v>
      </c>
      <c r="D19" s="495" t="s">
        <v>386</v>
      </c>
      <c r="E19" s="495" t="s">
        <v>332</v>
      </c>
      <c r="F19" s="495"/>
      <c r="G19" s="495"/>
      <c r="H19" s="495"/>
      <c r="I19" s="495"/>
    </row>
    <row r="20" spans="2:9">
      <c r="B20" s="494" t="s">
        <v>329</v>
      </c>
      <c r="C20" s="495" t="s">
        <v>260</v>
      </c>
      <c r="D20" s="495" t="s">
        <v>387</v>
      </c>
      <c r="E20" s="495" t="s">
        <v>332</v>
      </c>
      <c r="F20" s="495"/>
      <c r="G20" s="495"/>
      <c r="H20" s="495"/>
      <c r="I20" s="495"/>
    </row>
    <row r="21" spans="2:9">
      <c r="B21" s="494" t="s">
        <v>329</v>
      </c>
      <c r="C21" s="495" t="s">
        <v>216</v>
      </c>
      <c r="D21" s="495" t="s">
        <v>741</v>
      </c>
      <c r="E21" s="495" t="s">
        <v>332</v>
      </c>
      <c r="F21" s="495"/>
      <c r="G21" s="495"/>
      <c r="H21" s="495"/>
      <c r="I21" s="495"/>
    </row>
    <row r="22" spans="2:9">
      <c r="B22" s="494" t="s">
        <v>329</v>
      </c>
      <c r="C22" s="495" t="s">
        <v>220</v>
      </c>
      <c r="D22" s="495" t="s">
        <v>742</v>
      </c>
      <c r="E22" s="495" t="s">
        <v>332</v>
      </c>
      <c r="F22" s="495"/>
      <c r="G22" s="495"/>
      <c r="H22" s="495"/>
      <c r="I22" s="495"/>
    </row>
    <row r="23" spans="2:9">
      <c r="B23" s="494" t="s">
        <v>329</v>
      </c>
      <c r="C23" s="495" t="s">
        <v>223</v>
      </c>
      <c r="D23" s="495" t="s">
        <v>608</v>
      </c>
      <c r="E23" s="495" t="s">
        <v>332</v>
      </c>
      <c r="F23" s="495"/>
      <c r="G23" s="495"/>
      <c r="H23" s="495"/>
      <c r="I23" s="495"/>
    </row>
    <row r="24" spans="2:9">
      <c r="B24" s="494" t="s">
        <v>329</v>
      </c>
      <c r="C24" s="495" t="s">
        <v>299</v>
      </c>
      <c r="D24" s="495" t="s">
        <v>371</v>
      </c>
      <c r="E24" s="495" t="s">
        <v>332</v>
      </c>
      <c r="F24" s="495"/>
      <c r="G24" s="495"/>
      <c r="H24" s="495"/>
      <c r="I24" s="495"/>
    </row>
    <row r="25" spans="2:9">
      <c r="B25" s="494" t="s">
        <v>329</v>
      </c>
      <c r="C25" s="495" t="s">
        <v>372</v>
      </c>
      <c r="D25" s="495" t="s">
        <v>373</v>
      </c>
      <c r="E25" s="495" t="s">
        <v>332</v>
      </c>
      <c r="F25" s="495"/>
      <c r="G25" s="495"/>
      <c r="H25" s="495"/>
      <c r="I25" s="495"/>
    </row>
    <row r="26" spans="2:9">
      <c r="B26" s="494" t="s">
        <v>329</v>
      </c>
      <c r="C26" s="495" t="s">
        <v>301</v>
      </c>
      <c r="D26" s="495" t="s">
        <v>374</v>
      </c>
      <c r="E26" s="495" t="s">
        <v>332</v>
      </c>
      <c r="F26" s="495"/>
      <c r="G26" s="495"/>
      <c r="H26" s="495"/>
      <c r="I26" s="495"/>
    </row>
    <row r="27" spans="2:9">
      <c r="B27" s="494" t="s">
        <v>329</v>
      </c>
      <c r="C27" s="495" t="s">
        <v>303</v>
      </c>
      <c r="D27" s="495" t="s">
        <v>375</v>
      </c>
      <c r="E27" s="495" t="s">
        <v>332</v>
      </c>
      <c r="F27" s="495"/>
      <c r="G27" s="495"/>
      <c r="H27" s="495"/>
      <c r="I27" s="495"/>
    </row>
    <row r="28" spans="2:9">
      <c r="B28" s="494" t="s">
        <v>444</v>
      </c>
      <c r="C28" s="495" t="s">
        <v>524</v>
      </c>
      <c r="D28" s="495" t="s">
        <v>525</v>
      </c>
      <c r="E28" s="495" t="s">
        <v>332</v>
      </c>
      <c r="F28" s="497" t="s">
        <v>338</v>
      </c>
      <c r="G28" s="495"/>
      <c r="H28" s="495"/>
      <c r="I28" s="495"/>
    </row>
    <row r="29" spans="2:9">
      <c r="B29" s="494" t="s">
        <v>329</v>
      </c>
      <c r="C29" s="495" t="s">
        <v>169</v>
      </c>
      <c r="D29" s="495" t="s">
        <v>743</v>
      </c>
      <c r="E29" s="495" t="s">
        <v>332</v>
      </c>
      <c r="F29" s="495"/>
      <c r="G29" s="495"/>
      <c r="H29" s="495"/>
      <c r="I29" s="495"/>
    </row>
    <row r="30" spans="2:9">
      <c r="B30" s="494" t="s">
        <v>329</v>
      </c>
      <c r="C30" s="495" t="s">
        <v>423</v>
      </c>
      <c r="D30" s="495" t="s">
        <v>424</v>
      </c>
      <c r="E30" s="495" t="s">
        <v>332</v>
      </c>
      <c r="F30" s="495"/>
      <c r="G30" s="495"/>
      <c r="H30" s="495"/>
      <c r="I30" s="495"/>
    </row>
    <row r="31" spans="2:9">
      <c r="B31" s="494" t="s">
        <v>329</v>
      </c>
      <c r="C31" s="495" t="s">
        <v>399</v>
      </c>
      <c r="D31" s="495" t="s">
        <v>400</v>
      </c>
      <c r="E31" s="495" t="s">
        <v>332</v>
      </c>
      <c r="F31" s="495"/>
      <c r="G31" s="495"/>
      <c r="H31" s="495"/>
      <c r="I31" s="495"/>
    </row>
    <row r="32" spans="2:9">
      <c r="B32" s="494" t="s">
        <v>329</v>
      </c>
      <c r="C32" s="495" t="s">
        <v>744</v>
      </c>
      <c r="D32" s="495" t="s">
        <v>745</v>
      </c>
      <c r="E32" s="495" t="s">
        <v>332</v>
      </c>
      <c r="F32" s="495"/>
      <c r="G32" s="495"/>
      <c r="H32" s="495"/>
      <c r="I32" s="495"/>
    </row>
    <row r="33" spans="2:9">
      <c r="B33" s="494" t="s">
        <v>329</v>
      </c>
      <c r="C33" s="495" t="s">
        <v>401</v>
      </c>
      <c r="D33" s="495" t="s">
        <v>402</v>
      </c>
      <c r="E33" s="495" t="s">
        <v>332</v>
      </c>
      <c r="F33" s="495"/>
      <c r="G33" s="495"/>
      <c r="H33" s="495"/>
      <c r="I33" s="495"/>
    </row>
    <row r="34" spans="2:9">
      <c r="B34" s="494" t="s">
        <v>329</v>
      </c>
      <c r="C34" s="495" t="s">
        <v>272</v>
      </c>
      <c r="D34" s="495" t="s">
        <v>403</v>
      </c>
      <c r="E34" s="495" t="s">
        <v>332</v>
      </c>
      <c r="F34" s="495"/>
      <c r="G34" s="495"/>
      <c r="H34" s="495"/>
      <c r="I34" s="495"/>
    </row>
    <row r="35" spans="2:9">
      <c r="B35" s="494" t="s">
        <v>329</v>
      </c>
      <c r="C35" s="495" t="s">
        <v>274</v>
      </c>
      <c r="D35" s="495" t="s">
        <v>404</v>
      </c>
      <c r="E35" s="495" t="s">
        <v>332</v>
      </c>
      <c r="F35" s="495"/>
      <c r="G35" s="495"/>
      <c r="H35" s="495"/>
      <c r="I35" s="495"/>
    </row>
    <row r="36" spans="2:9">
      <c r="B36" s="494" t="s">
        <v>329</v>
      </c>
      <c r="C36" s="495" t="s">
        <v>746</v>
      </c>
      <c r="D36" s="495" t="s">
        <v>747</v>
      </c>
      <c r="E36" s="495" t="s">
        <v>332</v>
      </c>
      <c r="F36" s="495"/>
      <c r="G36" s="495"/>
      <c r="H36" s="495"/>
      <c r="I36" s="495"/>
    </row>
    <row r="37" spans="2:9">
      <c r="B37" s="494" t="s">
        <v>329</v>
      </c>
      <c r="C37" s="495" t="s">
        <v>276</v>
      </c>
      <c r="D37" s="495" t="s">
        <v>405</v>
      </c>
      <c r="E37" s="495" t="s">
        <v>332</v>
      </c>
      <c r="F37" s="495"/>
      <c r="G37" s="495"/>
      <c r="H37" s="495"/>
      <c r="I37" s="495"/>
    </row>
    <row r="38" spans="2:9">
      <c r="B38" s="494" t="s">
        <v>329</v>
      </c>
      <c r="C38" s="495" t="s">
        <v>287</v>
      </c>
      <c r="D38" s="495" t="s">
        <v>406</v>
      </c>
      <c r="E38" s="495" t="s">
        <v>332</v>
      </c>
      <c r="F38" s="495"/>
      <c r="G38" s="495"/>
      <c r="H38" s="495"/>
      <c r="I38" s="495"/>
    </row>
    <row r="39" spans="2:9">
      <c r="B39" s="494" t="s">
        <v>329</v>
      </c>
      <c r="C39" s="495" t="s">
        <v>407</v>
      </c>
      <c r="D39" s="495" t="s">
        <v>408</v>
      </c>
      <c r="E39" s="495" t="s">
        <v>332</v>
      </c>
      <c r="F39" s="495"/>
      <c r="G39" s="495"/>
      <c r="H39" s="495"/>
      <c r="I39" s="495"/>
    </row>
    <row r="40" spans="2:9">
      <c r="B40" s="494" t="s">
        <v>329</v>
      </c>
      <c r="C40" s="495" t="s">
        <v>409</v>
      </c>
      <c r="D40" s="495" t="s">
        <v>410</v>
      </c>
      <c r="E40" s="495" t="s">
        <v>332</v>
      </c>
      <c r="F40" s="495"/>
      <c r="G40" s="495"/>
      <c r="H40" s="495"/>
      <c r="I40" s="495"/>
    </row>
    <row r="41" spans="2:9">
      <c r="B41" s="494" t="s">
        <v>329</v>
      </c>
      <c r="C41" s="495" t="s">
        <v>286</v>
      </c>
      <c r="D41" s="495" t="s">
        <v>411</v>
      </c>
      <c r="E41" s="495" t="s">
        <v>332</v>
      </c>
      <c r="F41" s="495"/>
      <c r="G41" s="495"/>
      <c r="H41" s="495"/>
      <c r="I41" s="495"/>
    </row>
    <row r="42" spans="2:9">
      <c r="B42" s="494" t="s">
        <v>329</v>
      </c>
      <c r="C42" s="495" t="s">
        <v>262</v>
      </c>
      <c r="D42" s="495" t="s">
        <v>412</v>
      </c>
      <c r="E42" s="495" t="s">
        <v>332</v>
      </c>
      <c r="F42" s="495"/>
      <c r="G42" s="495"/>
      <c r="H42" s="495"/>
      <c r="I42" s="495"/>
    </row>
    <row r="43" spans="2:9">
      <c r="B43" s="494" t="s">
        <v>329</v>
      </c>
      <c r="C43" s="495" t="s">
        <v>748</v>
      </c>
      <c r="D43" s="495" t="s">
        <v>749</v>
      </c>
      <c r="E43" s="495" t="s">
        <v>332</v>
      </c>
      <c r="F43" s="495"/>
      <c r="G43" s="495"/>
      <c r="H43" s="495"/>
      <c r="I43" s="495"/>
    </row>
    <row r="44" spans="2:9">
      <c r="B44" s="494" t="s">
        <v>329</v>
      </c>
      <c r="C44" s="495" t="s">
        <v>278</v>
      </c>
      <c r="D44" s="495" t="s">
        <v>413</v>
      </c>
      <c r="E44" s="495" t="s">
        <v>332</v>
      </c>
      <c r="F44" s="495"/>
      <c r="G44" s="495"/>
      <c r="H44" s="495"/>
      <c r="I44" s="495"/>
    </row>
    <row r="45" spans="2:9">
      <c r="B45" s="494" t="s">
        <v>329</v>
      </c>
      <c r="C45" s="495" t="s">
        <v>280</v>
      </c>
      <c r="D45" s="495" t="s">
        <v>414</v>
      </c>
      <c r="E45" s="495" t="s">
        <v>332</v>
      </c>
      <c r="F45" s="495"/>
      <c r="G45" s="495"/>
      <c r="H45" s="495"/>
      <c r="I45" s="495"/>
    </row>
    <row r="46" spans="2:9">
      <c r="B46" s="494" t="s">
        <v>329</v>
      </c>
      <c r="C46" s="495" t="s">
        <v>284</v>
      </c>
      <c r="D46" s="495" t="s">
        <v>415</v>
      </c>
      <c r="E46" s="495" t="s">
        <v>332</v>
      </c>
      <c r="F46" s="495"/>
      <c r="G46" s="495"/>
      <c r="H46" s="495"/>
      <c r="I46" s="495"/>
    </row>
    <row r="47" spans="2:9">
      <c r="B47" s="494" t="s">
        <v>329</v>
      </c>
      <c r="C47" s="495" t="s">
        <v>304</v>
      </c>
      <c r="D47" s="495" t="s">
        <v>416</v>
      </c>
      <c r="E47" s="495" t="s">
        <v>332</v>
      </c>
      <c r="F47" s="495"/>
      <c r="G47" s="495"/>
      <c r="H47" s="495"/>
      <c r="I47" s="495"/>
    </row>
    <row r="48" spans="2:9">
      <c r="B48" s="494" t="s">
        <v>329</v>
      </c>
      <c r="C48" s="495" t="s">
        <v>750</v>
      </c>
      <c r="D48" s="495" t="s">
        <v>751</v>
      </c>
      <c r="E48" s="495" t="s">
        <v>332</v>
      </c>
      <c r="F48" s="495"/>
      <c r="G48" s="495"/>
      <c r="H48" s="495"/>
      <c r="I48" s="495"/>
    </row>
    <row r="49" spans="2:9">
      <c r="B49" s="494" t="s">
        <v>329</v>
      </c>
      <c r="C49" s="495" t="s">
        <v>752</v>
      </c>
      <c r="D49" s="495" t="s">
        <v>753</v>
      </c>
      <c r="E49" s="495" t="s">
        <v>332</v>
      </c>
      <c r="F49" s="495"/>
      <c r="G49" s="495"/>
      <c r="H49" s="495"/>
      <c r="I49" s="495"/>
    </row>
    <row r="50" spans="2:9">
      <c r="B50" s="494" t="s">
        <v>329</v>
      </c>
      <c r="C50" s="495" t="s">
        <v>166</v>
      </c>
      <c r="D50" s="495" t="s">
        <v>754</v>
      </c>
      <c r="E50" s="495" t="s">
        <v>332</v>
      </c>
      <c r="F50" s="497" t="s">
        <v>338</v>
      </c>
      <c r="G50" s="495"/>
      <c r="H50" s="495"/>
      <c r="I50" s="495"/>
    </row>
    <row r="51" spans="2:9">
      <c r="B51" s="494" t="s">
        <v>329</v>
      </c>
      <c r="C51" s="495" t="s">
        <v>181</v>
      </c>
      <c r="D51" s="495" t="s">
        <v>755</v>
      </c>
      <c r="E51" s="495" t="s">
        <v>332</v>
      </c>
      <c r="F51" s="497" t="s">
        <v>338</v>
      </c>
      <c r="G51" s="495"/>
      <c r="H51" s="495"/>
      <c r="I51" s="495"/>
    </row>
    <row r="52" spans="2:9">
      <c r="B52" s="494" t="s">
        <v>329</v>
      </c>
      <c r="C52" s="495" t="s">
        <v>172</v>
      </c>
      <c r="D52" s="495" t="s">
        <v>756</v>
      </c>
      <c r="E52" s="495" t="s">
        <v>332</v>
      </c>
      <c r="F52" s="497" t="s">
        <v>338</v>
      </c>
      <c r="G52" s="495"/>
      <c r="H52" s="495"/>
      <c r="I52" s="495"/>
    </row>
    <row r="53" spans="2:9">
      <c r="B53" s="494" t="s">
        <v>329</v>
      </c>
      <c r="C53" s="495" t="s">
        <v>163</v>
      </c>
      <c r="D53" s="495" t="s">
        <v>757</v>
      </c>
      <c r="E53" s="495" t="s">
        <v>332</v>
      </c>
      <c r="F53" s="497" t="s">
        <v>338</v>
      </c>
      <c r="G53" s="495"/>
      <c r="H53" s="495"/>
      <c r="I53" s="495"/>
    </row>
    <row r="54" spans="2:9">
      <c r="B54" s="494" t="s">
        <v>329</v>
      </c>
      <c r="C54" s="495" t="s">
        <v>162</v>
      </c>
      <c r="D54" s="495" t="s">
        <v>758</v>
      </c>
      <c r="E54" s="495" t="s">
        <v>332</v>
      </c>
      <c r="F54" s="497" t="s">
        <v>338</v>
      </c>
      <c r="G54" s="495"/>
      <c r="H54" s="495"/>
      <c r="I54" s="495"/>
    </row>
    <row r="55" spans="2:9">
      <c r="B55" s="494" t="s">
        <v>329</v>
      </c>
      <c r="C55" s="495" t="s">
        <v>176</v>
      </c>
      <c r="D55" s="495" t="s">
        <v>759</v>
      </c>
      <c r="E55" s="495" t="s">
        <v>332</v>
      </c>
      <c r="F55" s="497" t="s">
        <v>338</v>
      </c>
      <c r="G55" s="495"/>
      <c r="H55" s="495"/>
      <c r="I55" s="495"/>
    </row>
    <row r="56" spans="2:9">
      <c r="B56" s="494" t="s">
        <v>329</v>
      </c>
      <c r="C56" s="495" t="s">
        <v>165</v>
      </c>
      <c r="D56" s="495" t="s">
        <v>760</v>
      </c>
      <c r="E56" s="495" t="s">
        <v>332</v>
      </c>
      <c r="F56" s="497" t="s">
        <v>338</v>
      </c>
      <c r="G56" s="495"/>
      <c r="H56" s="495"/>
      <c r="I56" s="495"/>
    </row>
    <row r="57" spans="2:9">
      <c r="B57" s="494" t="s">
        <v>329</v>
      </c>
      <c r="C57" s="495" t="s">
        <v>171</v>
      </c>
      <c r="D57" s="495" t="s">
        <v>761</v>
      </c>
      <c r="E57" s="495" t="s">
        <v>332</v>
      </c>
      <c r="F57" s="497" t="s">
        <v>338</v>
      </c>
      <c r="G57" s="495"/>
      <c r="H57" s="495"/>
      <c r="I57" s="495"/>
    </row>
    <row r="58" spans="2:9">
      <c r="B58" s="494" t="s">
        <v>329</v>
      </c>
      <c r="C58" s="495" t="s">
        <v>762</v>
      </c>
      <c r="D58" s="495" t="s">
        <v>763</v>
      </c>
      <c r="E58" s="495" t="s">
        <v>332</v>
      </c>
      <c r="F58" s="497" t="s">
        <v>338</v>
      </c>
      <c r="G58" s="495"/>
      <c r="H58" s="495"/>
      <c r="I58" s="495"/>
    </row>
    <row r="59" spans="2:9">
      <c r="B59" s="494" t="s">
        <v>329</v>
      </c>
      <c r="C59" s="495" t="s">
        <v>177</v>
      </c>
      <c r="D59" s="495" t="s">
        <v>764</v>
      </c>
      <c r="E59" s="495" t="s">
        <v>332</v>
      </c>
      <c r="F59" s="497" t="s">
        <v>338</v>
      </c>
      <c r="G59" s="495"/>
      <c r="H59" s="495"/>
      <c r="I59" s="495"/>
    </row>
    <row r="60" spans="2:9">
      <c r="B60" s="494" t="s">
        <v>329</v>
      </c>
      <c r="C60" s="495" t="s">
        <v>173</v>
      </c>
      <c r="D60" s="495" t="s">
        <v>765</v>
      </c>
      <c r="E60" s="495" t="s">
        <v>332</v>
      </c>
      <c r="F60" s="497" t="s">
        <v>338</v>
      </c>
      <c r="G60" s="495"/>
      <c r="H60" s="495"/>
      <c r="I60" s="495"/>
    </row>
    <row r="61" spans="2:9">
      <c r="B61" s="494" t="s">
        <v>329</v>
      </c>
      <c r="C61" s="495" t="s">
        <v>174</v>
      </c>
      <c r="D61" s="495" t="s">
        <v>766</v>
      </c>
      <c r="E61" s="495" t="s">
        <v>332</v>
      </c>
      <c r="F61" s="497" t="s">
        <v>338</v>
      </c>
      <c r="G61" s="495"/>
      <c r="H61" s="495"/>
      <c r="I61" s="495"/>
    </row>
    <row r="62" spans="2:9">
      <c r="B62" s="494" t="s">
        <v>329</v>
      </c>
      <c r="C62" s="495" t="s">
        <v>175</v>
      </c>
      <c r="D62" s="495" t="s">
        <v>767</v>
      </c>
      <c r="E62" s="495" t="s">
        <v>332</v>
      </c>
      <c r="F62" s="497" t="s">
        <v>338</v>
      </c>
      <c r="G62" s="495"/>
      <c r="H62" s="495"/>
      <c r="I62" s="495"/>
    </row>
    <row r="63" spans="2:9">
      <c r="B63" s="494" t="s">
        <v>329</v>
      </c>
      <c r="C63" s="495" t="s">
        <v>768</v>
      </c>
      <c r="D63" s="495" t="s">
        <v>769</v>
      </c>
      <c r="E63" s="495" t="s">
        <v>332</v>
      </c>
      <c r="F63" s="497" t="s">
        <v>338</v>
      </c>
      <c r="G63" s="495"/>
      <c r="H63" s="495"/>
      <c r="I63" s="495"/>
    </row>
    <row r="64" spans="2:9">
      <c r="B64" s="494" t="s">
        <v>329</v>
      </c>
      <c r="C64" s="495" t="s">
        <v>170</v>
      </c>
      <c r="D64" s="495" t="s">
        <v>770</v>
      </c>
      <c r="E64" s="495" t="s">
        <v>332</v>
      </c>
      <c r="F64" s="497" t="s">
        <v>338</v>
      </c>
      <c r="G64" s="495"/>
      <c r="H64" s="495"/>
      <c r="I64" s="495"/>
    </row>
    <row r="65" spans="2:9">
      <c r="B65" s="494" t="s">
        <v>329</v>
      </c>
      <c r="C65" s="495" t="s">
        <v>180</v>
      </c>
      <c r="D65" s="495" t="s">
        <v>771</v>
      </c>
      <c r="E65" s="495" t="s">
        <v>332</v>
      </c>
      <c r="F65" s="497" t="s">
        <v>338</v>
      </c>
      <c r="G65" s="495"/>
      <c r="H65" s="495"/>
      <c r="I65" s="495"/>
    </row>
    <row r="66" spans="2:9">
      <c r="B66" s="494" t="s">
        <v>329</v>
      </c>
      <c r="C66" s="495" t="s">
        <v>178</v>
      </c>
      <c r="D66" s="495" t="s">
        <v>772</v>
      </c>
      <c r="E66" s="495" t="s">
        <v>332</v>
      </c>
      <c r="F66" s="497" t="s">
        <v>338</v>
      </c>
      <c r="G66" s="495"/>
      <c r="H66" s="495"/>
      <c r="I66" s="495"/>
    </row>
    <row r="67" spans="2:9">
      <c r="B67" s="494" t="s">
        <v>329</v>
      </c>
      <c r="C67" s="495" t="s">
        <v>167</v>
      </c>
      <c r="D67" s="495" t="s">
        <v>773</v>
      </c>
      <c r="E67" s="495" t="s">
        <v>332</v>
      </c>
      <c r="F67" s="497" t="s">
        <v>338</v>
      </c>
      <c r="G67" s="495"/>
      <c r="H67" s="495"/>
      <c r="I67" s="495"/>
    </row>
    <row r="68" spans="2:9">
      <c r="B68" s="494" t="s">
        <v>329</v>
      </c>
      <c r="C68" s="495" t="s">
        <v>164</v>
      </c>
      <c r="D68" s="495" t="s">
        <v>774</v>
      </c>
      <c r="E68" s="495" t="s">
        <v>332</v>
      </c>
      <c r="F68" s="497" t="s">
        <v>338</v>
      </c>
      <c r="G68" s="495"/>
      <c r="H68" s="495"/>
      <c r="I68" s="495"/>
    </row>
    <row r="69" spans="2:9">
      <c r="B69" s="494" t="s">
        <v>329</v>
      </c>
      <c r="C69" s="495" t="s">
        <v>184</v>
      </c>
      <c r="D69" s="495" t="s">
        <v>775</v>
      </c>
      <c r="E69" s="495" t="s">
        <v>332</v>
      </c>
      <c r="F69" s="497" t="s">
        <v>338</v>
      </c>
      <c r="G69" s="495"/>
      <c r="H69" s="495"/>
      <c r="I69" s="495"/>
    </row>
    <row r="70" spans="2:9">
      <c r="B70" s="494" t="s">
        <v>329</v>
      </c>
      <c r="C70" s="495" t="s">
        <v>776</v>
      </c>
      <c r="D70" s="495" t="s">
        <v>777</v>
      </c>
      <c r="E70" s="495" t="s">
        <v>332</v>
      </c>
      <c r="F70" s="497" t="s">
        <v>338</v>
      </c>
      <c r="G70" s="495"/>
      <c r="H70" s="495"/>
      <c r="I70" s="495"/>
    </row>
    <row r="71" spans="2:9">
      <c r="B71" s="494" t="s">
        <v>329</v>
      </c>
      <c r="C71" s="495" t="s">
        <v>778</v>
      </c>
      <c r="D71" s="495" t="s">
        <v>779</v>
      </c>
      <c r="E71" s="495" t="s">
        <v>332</v>
      </c>
      <c r="F71" s="497" t="s">
        <v>338</v>
      </c>
      <c r="G71" s="495"/>
      <c r="H71" s="495"/>
      <c r="I71" s="495"/>
    </row>
    <row r="72" spans="2:9">
      <c r="B72" s="494" t="s">
        <v>329</v>
      </c>
      <c r="C72" s="495" t="s">
        <v>183</v>
      </c>
      <c r="D72" s="495" t="s">
        <v>780</v>
      </c>
      <c r="E72" s="495" t="s">
        <v>332</v>
      </c>
      <c r="F72" s="497" t="s">
        <v>338</v>
      </c>
      <c r="G72" s="495"/>
      <c r="H72" s="495"/>
      <c r="I72" s="495"/>
    </row>
    <row r="73" spans="2:9">
      <c r="B73" s="494" t="s">
        <v>329</v>
      </c>
      <c r="C73" s="495" t="s">
        <v>781</v>
      </c>
      <c r="D73" s="495" t="s">
        <v>782</v>
      </c>
      <c r="E73" s="495" t="s">
        <v>332</v>
      </c>
      <c r="F73" s="497" t="s">
        <v>338</v>
      </c>
      <c r="G73" s="495"/>
      <c r="H73" s="495"/>
      <c r="I73" s="495"/>
    </row>
    <row r="74" spans="2:9">
      <c r="B74" s="494" t="s">
        <v>329</v>
      </c>
      <c r="C74" s="495" t="s">
        <v>188</v>
      </c>
      <c r="D74" s="495" t="s">
        <v>783</v>
      </c>
      <c r="E74" s="495" t="s">
        <v>332</v>
      </c>
      <c r="F74" s="497" t="s">
        <v>338</v>
      </c>
      <c r="G74" s="495"/>
      <c r="H74" s="495"/>
      <c r="I74" s="495"/>
    </row>
    <row r="75" spans="2:9">
      <c r="B75" s="494" t="s">
        <v>329</v>
      </c>
      <c r="C75" s="495" t="s">
        <v>187</v>
      </c>
      <c r="D75" s="495" t="s">
        <v>784</v>
      </c>
      <c r="E75" s="495" t="s">
        <v>332</v>
      </c>
      <c r="F75" s="497" t="s">
        <v>338</v>
      </c>
      <c r="G75" s="495"/>
      <c r="H75" s="495"/>
      <c r="I75" s="495"/>
    </row>
    <row r="76" spans="2:9">
      <c r="B76" s="494" t="s">
        <v>329</v>
      </c>
      <c r="C76" s="495" t="s">
        <v>182</v>
      </c>
      <c r="D76" s="495" t="s">
        <v>785</v>
      </c>
      <c r="E76" s="495" t="s">
        <v>332</v>
      </c>
      <c r="F76" s="497" t="s">
        <v>338</v>
      </c>
      <c r="G76" s="495"/>
      <c r="H76" s="495"/>
      <c r="I76" s="495"/>
    </row>
    <row r="77" spans="2:9">
      <c r="B77" s="494" t="s">
        <v>329</v>
      </c>
      <c r="C77" s="495" t="s">
        <v>179</v>
      </c>
      <c r="D77" s="495" t="s">
        <v>786</v>
      </c>
      <c r="E77" s="495" t="s">
        <v>332</v>
      </c>
      <c r="F77" s="497" t="s">
        <v>338</v>
      </c>
      <c r="G77" s="495"/>
      <c r="H77" s="495"/>
      <c r="I77" s="495"/>
    </row>
    <row r="78" spans="2:9">
      <c r="B78" s="494" t="s">
        <v>329</v>
      </c>
      <c r="C78" s="495" t="s">
        <v>218</v>
      </c>
      <c r="D78" s="495" t="s">
        <v>787</v>
      </c>
      <c r="E78" s="495" t="s">
        <v>332</v>
      </c>
      <c r="F78" s="495"/>
      <c r="G78" s="495"/>
      <c r="H78" s="495"/>
      <c r="I78" s="495"/>
    </row>
    <row r="79" spans="2:9">
      <c r="B79" s="494" t="s">
        <v>329</v>
      </c>
      <c r="C79" s="495" t="s">
        <v>219</v>
      </c>
      <c r="D79" s="495" t="s">
        <v>788</v>
      </c>
      <c r="E79" s="495" t="s">
        <v>332</v>
      </c>
      <c r="F79" s="495"/>
      <c r="G79" s="495"/>
      <c r="H79" s="495"/>
      <c r="I79" s="495"/>
    </row>
    <row r="80" spans="2:9">
      <c r="B80" s="494" t="s">
        <v>329</v>
      </c>
      <c r="C80" s="495" t="s">
        <v>146</v>
      </c>
      <c r="D80" s="495" t="s">
        <v>789</v>
      </c>
      <c r="E80" s="495" t="s">
        <v>332</v>
      </c>
      <c r="F80" s="495"/>
      <c r="G80" s="495"/>
      <c r="H80" s="495"/>
      <c r="I80" s="495"/>
    </row>
    <row r="81" spans="2:9">
      <c r="B81" s="494" t="s">
        <v>329</v>
      </c>
      <c r="C81" s="495" t="s">
        <v>790</v>
      </c>
      <c r="D81" s="495" t="s">
        <v>791</v>
      </c>
      <c r="E81" s="495" t="s">
        <v>332</v>
      </c>
      <c r="F81" s="495"/>
      <c r="G81" s="495"/>
      <c r="H81" s="495"/>
      <c r="I81" s="495"/>
    </row>
    <row r="82" spans="2:9">
      <c r="B82" s="494" t="s">
        <v>329</v>
      </c>
      <c r="C82" s="495" t="s">
        <v>148</v>
      </c>
      <c r="D82" s="495" t="s">
        <v>792</v>
      </c>
      <c r="E82" s="495" t="s">
        <v>332</v>
      </c>
      <c r="F82" s="495"/>
      <c r="G82" s="495"/>
      <c r="H82" s="495"/>
      <c r="I82" s="495"/>
    </row>
    <row r="83" spans="2:9">
      <c r="B83" s="494" t="s">
        <v>329</v>
      </c>
      <c r="C83" s="495" t="s">
        <v>793</v>
      </c>
      <c r="D83" s="495" t="s">
        <v>794</v>
      </c>
      <c r="E83" s="495" t="s">
        <v>332</v>
      </c>
      <c r="F83" s="495"/>
      <c r="G83" s="495"/>
      <c r="H83" s="495"/>
      <c r="I83" s="495"/>
    </row>
    <row r="84" spans="2:9">
      <c r="B84" s="494" t="s">
        <v>329</v>
      </c>
      <c r="C84" s="495" t="s">
        <v>145</v>
      </c>
      <c r="D84" s="495" t="s">
        <v>795</v>
      </c>
      <c r="E84" s="495" t="s">
        <v>332</v>
      </c>
      <c r="F84" s="495"/>
      <c r="G84" s="495"/>
      <c r="H84" s="495"/>
      <c r="I84" s="495"/>
    </row>
    <row r="85" spans="2:9">
      <c r="B85" s="494" t="s">
        <v>329</v>
      </c>
      <c r="C85" s="495" t="s">
        <v>147</v>
      </c>
      <c r="D85" s="495" t="s">
        <v>796</v>
      </c>
      <c r="E85" s="495" t="s">
        <v>332</v>
      </c>
      <c r="F85" s="495"/>
      <c r="G85" s="495"/>
      <c r="H85" s="495"/>
      <c r="I85" s="495"/>
    </row>
    <row r="86" spans="2:9">
      <c r="B86" s="494" t="s">
        <v>329</v>
      </c>
      <c r="C86" s="495" t="s">
        <v>330</v>
      </c>
      <c r="D86" s="495" t="s">
        <v>331</v>
      </c>
      <c r="E86" s="495" t="s">
        <v>332</v>
      </c>
      <c r="F86" s="497"/>
      <c r="G86" s="495"/>
      <c r="H86" s="495"/>
      <c r="I86" s="495"/>
    </row>
    <row r="87" spans="2:9">
      <c r="B87" s="494" t="s">
        <v>329</v>
      </c>
      <c r="C87" s="495" t="s">
        <v>333</v>
      </c>
      <c r="D87" s="495" t="s">
        <v>334</v>
      </c>
      <c r="E87" s="495" t="s">
        <v>332</v>
      </c>
      <c r="F87" s="495"/>
      <c r="G87" s="495"/>
      <c r="H87" s="495"/>
      <c r="I87" s="495"/>
    </row>
    <row r="88" spans="2:9">
      <c r="B88" s="494" t="s">
        <v>329</v>
      </c>
      <c r="C88" s="495" t="s">
        <v>155</v>
      </c>
      <c r="D88" s="495" t="s">
        <v>336</v>
      </c>
      <c r="E88" s="495" t="s">
        <v>332</v>
      </c>
      <c r="F88" s="495"/>
      <c r="G88" s="495"/>
      <c r="H88" s="495"/>
      <c r="I88" s="495"/>
    </row>
    <row r="89" spans="2:9">
      <c r="B89" s="494" t="s">
        <v>329</v>
      </c>
      <c r="C89" s="495" t="s">
        <v>156</v>
      </c>
      <c r="D89" s="495" t="s">
        <v>337</v>
      </c>
      <c r="E89" s="495" t="s">
        <v>332</v>
      </c>
      <c r="F89" s="497" t="s">
        <v>338</v>
      </c>
      <c r="G89" s="495"/>
      <c r="H89" s="495"/>
      <c r="I89" s="495"/>
    </row>
    <row r="90" spans="2:9">
      <c r="B90" s="494" t="s">
        <v>329</v>
      </c>
      <c r="C90" s="495" t="s">
        <v>154</v>
      </c>
      <c r="D90" s="495" t="s">
        <v>797</v>
      </c>
      <c r="E90" s="495" t="s">
        <v>332</v>
      </c>
      <c r="F90" s="495"/>
      <c r="G90" s="495"/>
      <c r="H90" s="495"/>
      <c r="I90" s="495"/>
    </row>
    <row r="91" spans="2:9">
      <c r="B91" s="494" t="s">
        <v>329</v>
      </c>
      <c r="C91" s="495" t="s">
        <v>153</v>
      </c>
      <c r="D91" s="495" t="s">
        <v>340</v>
      </c>
      <c r="E91" s="495" t="s">
        <v>332</v>
      </c>
      <c r="F91" s="495"/>
      <c r="G91" s="495"/>
      <c r="H91" s="495"/>
      <c r="I91" s="495"/>
    </row>
    <row r="92" spans="2:9">
      <c r="B92" s="494" t="s">
        <v>329</v>
      </c>
      <c r="C92" s="495" t="s">
        <v>341</v>
      </c>
      <c r="D92" s="495" t="s">
        <v>342</v>
      </c>
      <c r="E92" s="495" t="s">
        <v>332</v>
      </c>
      <c r="F92" s="497" t="s">
        <v>338</v>
      </c>
      <c r="G92" s="495"/>
      <c r="H92" s="495"/>
      <c r="I92" s="495"/>
    </row>
    <row r="93" spans="2:9">
      <c r="B93" s="494" t="s">
        <v>329</v>
      </c>
      <c r="C93" s="495" t="s">
        <v>343</v>
      </c>
      <c r="D93" s="495" t="s">
        <v>344</v>
      </c>
      <c r="E93" s="495" t="s">
        <v>332</v>
      </c>
      <c r="F93" s="497"/>
      <c r="G93" s="495"/>
      <c r="H93" s="495"/>
      <c r="I93" s="495"/>
    </row>
    <row r="94" spans="2:9">
      <c r="B94" s="494" t="s">
        <v>329</v>
      </c>
      <c r="C94" s="495" t="s">
        <v>345</v>
      </c>
      <c r="D94" s="495" t="s">
        <v>346</v>
      </c>
      <c r="E94" s="495" t="s">
        <v>332</v>
      </c>
      <c r="F94" s="497"/>
      <c r="G94" s="495"/>
      <c r="H94" s="495"/>
      <c r="I94" s="495"/>
    </row>
    <row r="95" spans="2:9">
      <c r="B95" s="494" t="s">
        <v>329</v>
      </c>
      <c r="C95" s="495" t="s">
        <v>798</v>
      </c>
      <c r="D95" s="495" t="s">
        <v>799</v>
      </c>
      <c r="E95" s="495" t="s">
        <v>332</v>
      </c>
      <c r="F95" s="497"/>
      <c r="G95" s="495" t="s">
        <v>430</v>
      </c>
      <c r="H95" s="495"/>
      <c r="I95" s="495"/>
    </row>
    <row r="96" spans="2:9">
      <c r="B96" s="494" t="s">
        <v>329</v>
      </c>
      <c r="C96" s="495" t="s">
        <v>157</v>
      </c>
      <c r="D96" s="495" t="s">
        <v>347</v>
      </c>
      <c r="E96" s="495" t="s">
        <v>332</v>
      </c>
      <c r="F96" s="495"/>
      <c r="G96" s="495"/>
      <c r="H96" s="495"/>
      <c r="I96" s="495"/>
    </row>
    <row r="97" spans="2:9">
      <c r="B97" s="494" t="s">
        <v>329</v>
      </c>
      <c r="C97" s="495" t="s">
        <v>348</v>
      </c>
      <c r="D97" s="495" t="s">
        <v>349</v>
      </c>
      <c r="E97" s="495" t="s">
        <v>332</v>
      </c>
      <c r="F97" s="495"/>
      <c r="G97" s="495"/>
      <c r="H97" s="495"/>
      <c r="I97" s="495"/>
    </row>
    <row r="98" spans="2:9">
      <c r="B98" s="494" t="s">
        <v>329</v>
      </c>
      <c r="C98" s="495" t="s">
        <v>158</v>
      </c>
      <c r="D98" s="495" t="s">
        <v>354</v>
      </c>
      <c r="E98" s="495" t="s">
        <v>332</v>
      </c>
      <c r="F98" s="495"/>
      <c r="G98" s="495"/>
      <c r="H98" s="495"/>
      <c r="I98" s="495"/>
    </row>
    <row r="99" spans="2:9">
      <c r="B99" s="494" t="s">
        <v>329</v>
      </c>
      <c r="C99" s="495" t="s">
        <v>355</v>
      </c>
      <c r="D99" s="495" t="s">
        <v>356</v>
      </c>
      <c r="E99" s="495" t="s">
        <v>332</v>
      </c>
      <c r="F99" s="495"/>
      <c r="G99" s="495"/>
      <c r="H99" s="495"/>
      <c r="I99" s="495"/>
    </row>
    <row r="100" spans="2:9">
      <c r="B100" s="494" t="s">
        <v>329</v>
      </c>
      <c r="C100" s="495" t="s">
        <v>800</v>
      </c>
      <c r="D100" s="495" t="s">
        <v>801</v>
      </c>
      <c r="E100" s="495" t="s">
        <v>332</v>
      </c>
      <c r="F100" s="495"/>
      <c r="G100" s="495"/>
      <c r="H100" s="495"/>
      <c r="I100" s="495"/>
    </row>
    <row r="101" spans="2:9">
      <c r="B101" s="494" t="s">
        <v>329</v>
      </c>
      <c r="C101" s="495" t="s">
        <v>361</v>
      </c>
      <c r="D101" s="495" t="s">
        <v>362</v>
      </c>
      <c r="E101" s="495" t="s">
        <v>332</v>
      </c>
      <c r="F101" s="495"/>
      <c r="G101" s="495"/>
      <c r="H101" s="495"/>
      <c r="I101" s="495"/>
    </row>
    <row r="102" spans="2:9">
      <c r="B102" s="494" t="s">
        <v>329</v>
      </c>
      <c r="C102" s="495" t="s">
        <v>363</v>
      </c>
      <c r="D102" s="495" t="s">
        <v>364</v>
      </c>
      <c r="E102" s="495" t="s">
        <v>332</v>
      </c>
      <c r="F102" s="495"/>
      <c r="G102" s="495"/>
      <c r="H102" s="495"/>
      <c r="I102" s="495"/>
    </row>
    <row r="103" spans="2:9">
      <c r="B103" s="494" t="s">
        <v>329</v>
      </c>
      <c r="C103" s="495" t="s">
        <v>365</v>
      </c>
      <c r="D103" s="495" t="s">
        <v>366</v>
      </c>
      <c r="E103" s="495" t="s">
        <v>332</v>
      </c>
      <c r="F103" s="495"/>
      <c r="G103" s="495"/>
      <c r="H103" s="495"/>
      <c r="I103" s="495"/>
    </row>
    <row r="104" spans="2:9">
      <c r="B104" s="494" t="s">
        <v>329</v>
      </c>
      <c r="C104" s="495" t="s">
        <v>367</v>
      </c>
      <c r="D104" s="495" t="s">
        <v>368</v>
      </c>
      <c r="E104" s="495" t="s">
        <v>332</v>
      </c>
      <c r="F104" s="495"/>
      <c r="G104" s="495"/>
      <c r="H104" s="495"/>
      <c r="I104" s="495"/>
    </row>
    <row r="105" spans="2:9">
      <c r="B105" s="494" t="s">
        <v>329</v>
      </c>
      <c r="C105" s="495" t="s">
        <v>369</v>
      </c>
      <c r="D105" s="495" t="s">
        <v>370</v>
      </c>
      <c r="E105" s="495" t="s">
        <v>332</v>
      </c>
      <c r="F105" s="495"/>
      <c r="G105" s="495"/>
      <c r="H105" s="495"/>
      <c r="I105" s="495"/>
    </row>
    <row r="106" spans="2:9">
      <c r="B106" s="494" t="s">
        <v>329</v>
      </c>
      <c r="C106" s="495" t="s">
        <v>350</v>
      </c>
      <c r="D106" s="495" t="s">
        <v>351</v>
      </c>
      <c r="E106" s="495" t="s">
        <v>332</v>
      </c>
      <c r="F106" s="495"/>
      <c r="G106" s="495"/>
      <c r="H106" s="495"/>
      <c r="I106" s="495"/>
    </row>
    <row r="107" spans="2:9">
      <c r="B107" s="494" t="s">
        <v>329</v>
      </c>
      <c r="C107" s="495" t="s">
        <v>352</v>
      </c>
      <c r="D107" s="495" t="s">
        <v>353</v>
      </c>
      <c r="E107" s="495" t="s">
        <v>332</v>
      </c>
      <c r="F107" s="495"/>
      <c r="G107" s="495"/>
      <c r="H107" s="495"/>
      <c r="I107" s="495"/>
    </row>
    <row r="108" spans="2:9">
      <c r="B108" s="494" t="s">
        <v>329</v>
      </c>
      <c r="C108" s="495" t="s">
        <v>357</v>
      </c>
      <c r="D108" s="495" t="s">
        <v>358</v>
      </c>
      <c r="E108" s="495" t="s">
        <v>332</v>
      </c>
      <c r="F108" s="495"/>
      <c r="G108" s="495"/>
      <c r="H108" s="495"/>
      <c r="I108" s="495"/>
    </row>
    <row r="109" spans="2:9">
      <c r="B109" s="494" t="s">
        <v>329</v>
      </c>
      <c r="C109" s="495" t="s">
        <v>359</v>
      </c>
      <c r="D109" s="495" t="s">
        <v>360</v>
      </c>
      <c r="E109" s="495" t="s">
        <v>332</v>
      </c>
      <c r="F109" s="495" t="s">
        <v>338</v>
      </c>
      <c r="G109" s="495"/>
      <c r="H109" s="495"/>
      <c r="I109" s="495"/>
    </row>
    <row r="110" spans="2:9">
      <c r="B110" s="494" t="s">
        <v>329</v>
      </c>
      <c r="C110" s="495" t="s">
        <v>419</v>
      </c>
      <c r="D110" s="495" t="s">
        <v>802</v>
      </c>
      <c r="E110" s="495" t="s">
        <v>332</v>
      </c>
      <c r="F110" s="495"/>
      <c r="G110" s="495"/>
      <c r="H110" s="495"/>
      <c r="I110" s="495"/>
    </row>
    <row r="111" spans="2:9">
      <c r="B111" s="494" t="s">
        <v>329</v>
      </c>
      <c r="C111" s="495" t="s">
        <v>803</v>
      </c>
      <c r="D111" s="495" t="s">
        <v>804</v>
      </c>
      <c r="E111" s="495" t="s">
        <v>332</v>
      </c>
      <c r="F111" s="495"/>
      <c r="G111" s="495"/>
      <c r="H111" s="495"/>
      <c r="I111" s="495"/>
    </row>
    <row r="112" spans="2:9">
      <c r="B112" s="494" t="s">
        <v>329</v>
      </c>
      <c r="C112" s="495" t="s">
        <v>421</v>
      </c>
      <c r="D112" s="495" t="s">
        <v>422</v>
      </c>
      <c r="E112" s="495" t="s">
        <v>332</v>
      </c>
      <c r="F112" s="495"/>
      <c r="G112" s="496" t="s">
        <v>393</v>
      </c>
      <c r="H112" s="495"/>
      <c r="I112" s="495"/>
    </row>
    <row r="113" spans="2:9">
      <c r="B113" s="494" t="s">
        <v>329</v>
      </c>
      <c r="C113" s="495" t="s">
        <v>283</v>
      </c>
      <c r="D113" s="495" t="s">
        <v>388</v>
      </c>
      <c r="E113" s="495" t="s">
        <v>332</v>
      </c>
      <c r="F113" s="495"/>
      <c r="G113" s="495"/>
      <c r="H113" s="495"/>
      <c r="I113" s="495"/>
    </row>
    <row r="114" spans="2:9">
      <c r="B114" s="494" t="s">
        <v>329</v>
      </c>
      <c r="C114" s="495" t="s">
        <v>389</v>
      </c>
      <c r="D114" s="495" t="s">
        <v>390</v>
      </c>
      <c r="E114" s="495" t="s">
        <v>332</v>
      </c>
      <c r="F114" s="495"/>
      <c r="G114" s="495"/>
      <c r="H114" s="495"/>
      <c r="I114" s="495"/>
    </row>
    <row r="115" spans="2:9">
      <c r="B115" s="494" t="s">
        <v>329</v>
      </c>
      <c r="C115" s="495" t="s">
        <v>417</v>
      </c>
      <c r="D115" s="495" t="s">
        <v>418</v>
      </c>
      <c r="E115" s="495" t="s">
        <v>332</v>
      </c>
      <c r="F115" s="495"/>
      <c r="G115" s="495"/>
      <c r="H115" s="495"/>
      <c r="I115" s="495"/>
    </row>
    <row r="116" spans="2:9">
      <c r="B116" s="494" t="s">
        <v>329</v>
      </c>
      <c r="C116" s="495" t="s">
        <v>425</v>
      </c>
      <c r="D116" s="495" t="s">
        <v>426</v>
      </c>
      <c r="E116" s="495" t="s">
        <v>332</v>
      </c>
      <c r="F116" s="495"/>
      <c r="G116" s="495"/>
      <c r="H116" s="495"/>
      <c r="I116" s="495"/>
    </row>
    <row r="117" spans="2:9">
      <c r="B117" s="494" t="s">
        <v>329</v>
      </c>
      <c r="C117" s="495" t="s">
        <v>439</v>
      </c>
      <c r="D117" s="495" t="s">
        <v>442</v>
      </c>
      <c r="E117" s="495" t="s">
        <v>332</v>
      </c>
      <c r="F117" s="495"/>
      <c r="G117" s="495"/>
      <c r="H117" s="495"/>
      <c r="I117" s="495"/>
    </row>
    <row r="118" spans="2:9">
      <c r="B118" s="494" t="s">
        <v>329</v>
      </c>
      <c r="C118" s="495" t="s">
        <v>441</v>
      </c>
      <c r="D118" s="495" t="s">
        <v>442</v>
      </c>
      <c r="E118" s="495" t="s">
        <v>332</v>
      </c>
      <c r="F118" s="495"/>
      <c r="G118" s="495"/>
      <c r="H118" s="495"/>
      <c r="I118" s="495"/>
    </row>
    <row r="119" spans="2:9">
      <c r="B119" s="494" t="s">
        <v>329</v>
      </c>
      <c r="C119" s="495" t="s">
        <v>397</v>
      </c>
      <c r="D119" s="495" t="s">
        <v>398</v>
      </c>
      <c r="E119" s="495" t="s">
        <v>332</v>
      </c>
      <c r="F119" s="495"/>
      <c r="G119" s="495"/>
      <c r="H119" s="495"/>
      <c r="I119" s="495"/>
    </row>
    <row r="120" spans="2:9">
      <c r="B120" s="494" t="s">
        <v>329</v>
      </c>
      <c r="C120" s="495" t="s">
        <v>217</v>
      </c>
      <c r="D120" s="495" t="s">
        <v>805</v>
      </c>
      <c r="E120" s="495" t="s">
        <v>332</v>
      </c>
      <c r="F120" s="495"/>
      <c r="G120" s="495"/>
      <c r="H120" s="495"/>
      <c r="I120" s="495"/>
    </row>
    <row r="121" spans="2:9">
      <c r="B121" s="494" t="s">
        <v>329</v>
      </c>
      <c r="C121" s="495" t="s">
        <v>221</v>
      </c>
      <c r="D121" s="495" t="s">
        <v>806</v>
      </c>
      <c r="E121" s="495" t="s">
        <v>332</v>
      </c>
      <c r="F121" s="495"/>
      <c r="G121" s="495"/>
      <c r="H121" s="495"/>
      <c r="I121" s="495"/>
    </row>
    <row r="122" spans="2:9">
      <c r="B122" s="494" t="s">
        <v>329</v>
      </c>
      <c r="C122" s="495" t="s">
        <v>807</v>
      </c>
      <c r="D122" s="495" t="s">
        <v>808</v>
      </c>
      <c r="E122" s="495" t="s">
        <v>332</v>
      </c>
      <c r="F122" s="495"/>
      <c r="G122" s="495"/>
      <c r="H122" s="495"/>
      <c r="I122" s="495"/>
    </row>
    <row r="123" spans="2:9">
      <c r="B123" s="494" t="s">
        <v>329</v>
      </c>
      <c r="C123" s="495" t="s">
        <v>809</v>
      </c>
      <c r="D123" s="495" t="s">
        <v>810</v>
      </c>
      <c r="E123" s="495" t="s">
        <v>332</v>
      </c>
      <c r="F123" s="495"/>
      <c r="G123" s="495"/>
      <c r="H123" s="495"/>
      <c r="I123" s="495"/>
    </row>
    <row r="124" spans="2:9">
      <c r="B124" s="494" t="s">
        <v>329</v>
      </c>
      <c r="C124" s="495" t="s">
        <v>391</v>
      </c>
      <c r="D124" s="495" t="s">
        <v>392</v>
      </c>
      <c r="E124" s="495" t="s">
        <v>332</v>
      </c>
      <c r="F124" s="495"/>
      <c r="G124" s="496" t="s">
        <v>393</v>
      </c>
      <c r="H124" s="496"/>
      <c r="I124" s="496" t="s">
        <v>394</v>
      </c>
    </row>
    <row r="125" spans="2:9">
      <c r="B125" s="494" t="s">
        <v>329</v>
      </c>
      <c r="C125" s="495" t="s">
        <v>433</v>
      </c>
      <c r="D125" s="495" t="s">
        <v>811</v>
      </c>
      <c r="E125" s="495" t="s">
        <v>332</v>
      </c>
      <c r="F125" s="495"/>
      <c r="G125" s="496" t="s">
        <v>435</v>
      </c>
      <c r="H125" s="496"/>
      <c r="I125" s="496" t="s">
        <v>436</v>
      </c>
    </row>
    <row r="126" spans="2:9">
      <c r="B126" s="494" t="s">
        <v>329</v>
      </c>
      <c r="C126" s="495" t="s">
        <v>185</v>
      </c>
      <c r="D126" s="495" t="s">
        <v>376</v>
      </c>
      <c r="E126" s="495" t="s">
        <v>332</v>
      </c>
      <c r="F126" s="495"/>
      <c r="G126" s="496" t="s">
        <v>377</v>
      </c>
      <c r="H126" s="496"/>
      <c r="I126" s="496" t="s">
        <v>378</v>
      </c>
    </row>
    <row r="127" spans="2:9">
      <c r="B127" s="494" t="s">
        <v>329</v>
      </c>
      <c r="C127" s="495" t="s">
        <v>395</v>
      </c>
      <c r="D127" s="495" t="s">
        <v>396</v>
      </c>
      <c r="E127" s="495" t="s">
        <v>332</v>
      </c>
      <c r="F127" s="495" t="s">
        <v>335</v>
      </c>
      <c r="G127" s="496" t="s">
        <v>393</v>
      </c>
      <c r="H127" s="496" t="s">
        <v>335</v>
      </c>
      <c r="I127" s="496" t="s">
        <v>394</v>
      </c>
    </row>
    <row r="128" spans="2:9">
      <c r="B128" s="494" t="s">
        <v>444</v>
      </c>
      <c r="C128" s="495" t="s">
        <v>506</v>
      </c>
      <c r="D128" s="495" t="s">
        <v>812</v>
      </c>
      <c r="E128" s="495" t="s">
        <v>453</v>
      </c>
      <c r="F128" s="495"/>
      <c r="G128" s="495"/>
      <c r="H128" s="495"/>
      <c r="I128" s="495"/>
    </row>
    <row r="129" spans="2:9">
      <c r="B129" s="494" t="s">
        <v>444</v>
      </c>
      <c r="C129" s="495" t="s">
        <v>507</v>
      </c>
      <c r="D129" s="495" t="s">
        <v>813</v>
      </c>
      <c r="E129" s="495" t="s">
        <v>453</v>
      </c>
      <c r="F129" s="495"/>
      <c r="G129" s="495"/>
      <c r="H129" s="495"/>
      <c r="I129" s="495"/>
    </row>
    <row r="130" spans="2:9">
      <c r="B130" s="494" t="s">
        <v>444</v>
      </c>
      <c r="C130" s="495" t="s">
        <v>508</v>
      </c>
      <c r="D130" s="495" t="s">
        <v>814</v>
      </c>
      <c r="E130" s="495" t="s">
        <v>450</v>
      </c>
      <c r="F130" s="495"/>
      <c r="G130" s="495"/>
      <c r="H130" s="495"/>
      <c r="I130" s="495"/>
    </row>
    <row r="131" spans="2:9">
      <c r="B131" s="494" t="s">
        <v>444</v>
      </c>
      <c r="C131" s="495" t="s">
        <v>509</v>
      </c>
      <c r="D131" s="495" t="s">
        <v>815</v>
      </c>
      <c r="E131" s="495" t="s">
        <v>450</v>
      </c>
      <c r="F131" s="495"/>
      <c r="G131" s="495"/>
      <c r="H131" s="495"/>
      <c r="I131" s="495"/>
    </row>
    <row r="132" spans="2:9">
      <c r="B132" s="494" t="s">
        <v>444</v>
      </c>
      <c r="C132" s="495" t="s">
        <v>510</v>
      </c>
      <c r="D132" s="495" t="s">
        <v>816</v>
      </c>
      <c r="E132" s="495" t="s">
        <v>453</v>
      </c>
      <c r="F132" s="495"/>
      <c r="G132" s="495"/>
      <c r="H132" s="495"/>
      <c r="I132" s="495"/>
    </row>
    <row r="133" spans="2:9">
      <c r="B133" s="494" t="s">
        <v>444</v>
      </c>
      <c r="C133" s="495" t="s">
        <v>511</v>
      </c>
      <c r="D133" s="495" t="s">
        <v>817</v>
      </c>
      <c r="E133" s="495" t="s">
        <v>453</v>
      </c>
      <c r="F133" s="495"/>
      <c r="G133" s="495"/>
      <c r="H133" s="495"/>
      <c r="I133" s="495"/>
    </row>
    <row r="134" spans="2:9">
      <c r="B134" s="494" t="s">
        <v>444</v>
      </c>
      <c r="C134" s="495" t="s">
        <v>818</v>
      </c>
      <c r="D134" s="495" t="s">
        <v>819</v>
      </c>
      <c r="E134" s="495" t="s">
        <v>453</v>
      </c>
      <c r="F134" s="495"/>
      <c r="G134" s="495"/>
      <c r="H134" s="495"/>
      <c r="I134" s="495"/>
    </row>
    <row r="135" spans="2:9">
      <c r="B135" s="494" t="s">
        <v>444</v>
      </c>
      <c r="C135" s="495" t="s">
        <v>820</v>
      </c>
      <c r="D135" s="495" t="s">
        <v>821</v>
      </c>
      <c r="E135" s="495" t="s">
        <v>453</v>
      </c>
      <c r="F135" s="495"/>
      <c r="G135" s="495"/>
      <c r="H135" s="495"/>
      <c r="I135" s="495"/>
    </row>
    <row r="136" spans="2:9">
      <c r="B136" s="494" t="s">
        <v>444</v>
      </c>
      <c r="C136" s="495" t="s">
        <v>822</v>
      </c>
      <c r="D136" s="495" t="s">
        <v>823</v>
      </c>
      <c r="E136" s="495" t="s">
        <v>453</v>
      </c>
      <c r="F136" s="495"/>
      <c r="G136" s="495"/>
      <c r="H136" s="495"/>
      <c r="I136" s="495"/>
    </row>
    <row r="137" spans="2:9">
      <c r="B137" s="494" t="s">
        <v>444</v>
      </c>
      <c r="C137" s="495" t="s">
        <v>824</v>
      </c>
      <c r="D137" s="495" t="s">
        <v>825</v>
      </c>
      <c r="E137" s="495" t="s">
        <v>332</v>
      </c>
      <c r="F137" s="495" t="s">
        <v>338</v>
      </c>
      <c r="G137" s="495"/>
      <c r="H137" s="495"/>
      <c r="I137" s="495"/>
    </row>
    <row r="138" spans="2:9">
      <c r="B138" s="494" t="s">
        <v>826</v>
      </c>
      <c r="C138" s="495" t="s">
        <v>827</v>
      </c>
      <c r="D138" s="495" t="s">
        <v>828</v>
      </c>
      <c r="E138" s="495" t="s">
        <v>332</v>
      </c>
      <c r="F138" s="495"/>
      <c r="G138" s="495" t="s">
        <v>430</v>
      </c>
      <c r="H138" s="495"/>
      <c r="I138" s="495"/>
    </row>
    <row r="139" spans="2:9">
      <c r="B139" s="494" t="s">
        <v>444</v>
      </c>
      <c r="C139" s="498" t="s">
        <v>487</v>
      </c>
      <c r="D139" s="499" t="s">
        <v>488</v>
      </c>
      <c r="E139" s="495" t="s">
        <v>453</v>
      </c>
      <c r="F139" s="495"/>
      <c r="G139" s="495"/>
      <c r="H139" s="495"/>
      <c r="I139" s="495"/>
    </row>
    <row r="140" spans="2:9">
      <c r="B140" s="494" t="s">
        <v>444</v>
      </c>
      <c r="C140" s="500" t="s">
        <v>491</v>
      </c>
      <c r="D140" s="499" t="s">
        <v>492</v>
      </c>
      <c r="E140" s="495" t="s">
        <v>453</v>
      </c>
      <c r="F140" s="495"/>
      <c r="G140" s="495"/>
      <c r="H140" s="495"/>
      <c r="I140" s="495"/>
    </row>
    <row r="141" spans="2:9">
      <c r="B141" s="494" t="s">
        <v>444</v>
      </c>
      <c r="C141" s="500" t="s">
        <v>454</v>
      </c>
      <c r="D141" s="499" t="s">
        <v>455</v>
      </c>
      <c r="E141" s="495" t="s">
        <v>453</v>
      </c>
      <c r="F141" s="495"/>
      <c r="G141" s="495"/>
      <c r="H141" s="495"/>
      <c r="I141" s="495"/>
    </row>
    <row r="142" spans="2:9">
      <c r="B142" s="494" t="s">
        <v>444</v>
      </c>
      <c r="C142" s="495" t="s">
        <v>448</v>
      </c>
      <c r="D142" s="495" t="s">
        <v>449</v>
      </c>
      <c r="E142" s="495" t="s">
        <v>450</v>
      </c>
      <c r="F142" s="495"/>
      <c r="G142" s="495"/>
      <c r="H142" s="495"/>
      <c r="I142" s="495"/>
    </row>
    <row r="143" spans="2:9">
      <c r="B143" s="494" t="s">
        <v>444</v>
      </c>
      <c r="C143" s="495" t="s">
        <v>518</v>
      </c>
      <c r="D143" s="495" t="s">
        <v>519</v>
      </c>
      <c r="E143" s="495" t="s">
        <v>450</v>
      </c>
      <c r="F143" s="495"/>
      <c r="G143" s="495"/>
      <c r="H143" s="495"/>
      <c r="I143" s="495"/>
    </row>
    <row r="144" spans="2:9">
      <c r="B144" s="494" t="s">
        <v>444</v>
      </c>
      <c r="C144" s="495" t="s">
        <v>445</v>
      </c>
      <c r="D144" s="495" t="s">
        <v>446</v>
      </c>
      <c r="E144" s="495" t="s">
        <v>447</v>
      </c>
      <c r="F144" s="495"/>
      <c r="G144" s="495"/>
      <c r="H144" s="495"/>
      <c r="I144" s="495"/>
    </row>
    <row r="145" spans="2:9">
      <c r="B145" s="494" t="s">
        <v>444</v>
      </c>
      <c r="C145" s="495" t="s">
        <v>514</v>
      </c>
      <c r="D145" s="495" t="s">
        <v>515</v>
      </c>
      <c r="E145" s="495" t="s">
        <v>450</v>
      </c>
      <c r="F145" s="495"/>
      <c r="G145" s="495"/>
      <c r="H145" s="495"/>
      <c r="I145" s="495"/>
    </row>
    <row r="146" spans="2:9">
      <c r="B146" s="494" t="s">
        <v>444</v>
      </c>
      <c r="C146" s="495" t="s">
        <v>512</v>
      </c>
      <c r="D146" s="495" t="s">
        <v>513</v>
      </c>
      <c r="E146" s="495" t="s">
        <v>450</v>
      </c>
      <c r="F146" s="495"/>
      <c r="G146" s="495"/>
      <c r="H146" s="495"/>
      <c r="I146" s="495"/>
    </row>
    <row r="147" spans="2:9">
      <c r="B147" s="494" t="s">
        <v>444</v>
      </c>
      <c r="C147" s="495" t="s">
        <v>516</v>
      </c>
      <c r="D147" s="495" t="s">
        <v>517</v>
      </c>
      <c r="E147" s="495" t="s">
        <v>450</v>
      </c>
      <c r="F147" s="495"/>
      <c r="G147" s="495"/>
      <c r="H147" s="495"/>
      <c r="I147" s="495"/>
    </row>
    <row r="148" spans="2:9">
      <c r="B148" s="494" t="s">
        <v>329</v>
      </c>
      <c r="C148" s="495" t="s">
        <v>829</v>
      </c>
      <c r="D148" s="495" t="s">
        <v>830</v>
      </c>
      <c r="E148" s="495" t="s">
        <v>332</v>
      </c>
      <c r="F148" s="497" t="s">
        <v>831</v>
      </c>
      <c r="G148" s="495"/>
      <c r="H148" s="495"/>
      <c r="I148" s="495"/>
    </row>
    <row r="149" spans="2:9">
      <c r="B149" s="494" t="s">
        <v>826</v>
      </c>
      <c r="C149" s="495" t="s">
        <v>832</v>
      </c>
      <c r="D149" s="495" t="s">
        <v>833</v>
      </c>
      <c r="E149" s="495" t="s">
        <v>450</v>
      </c>
      <c r="F149" s="497" t="s">
        <v>831</v>
      </c>
      <c r="G149" s="495"/>
      <c r="H149" s="495"/>
      <c r="I149" s="495"/>
    </row>
    <row r="150" spans="2:9">
      <c r="B150" s="218" t="s">
        <v>444</v>
      </c>
      <c r="C150" s="219" t="s">
        <v>451</v>
      </c>
      <c r="D150" s="215" t="s">
        <v>452</v>
      </c>
      <c r="E150" s="215" t="s">
        <v>453</v>
      </c>
      <c r="F150" s="215" t="s">
        <v>335</v>
      </c>
      <c r="G150" s="215" t="s">
        <v>335</v>
      </c>
      <c r="H150" s="215" t="s">
        <v>335</v>
      </c>
      <c r="I150" s="215"/>
    </row>
    <row r="151" spans="2:9">
      <c r="B151" s="218" t="s">
        <v>444</v>
      </c>
      <c r="C151" s="220" t="s">
        <v>456</v>
      </c>
      <c r="D151" s="215" t="s">
        <v>457</v>
      </c>
      <c r="E151" s="215" t="s">
        <v>450</v>
      </c>
      <c r="F151" s="215" t="s">
        <v>335</v>
      </c>
      <c r="G151" s="215" t="s">
        <v>335</v>
      </c>
      <c r="H151" s="215" t="s">
        <v>335</v>
      </c>
      <c r="I151" s="215"/>
    </row>
    <row r="152" spans="2:9">
      <c r="B152" s="218" t="s">
        <v>444</v>
      </c>
      <c r="C152" s="219" t="s">
        <v>458</v>
      </c>
      <c r="D152" s="215" t="s">
        <v>457</v>
      </c>
      <c r="E152" s="215" t="s">
        <v>450</v>
      </c>
      <c r="F152" s="215" t="s">
        <v>335</v>
      </c>
      <c r="G152" s="215" t="s">
        <v>335</v>
      </c>
      <c r="H152" s="215" t="s">
        <v>335</v>
      </c>
      <c r="I152" s="215"/>
    </row>
    <row r="153" spans="2:9">
      <c r="B153" s="218" t="s">
        <v>444</v>
      </c>
      <c r="C153" s="219" t="s">
        <v>459</v>
      </c>
      <c r="D153" s="215" t="s">
        <v>460</v>
      </c>
      <c r="E153" s="215" t="s">
        <v>453</v>
      </c>
      <c r="F153" s="215" t="s">
        <v>335</v>
      </c>
      <c r="G153" s="215" t="s">
        <v>335</v>
      </c>
      <c r="H153" s="215" t="s">
        <v>335</v>
      </c>
      <c r="I153" s="215"/>
    </row>
    <row r="154" spans="2:9">
      <c r="B154" s="218" t="s">
        <v>444</v>
      </c>
      <c r="C154" s="219" t="s">
        <v>461</v>
      </c>
      <c r="D154" s="215" t="s">
        <v>462</v>
      </c>
      <c r="E154" s="215" t="s">
        <v>453</v>
      </c>
      <c r="F154" s="215" t="s">
        <v>335</v>
      </c>
      <c r="G154" s="215" t="s">
        <v>335</v>
      </c>
      <c r="H154" s="215" t="s">
        <v>335</v>
      </c>
      <c r="I154" s="215"/>
    </row>
    <row r="155" spans="2:9">
      <c r="B155" s="218" t="s">
        <v>444</v>
      </c>
      <c r="C155" s="219" t="s">
        <v>463</v>
      </c>
      <c r="D155" s="215" t="s">
        <v>464</v>
      </c>
      <c r="E155" s="215" t="s">
        <v>453</v>
      </c>
      <c r="F155" s="215" t="s">
        <v>335</v>
      </c>
      <c r="G155" s="215" t="s">
        <v>335</v>
      </c>
      <c r="H155" s="215" t="s">
        <v>335</v>
      </c>
      <c r="I155" s="215"/>
    </row>
    <row r="156" spans="2:9">
      <c r="B156" s="218" t="s">
        <v>444</v>
      </c>
      <c r="C156" s="219" t="s">
        <v>465</v>
      </c>
      <c r="D156" s="215" t="s">
        <v>466</v>
      </c>
      <c r="E156" s="215" t="s">
        <v>450</v>
      </c>
      <c r="F156" s="215" t="s">
        <v>335</v>
      </c>
      <c r="G156" s="215" t="s">
        <v>335</v>
      </c>
      <c r="H156" s="215" t="s">
        <v>335</v>
      </c>
      <c r="I156" s="215"/>
    </row>
    <row r="157" spans="2:9">
      <c r="B157" s="218" t="s">
        <v>444</v>
      </c>
      <c r="C157" s="219" t="s">
        <v>467</v>
      </c>
      <c r="D157" s="215" t="s">
        <v>468</v>
      </c>
      <c r="E157" s="215" t="s">
        <v>453</v>
      </c>
      <c r="F157" s="215" t="s">
        <v>335</v>
      </c>
      <c r="G157" s="215" t="s">
        <v>335</v>
      </c>
      <c r="H157" s="215" t="s">
        <v>335</v>
      </c>
      <c r="I157" s="215"/>
    </row>
    <row r="158" spans="2:9">
      <c r="B158" s="218" t="s">
        <v>444</v>
      </c>
      <c r="C158" s="219" t="s">
        <v>469</v>
      </c>
      <c r="D158" s="215" t="s">
        <v>470</v>
      </c>
      <c r="E158" s="215" t="s">
        <v>453</v>
      </c>
      <c r="F158" s="215" t="s">
        <v>335</v>
      </c>
      <c r="G158" s="215" t="s">
        <v>335</v>
      </c>
      <c r="H158" s="215" t="s">
        <v>335</v>
      </c>
      <c r="I158" s="215"/>
    </row>
    <row r="159" spans="2:9">
      <c r="B159" s="218" t="s">
        <v>444</v>
      </c>
      <c r="C159" s="219" t="s">
        <v>471</v>
      </c>
      <c r="D159" s="215" t="s">
        <v>472</v>
      </c>
      <c r="E159" s="215" t="s">
        <v>453</v>
      </c>
      <c r="F159" s="215"/>
      <c r="G159" s="215"/>
      <c r="H159" s="215"/>
      <c r="I159" s="215"/>
    </row>
    <row r="160" spans="2:9">
      <c r="B160" s="218" t="s">
        <v>444</v>
      </c>
      <c r="C160" s="219" t="s">
        <v>473</v>
      </c>
      <c r="D160" s="215" t="s">
        <v>474</v>
      </c>
      <c r="E160" s="215" t="s">
        <v>450</v>
      </c>
      <c r="F160" s="215" t="s">
        <v>335</v>
      </c>
      <c r="G160" s="215" t="s">
        <v>335</v>
      </c>
      <c r="H160" s="215" t="s">
        <v>335</v>
      </c>
      <c r="I160" s="215"/>
    </row>
    <row r="161" spans="2:9">
      <c r="B161" s="218" t="s">
        <v>444</v>
      </c>
      <c r="C161" s="219" t="s">
        <v>475</v>
      </c>
      <c r="D161" s="215" t="s">
        <v>476</v>
      </c>
      <c r="E161" s="215" t="s">
        <v>450</v>
      </c>
      <c r="F161" s="215" t="s">
        <v>335</v>
      </c>
      <c r="G161" s="215" t="s">
        <v>335</v>
      </c>
      <c r="H161" s="215" t="s">
        <v>335</v>
      </c>
      <c r="I161" s="215"/>
    </row>
    <row r="162" spans="2:9">
      <c r="B162" s="218" t="s">
        <v>444</v>
      </c>
      <c r="C162" s="219" t="s">
        <v>477</v>
      </c>
      <c r="D162" s="215" t="s">
        <v>478</v>
      </c>
      <c r="E162" s="215" t="s">
        <v>453</v>
      </c>
      <c r="F162" s="215" t="s">
        <v>335</v>
      </c>
      <c r="G162" s="215" t="s">
        <v>335</v>
      </c>
      <c r="H162" s="215" t="s">
        <v>335</v>
      </c>
      <c r="I162" s="215"/>
    </row>
    <row r="163" spans="2:9">
      <c r="B163" s="218" t="s">
        <v>444</v>
      </c>
      <c r="C163" s="219" t="s">
        <v>522</v>
      </c>
      <c r="D163" s="215" t="s">
        <v>523</v>
      </c>
      <c r="E163" s="215" t="s">
        <v>450</v>
      </c>
      <c r="F163" s="215"/>
      <c r="G163" s="215"/>
      <c r="H163" s="215"/>
      <c r="I163" s="215"/>
    </row>
    <row r="164" spans="2:9">
      <c r="B164" s="218" t="s">
        <v>444</v>
      </c>
      <c r="C164" s="219" t="s">
        <v>479</v>
      </c>
      <c r="D164" s="215" t="s">
        <v>480</v>
      </c>
      <c r="E164" s="215" t="s">
        <v>453</v>
      </c>
      <c r="F164" s="215"/>
      <c r="G164" s="215"/>
      <c r="H164" s="215"/>
      <c r="I164" s="215"/>
    </row>
    <row r="165" spans="2:9">
      <c r="B165" s="218" t="s">
        <v>444</v>
      </c>
      <c r="C165" s="219" t="s">
        <v>481</v>
      </c>
      <c r="D165" s="215" t="s">
        <v>482</v>
      </c>
      <c r="E165" s="215" t="s">
        <v>450</v>
      </c>
      <c r="F165" s="215"/>
      <c r="G165" s="215"/>
      <c r="H165" s="215"/>
      <c r="I165" s="215"/>
    </row>
    <row r="166" spans="2:9">
      <c r="B166" s="218" t="s">
        <v>444</v>
      </c>
      <c r="C166" s="219" t="s">
        <v>483</v>
      </c>
      <c r="D166" s="215" t="s">
        <v>484</v>
      </c>
      <c r="E166" s="215" t="s">
        <v>450</v>
      </c>
      <c r="F166" s="215"/>
      <c r="G166" s="215"/>
      <c r="H166" s="215"/>
      <c r="I166" s="215"/>
    </row>
    <row r="167" spans="2:9">
      <c r="B167" s="218" t="s">
        <v>444</v>
      </c>
      <c r="C167" s="219" t="s">
        <v>485</v>
      </c>
      <c r="D167" s="215" t="s">
        <v>486</v>
      </c>
      <c r="E167" s="215" t="s">
        <v>453</v>
      </c>
      <c r="F167" s="215"/>
      <c r="G167" s="215"/>
      <c r="H167" s="215"/>
      <c r="I167" s="215"/>
    </row>
    <row r="168" spans="2:9">
      <c r="B168" s="218" t="s">
        <v>444</v>
      </c>
      <c r="C168" s="219" t="s">
        <v>520</v>
      </c>
      <c r="D168" s="215" t="s">
        <v>521</v>
      </c>
      <c r="E168" s="215" t="s">
        <v>450</v>
      </c>
      <c r="F168" s="215"/>
      <c r="G168" s="215"/>
      <c r="H168" s="215"/>
      <c r="I168" s="215"/>
    </row>
    <row r="169" spans="2:9">
      <c r="B169" s="218" t="s">
        <v>444</v>
      </c>
      <c r="C169" s="219" t="s">
        <v>489</v>
      </c>
      <c r="D169" s="215" t="s">
        <v>490</v>
      </c>
      <c r="E169" s="215" t="s">
        <v>453</v>
      </c>
      <c r="F169" s="215"/>
      <c r="G169" s="215"/>
      <c r="H169" s="215"/>
      <c r="I169" s="215"/>
    </row>
    <row r="170" spans="2:9">
      <c r="B170" s="218" t="s">
        <v>444</v>
      </c>
      <c r="C170" s="219" t="s">
        <v>493</v>
      </c>
      <c r="D170" s="215" t="s">
        <v>494</v>
      </c>
      <c r="E170" s="215" t="s">
        <v>450</v>
      </c>
      <c r="F170" s="215"/>
      <c r="G170" s="215"/>
      <c r="H170" s="215"/>
      <c r="I170" s="215"/>
    </row>
    <row r="171" spans="2:9">
      <c r="B171" s="218" t="s">
        <v>444</v>
      </c>
      <c r="C171" s="219" t="s">
        <v>495</v>
      </c>
      <c r="D171" s="215" t="s">
        <v>494</v>
      </c>
      <c r="E171" s="215" t="s">
        <v>450</v>
      </c>
      <c r="F171" s="215"/>
      <c r="G171" s="215"/>
      <c r="H171" s="215"/>
      <c r="I171" s="215"/>
    </row>
    <row r="172" spans="2:9">
      <c r="B172" s="218" t="s">
        <v>444</v>
      </c>
      <c r="C172" s="219" t="s">
        <v>496</v>
      </c>
      <c r="D172" s="215" t="s">
        <v>497</v>
      </c>
      <c r="E172" s="215" t="s">
        <v>453</v>
      </c>
      <c r="F172" s="215"/>
      <c r="G172" s="215"/>
      <c r="H172" s="215"/>
      <c r="I172" s="215"/>
    </row>
    <row r="173" spans="2:9">
      <c r="B173" s="218" t="s">
        <v>444</v>
      </c>
      <c r="C173" s="219" t="s">
        <v>498</v>
      </c>
      <c r="D173" s="215" t="s">
        <v>499</v>
      </c>
      <c r="E173" s="215" t="s">
        <v>453</v>
      </c>
      <c r="F173" s="215"/>
      <c r="G173" s="215"/>
      <c r="H173" s="215"/>
      <c r="I173" s="215"/>
    </row>
    <row r="174" spans="2:9">
      <c r="B174" s="218" t="s">
        <v>444</v>
      </c>
      <c r="C174" s="219" t="s">
        <v>500</v>
      </c>
      <c r="D174" s="215" t="s">
        <v>501</v>
      </c>
      <c r="E174" s="215" t="s">
        <v>453</v>
      </c>
      <c r="F174" s="215"/>
      <c r="G174" s="215"/>
      <c r="H174" s="215"/>
      <c r="I174" s="215"/>
    </row>
    <row r="175" spans="2:9">
      <c r="B175" s="218" t="s">
        <v>444</v>
      </c>
      <c r="C175" s="219" t="s">
        <v>502</v>
      </c>
      <c r="D175" s="215" t="s">
        <v>503</v>
      </c>
      <c r="E175" s="215" t="s">
        <v>450</v>
      </c>
      <c r="F175" s="215"/>
      <c r="G175" s="215"/>
      <c r="H175" s="215"/>
      <c r="I175" s="215"/>
    </row>
    <row r="176" spans="2:9">
      <c r="B176" s="218" t="s">
        <v>444</v>
      </c>
      <c r="C176" s="219" t="s">
        <v>504</v>
      </c>
      <c r="D176" s="215" t="s">
        <v>505</v>
      </c>
      <c r="E176" s="215" t="s">
        <v>453</v>
      </c>
      <c r="F176" s="215"/>
      <c r="G176" s="215"/>
      <c r="H176" s="215"/>
      <c r="I176" s="215"/>
    </row>
    <row r="177" spans="2:9">
      <c r="B177" s="501" t="s">
        <v>444</v>
      </c>
      <c r="C177" s="501" t="s">
        <v>656</v>
      </c>
      <c r="D177" s="501" t="s">
        <v>834</v>
      </c>
      <c r="E177" s="501" t="s">
        <v>332</v>
      </c>
      <c r="F177" s="502" t="s">
        <v>831</v>
      </c>
      <c r="G177" s="501"/>
      <c r="H177" s="501"/>
      <c r="I177" s="501"/>
    </row>
    <row r="178" spans="2:9">
      <c r="B178" s="501" t="s">
        <v>444</v>
      </c>
      <c r="C178" s="501" t="s">
        <v>657</v>
      </c>
      <c r="D178" s="501" t="s">
        <v>835</v>
      </c>
      <c r="E178" s="501" t="s">
        <v>332</v>
      </c>
      <c r="F178" s="502" t="s">
        <v>831</v>
      </c>
      <c r="G178" s="501"/>
      <c r="H178" s="501"/>
      <c r="I178" s="501"/>
    </row>
    <row r="179" spans="2:9">
      <c r="B179" s="501" t="s">
        <v>444</v>
      </c>
      <c r="C179" s="501" t="s">
        <v>658</v>
      </c>
      <c r="D179" s="501" t="s">
        <v>836</v>
      </c>
      <c r="E179" s="501" t="s">
        <v>332</v>
      </c>
      <c r="F179" s="502" t="s">
        <v>831</v>
      </c>
      <c r="G179" s="501"/>
      <c r="H179" s="501"/>
      <c r="I179" s="501"/>
    </row>
  </sheetData>
  <phoneticPr fontId="38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4"/>
  <sheetViews>
    <sheetView zoomScale="75" workbookViewId="0">
      <selection activeCell="D129" sqref="D129"/>
    </sheetView>
  </sheetViews>
  <sheetFormatPr defaultColWidth="9.140625" defaultRowHeight="12.75"/>
  <cols>
    <col min="1" max="1" width="13.5703125" customWidth="1"/>
    <col min="2" max="2" width="35.7109375" customWidth="1"/>
    <col min="3" max="3" width="9.140625" customWidth="1"/>
    <col min="4" max="4" width="19.28515625" customWidth="1"/>
    <col min="5" max="5" width="7.140625" customWidth="1"/>
    <col min="6" max="8" width="9.140625" customWidth="1"/>
  </cols>
  <sheetData>
    <row r="1" spans="1:20">
      <c r="F1" s="34"/>
      <c r="H1" s="225"/>
      <c r="I1" s="55"/>
    </row>
    <row r="2" spans="1:20" ht="18">
      <c r="A2" s="15" t="s">
        <v>663</v>
      </c>
      <c r="B2" s="318"/>
      <c r="D2" s="225"/>
      <c r="E2" s="228"/>
      <c r="F2" s="226"/>
      <c r="G2" s="34"/>
      <c r="H2" s="225"/>
      <c r="I2" s="55"/>
    </row>
    <row r="3" spans="1:20">
      <c r="D3" s="225"/>
      <c r="E3" s="228"/>
      <c r="G3" s="34"/>
      <c r="H3" s="225"/>
    </row>
    <row r="4" spans="1:20">
      <c r="A4" s="317"/>
      <c r="B4" s="318"/>
      <c r="D4" s="225"/>
      <c r="E4" s="228"/>
      <c r="F4" s="226"/>
      <c r="G4" s="34"/>
      <c r="H4" s="225"/>
      <c r="I4" s="55"/>
    </row>
    <row r="5" spans="1:20">
      <c r="E5" s="228"/>
      <c r="F5" s="226"/>
      <c r="G5" s="34"/>
      <c r="H5" s="225"/>
      <c r="I5" s="55"/>
    </row>
    <row r="6" spans="1:20" ht="18">
      <c r="A6" s="503" t="s">
        <v>837</v>
      </c>
      <c r="B6" s="504"/>
      <c r="C6" s="505"/>
      <c r="D6" s="505"/>
      <c r="E6" s="232" t="str">
        <f>"~FI_T: "&amp;Region</f>
        <v>~FI_T: FIN</v>
      </c>
      <c r="I6" s="506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</row>
    <row r="7" spans="1:20" ht="13.5" thickBot="1">
      <c r="A7" s="234" t="s">
        <v>529</v>
      </c>
      <c r="B7" s="323" t="s">
        <v>530</v>
      </c>
      <c r="C7" s="234" t="s">
        <v>532</v>
      </c>
      <c r="D7" s="323" t="s">
        <v>323</v>
      </c>
      <c r="E7" s="324" t="s">
        <v>533</v>
      </c>
      <c r="F7" s="323" t="s">
        <v>838</v>
      </c>
      <c r="G7" s="234" t="s">
        <v>578</v>
      </c>
      <c r="H7" s="234" t="s">
        <v>839</v>
      </c>
      <c r="J7" s="507"/>
      <c r="K7" s="507"/>
      <c r="L7" s="507"/>
      <c r="M7" s="507"/>
      <c r="N7" s="507"/>
      <c r="O7" s="507"/>
      <c r="P7" s="507"/>
      <c r="Q7" s="507"/>
      <c r="R7" s="507"/>
      <c r="S7" s="507"/>
      <c r="T7" s="507"/>
    </row>
    <row r="8" spans="1:20">
      <c r="A8" s="30"/>
      <c r="B8" s="508" t="s">
        <v>840</v>
      </c>
      <c r="C8" s="30"/>
      <c r="D8" s="508"/>
      <c r="E8" s="343"/>
      <c r="F8" s="509"/>
      <c r="G8" s="508"/>
      <c r="H8" s="79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>
      <c r="A9" s="184" t="s">
        <v>841</v>
      </c>
      <c r="B9" s="30" t="s">
        <v>842</v>
      </c>
      <c r="C9" s="184" t="s">
        <v>790</v>
      </c>
      <c r="D9" s="30" t="s">
        <v>791</v>
      </c>
      <c r="E9" s="510" t="s">
        <v>543</v>
      </c>
      <c r="F9" s="511"/>
      <c r="G9" s="79">
        <v>1</v>
      </c>
      <c r="H9" s="511">
        <v>0.1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>
      <c r="A10" s="512" t="s">
        <v>843</v>
      </c>
      <c r="B10" s="45" t="s">
        <v>844</v>
      </c>
      <c r="C10" s="512" t="s">
        <v>793</v>
      </c>
      <c r="D10" s="45" t="s">
        <v>794</v>
      </c>
      <c r="E10" s="510" t="s">
        <v>543</v>
      </c>
      <c r="F10" s="513"/>
      <c r="G10" s="87">
        <v>1</v>
      </c>
      <c r="H10" s="511">
        <v>0.1</v>
      </c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</row>
    <row r="11" spans="1:20">
      <c r="A11" s="30" t="s">
        <v>270</v>
      </c>
      <c r="B11" s="508" t="s">
        <v>845</v>
      </c>
      <c r="C11" s="30"/>
      <c r="D11" s="508"/>
      <c r="E11" s="343"/>
      <c r="F11" s="79"/>
      <c r="G11" s="509"/>
      <c r="H11" s="79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>
      <c r="A12" s="184" t="s">
        <v>846</v>
      </c>
      <c r="B12" s="30" t="s">
        <v>847</v>
      </c>
      <c r="C12" s="30" t="str">
        <f>$C$9</f>
        <v>CONBRO</v>
      </c>
      <c r="D12" s="30"/>
      <c r="E12" s="510" t="s">
        <v>543</v>
      </c>
      <c r="F12" s="511"/>
      <c r="G12" s="79">
        <v>1</v>
      </c>
      <c r="H12" s="511">
        <v>0.1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20">
      <c r="A13" s="512" t="s">
        <v>848</v>
      </c>
      <c r="B13" s="45" t="s">
        <v>849</v>
      </c>
      <c r="C13" s="45" t="str">
        <f>$C$10</f>
        <v>CONHAR</v>
      </c>
      <c r="D13" s="45"/>
      <c r="E13" s="510" t="s">
        <v>543</v>
      </c>
      <c r="F13" s="513"/>
      <c r="G13" s="87">
        <v>1</v>
      </c>
      <c r="H13" s="511">
        <v>0.1</v>
      </c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</row>
    <row r="14" spans="1:20">
      <c r="A14" s="30" t="s">
        <v>270</v>
      </c>
      <c r="B14" s="508" t="s">
        <v>850</v>
      </c>
      <c r="C14" s="30"/>
      <c r="D14" s="508"/>
      <c r="E14" s="343"/>
      <c r="F14" s="79"/>
      <c r="G14" s="509"/>
      <c r="H14" s="79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>
      <c r="A15" s="512" t="s">
        <v>851</v>
      </c>
      <c r="B15" s="45" t="s">
        <v>852</v>
      </c>
      <c r="C15" s="512" t="s">
        <v>399</v>
      </c>
      <c r="D15" s="45" t="s">
        <v>853</v>
      </c>
      <c r="E15" s="510" t="s">
        <v>543</v>
      </c>
      <c r="F15" s="513"/>
      <c r="G15" s="87">
        <v>1</v>
      </c>
      <c r="H15" s="87">
        <v>1E-3</v>
      </c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</row>
    <row r="16" spans="1:20">
      <c r="A16" s="30" t="s">
        <v>270</v>
      </c>
      <c r="B16" s="508" t="s">
        <v>854</v>
      </c>
      <c r="C16" s="30"/>
      <c r="D16" s="508"/>
      <c r="E16" s="343"/>
      <c r="F16" s="509"/>
      <c r="G16" s="509"/>
      <c r="H16" s="79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>
      <c r="A17" s="184" t="s">
        <v>855</v>
      </c>
      <c r="B17" s="30" t="s">
        <v>856</v>
      </c>
      <c r="C17" s="30" t="s">
        <v>397</v>
      </c>
      <c r="D17" s="30"/>
      <c r="E17" s="510" t="s">
        <v>543</v>
      </c>
      <c r="F17" s="513"/>
      <c r="G17" s="79">
        <v>1</v>
      </c>
      <c r="H17" s="514">
        <v>1.0000000000000001E-5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>
      <c r="A18" s="184" t="s">
        <v>857</v>
      </c>
      <c r="B18" s="30" t="s">
        <v>858</v>
      </c>
      <c r="C18" s="30" t="s">
        <v>397</v>
      </c>
      <c r="D18" s="45"/>
      <c r="E18" s="510" t="s">
        <v>543</v>
      </c>
      <c r="F18" s="513"/>
      <c r="G18" s="79">
        <v>1</v>
      </c>
      <c r="H18" s="514">
        <v>1.0000000000000001E-5</v>
      </c>
    </row>
    <row r="19" spans="1:20">
      <c r="A19" s="184" t="s">
        <v>859</v>
      </c>
      <c r="B19" s="30" t="s">
        <v>860</v>
      </c>
      <c r="C19" s="30" t="s">
        <v>397</v>
      </c>
      <c r="D19" s="45"/>
      <c r="E19" s="510" t="s">
        <v>543</v>
      </c>
      <c r="F19" s="513"/>
      <c r="G19" s="79">
        <v>1</v>
      </c>
      <c r="H19" s="514">
        <v>1.0000000000000001E-5</v>
      </c>
    </row>
    <row r="20" spans="1:20">
      <c r="F20" s="229"/>
    </row>
    <row r="21" spans="1:20">
      <c r="F21" s="229"/>
    </row>
    <row r="22" spans="1:20">
      <c r="F22" s="229"/>
    </row>
    <row r="24" spans="1:20">
      <c r="F24" s="229"/>
    </row>
    <row r="25" spans="1:20">
      <c r="F25" s="229"/>
    </row>
    <row r="26" spans="1:20">
      <c r="F26" s="229"/>
    </row>
    <row r="27" spans="1:20">
      <c r="F27" s="229"/>
    </row>
    <row r="28" spans="1:20">
      <c r="F28" s="229"/>
    </row>
    <row r="29" spans="1:20">
      <c r="F29" s="229"/>
    </row>
    <row r="30" spans="1:20">
      <c r="F30" s="229"/>
    </row>
    <row r="31" spans="1:20">
      <c r="F31" s="229"/>
    </row>
    <row r="32" spans="1:20">
      <c r="F32" s="229"/>
    </row>
    <row r="33" spans="6:6">
      <c r="F33" s="229"/>
    </row>
    <row r="34" spans="6:6">
      <c r="F34" s="43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AS95"/>
  <sheetViews>
    <sheetView zoomScale="75" workbookViewId="0">
      <selection activeCell="D129" sqref="D129"/>
    </sheetView>
  </sheetViews>
  <sheetFormatPr defaultColWidth="9.140625" defaultRowHeight="12.75"/>
  <cols>
    <col min="1" max="1" width="8.85546875" customWidth="1"/>
    <col min="2" max="2" width="19.28515625" customWidth="1"/>
    <col min="3" max="3" width="37.85546875" customWidth="1"/>
    <col min="4" max="4" width="15.28515625" customWidth="1"/>
    <col min="11" max="11" width="9.140625" customWidth="1"/>
    <col min="15" max="15" width="9.140625" customWidth="1"/>
    <col min="19" max="19" width="9.140625" customWidth="1"/>
    <col min="21" max="21" width="9" customWidth="1"/>
  </cols>
  <sheetData>
    <row r="1" spans="2:45">
      <c r="C1" s="227"/>
      <c r="F1" s="225"/>
      <c r="H1" s="224"/>
      <c r="I1" s="225"/>
      <c r="J1" s="225"/>
      <c r="K1" s="225"/>
      <c r="L1" s="225"/>
      <c r="M1" s="225"/>
      <c r="N1" s="8"/>
      <c r="O1" s="8"/>
      <c r="P1" s="226" t="s">
        <v>527</v>
      </c>
      <c r="Q1" s="226" t="s">
        <v>527</v>
      </c>
      <c r="R1" s="226" t="s">
        <v>527</v>
      </c>
      <c r="S1" s="226" t="s">
        <v>527</v>
      </c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6"/>
      <c r="AE1" s="226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</row>
    <row r="2" spans="2:45">
      <c r="C2" s="227"/>
      <c r="D2" s="228"/>
      <c r="G2" s="515" t="s">
        <v>861</v>
      </c>
      <c r="H2" s="516"/>
      <c r="I2" s="517"/>
      <c r="J2" s="517"/>
      <c r="K2" s="517"/>
      <c r="L2" s="517"/>
      <c r="M2" s="517"/>
      <c r="N2" s="518"/>
      <c r="O2" s="518"/>
      <c r="P2" s="518"/>
      <c r="Q2" s="518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226"/>
      <c r="AJ2" s="226"/>
      <c r="AK2" s="226"/>
      <c r="AL2" s="226"/>
      <c r="AM2" s="226"/>
      <c r="AN2" s="226"/>
      <c r="AO2" s="226"/>
      <c r="AP2" s="226"/>
      <c r="AQ2" s="226"/>
      <c r="AR2" s="226"/>
      <c r="AS2" s="226"/>
    </row>
    <row r="3" spans="2:45">
      <c r="C3" s="227"/>
      <c r="D3" s="228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</row>
    <row r="4" spans="2:45" ht="18">
      <c r="B4" s="230" t="s">
        <v>862</v>
      </c>
      <c r="C4" s="231"/>
      <c r="D4" s="222"/>
      <c r="H4" s="232" t="s">
        <v>863</v>
      </c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226"/>
      <c r="AJ4" s="226"/>
      <c r="AK4" s="226"/>
      <c r="AL4" s="226"/>
      <c r="AM4" s="226"/>
      <c r="AN4" s="226"/>
      <c r="AO4" s="226"/>
      <c r="AP4" s="226"/>
      <c r="AQ4" s="226"/>
      <c r="AR4" s="226"/>
      <c r="AS4" s="226"/>
    </row>
    <row r="5" spans="2:45" ht="13.5" thickBot="1">
      <c r="B5" s="58" t="s">
        <v>529</v>
      </c>
      <c r="C5" s="24" t="s">
        <v>530</v>
      </c>
      <c r="D5" s="234" t="s">
        <v>532</v>
      </c>
      <c r="E5" s="24" t="s">
        <v>323</v>
      </c>
      <c r="F5" s="24" t="s">
        <v>322</v>
      </c>
      <c r="G5" s="24" t="s">
        <v>545</v>
      </c>
      <c r="H5" s="519" t="s">
        <v>533</v>
      </c>
      <c r="I5" s="520" t="s">
        <v>839</v>
      </c>
      <c r="J5" s="24" t="s">
        <v>864</v>
      </c>
      <c r="K5" s="24" t="s">
        <v>549</v>
      </c>
      <c r="L5" s="24" t="s">
        <v>865</v>
      </c>
      <c r="M5" s="24" t="s">
        <v>866</v>
      </c>
      <c r="N5" s="324" t="s">
        <v>537</v>
      </c>
      <c r="O5" s="324" t="s">
        <v>867</v>
      </c>
      <c r="P5" s="521" t="s">
        <v>868</v>
      </c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</row>
    <row r="6" spans="2:45">
      <c r="B6" s="522" t="s">
        <v>869</v>
      </c>
      <c r="C6" s="351" t="s">
        <v>870</v>
      </c>
      <c r="D6" s="271" t="s">
        <v>389</v>
      </c>
      <c r="E6" s="351" t="s">
        <v>390</v>
      </c>
      <c r="F6" s="351"/>
      <c r="G6" s="351"/>
      <c r="H6" s="354" t="s">
        <v>543</v>
      </c>
      <c r="I6" s="354">
        <v>0.01</v>
      </c>
      <c r="J6" s="343">
        <v>100</v>
      </c>
      <c r="K6" s="343">
        <v>3</v>
      </c>
      <c r="L6" s="343"/>
      <c r="M6" s="343"/>
      <c r="N6" s="284"/>
      <c r="O6" s="284"/>
      <c r="P6" s="284"/>
    </row>
    <row r="7" spans="2:45">
      <c r="B7" s="522" t="s">
        <v>871</v>
      </c>
      <c r="C7" s="351" t="s">
        <v>872</v>
      </c>
      <c r="D7" s="271" t="s">
        <v>283</v>
      </c>
      <c r="E7" s="351" t="s">
        <v>388</v>
      </c>
      <c r="F7" s="351"/>
      <c r="G7" s="351"/>
      <c r="H7" s="354" t="s">
        <v>543</v>
      </c>
      <c r="I7" s="354">
        <v>0.01</v>
      </c>
      <c r="J7" s="343">
        <v>100</v>
      </c>
      <c r="K7" s="343">
        <v>3</v>
      </c>
      <c r="L7" s="343"/>
      <c r="M7" s="343"/>
      <c r="N7" s="79"/>
      <c r="O7" s="79"/>
      <c r="P7" s="79"/>
    </row>
    <row r="8" spans="2:45">
      <c r="B8" s="522" t="s">
        <v>873</v>
      </c>
      <c r="C8" s="351" t="s">
        <v>874</v>
      </c>
      <c r="D8" s="271" t="s">
        <v>417</v>
      </c>
      <c r="E8" s="351" t="s">
        <v>418</v>
      </c>
      <c r="F8" s="351"/>
      <c r="G8" s="351"/>
      <c r="H8" s="354" t="s">
        <v>543</v>
      </c>
      <c r="I8" s="354">
        <v>0.01</v>
      </c>
      <c r="J8" s="343">
        <v>200</v>
      </c>
      <c r="K8" s="343">
        <v>3</v>
      </c>
      <c r="L8" s="343"/>
      <c r="M8" s="343"/>
      <c r="N8" s="79"/>
      <c r="O8" s="79"/>
      <c r="P8" s="79"/>
    </row>
    <row r="9" spans="2:45">
      <c r="B9" s="522" t="s">
        <v>875</v>
      </c>
      <c r="C9" s="351" t="s">
        <v>876</v>
      </c>
      <c r="D9" s="271" t="s">
        <v>425</v>
      </c>
      <c r="E9" s="351" t="s">
        <v>426</v>
      </c>
      <c r="F9" s="351"/>
      <c r="G9" s="351"/>
      <c r="H9" s="354" t="s">
        <v>543</v>
      </c>
      <c r="I9" s="354">
        <v>0.01</v>
      </c>
      <c r="J9" s="343">
        <v>50</v>
      </c>
      <c r="K9" s="343">
        <v>3</v>
      </c>
      <c r="L9" s="343"/>
      <c r="M9" s="343"/>
      <c r="N9" s="79"/>
      <c r="O9" s="79"/>
      <c r="P9" s="79"/>
    </row>
    <row r="10" spans="2:45">
      <c r="B10" s="522" t="s">
        <v>877</v>
      </c>
      <c r="C10" s="351" t="s">
        <v>878</v>
      </c>
      <c r="D10" s="271" t="s">
        <v>439</v>
      </c>
      <c r="E10" s="351" t="s">
        <v>440</v>
      </c>
      <c r="F10" s="351"/>
      <c r="G10" s="351"/>
      <c r="H10" s="354" t="s">
        <v>543</v>
      </c>
      <c r="I10" s="354">
        <v>0.01</v>
      </c>
      <c r="J10" s="343">
        <v>50</v>
      </c>
      <c r="K10" s="343">
        <v>3</v>
      </c>
      <c r="L10" s="343"/>
      <c r="M10" s="343"/>
      <c r="N10" s="79"/>
      <c r="O10" s="79"/>
      <c r="P10" s="79"/>
    </row>
    <row r="11" spans="2:45">
      <c r="B11" s="522" t="s">
        <v>879</v>
      </c>
      <c r="C11" s="351" t="s">
        <v>880</v>
      </c>
      <c r="D11" s="271" t="s">
        <v>441</v>
      </c>
      <c r="E11" s="351" t="s">
        <v>442</v>
      </c>
      <c r="F11" s="351"/>
      <c r="G11" s="351"/>
      <c r="H11" s="354" t="s">
        <v>543</v>
      </c>
      <c r="I11" s="354">
        <v>0.01</v>
      </c>
      <c r="J11" s="343">
        <v>200</v>
      </c>
      <c r="K11" s="343">
        <v>3</v>
      </c>
      <c r="L11" s="343"/>
      <c r="M11" s="343"/>
      <c r="N11" s="79"/>
      <c r="O11" s="79"/>
      <c r="P11" s="79"/>
    </row>
    <row r="12" spans="2:45">
      <c r="B12" s="215" t="s">
        <v>881</v>
      </c>
      <c r="C12" s="215" t="s">
        <v>882</v>
      </c>
      <c r="D12" s="215" t="s">
        <v>369</v>
      </c>
      <c r="E12" s="215" t="s">
        <v>883</v>
      </c>
      <c r="F12" s="215"/>
      <c r="G12" s="215"/>
      <c r="H12" s="523" t="s">
        <v>543</v>
      </c>
      <c r="I12" s="216">
        <v>0.01</v>
      </c>
      <c r="J12" s="216">
        <v>100</v>
      </c>
      <c r="K12" s="216">
        <v>3</v>
      </c>
      <c r="L12" s="216"/>
      <c r="M12" s="216"/>
      <c r="N12" s="216"/>
      <c r="O12" s="216"/>
      <c r="P12" s="216"/>
    </row>
    <row r="13" spans="2:45">
      <c r="B13" s="215" t="s">
        <v>884</v>
      </c>
      <c r="C13" s="215" t="s">
        <v>885</v>
      </c>
      <c r="D13" s="215" t="s">
        <v>369</v>
      </c>
      <c r="E13" s="215" t="s">
        <v>883</v>
      </c>
      <c r="F13" s="215"/>
      <c r="G13" s="215"/>
      <c r="H13" s="523" t="s">
        <v>543</v>
      </c>
      <c r="I13" s="216">
        <v>0.01</v>
      </c>
      <c r="J13" s="216">
        <v>100</v>
      </c>
      <c r="K13" s="216">
        <v>3</v>
      </c>
      <c r="L13" s="216"/>
      <c r="M13" s="216"/>
      <c r="N13" s="216"/>
      <c r="O13" s="216"/>
      <c r="P13" s="216"/>
    </row>
    <row r="14" spans="2:45">
      <c r="B14" s="215" t="s">
        <v>886</v>
      </c>
      <c r="C14" s="215" t="s">
        <v>887</v>
      </c>
      <c r="D14" s="215" t="s">
        <v>369</v>
      </c>
      <c r="E14" s="215" t="s">
        <v>883</v>
      </c>
      <c r="F14" s="215"/>
      <c r="G14" s="215"/>
      <c r="H14" s="523" t="s">
        <v>543</v>
      </c>
      <c r="I14" s="216">
        <v>0.01</v>
      </c>
      <c r="J14" s="216">
        <v>100</v>
      </c>
      <c r="K14" s="216">
        <v>3</v>
      </c>
      <c r="L14" s="216"/>
      <c r="M14" s="216"/>
      <c r="N14" s="216"/>
      <c r="O14" s="216"/>
      <c r="P14" s="216"/>
    </row>
    <row r="15" spans="2:45">
      <c r="B15" s="215" t="s">
        <v>888</v>
      </c>
      <c r="C15" s="215" t="s">
        <v>889</v>
      </c>
      <c r="D15" s="215" t="s">
        <v>798</v>
      </c>
      <c r="E15" s="215" t="s">
        <v>890</v>
      </c>
      <c r="F15" s="215"/>
      <c r="G15" s="216" t="s">
        <v>891</v>
      </c>
      <c r="H15" s="523" t="s">
        <v>543</v>
      </c>
      <c r="I15" s="216">
        <v>0.01</v>
      </c>
      <c r="J15" s="216">
        <v>100</v>
      </c>
      <c r="K15" s="216">
        <v>3</v>
      </c>
      <c r="L15" s="216"/>
      <c r="M15" s="216"/>
      <c r="N15" s="434">
        <v>1</v>
      </c>
      <c r="O15" s="434">
        <v>1</v>
      </c>
      <c r="P15" s="434">
        <v>1</v>
      </c>
    </row>
    <row r="16" spans="2:45">
      <c r="B16" s="215" t="s">
        <v>892</v>
      </c>
      <c r="C16" s="215" t="s">
        <v>893</v>
      </c>
      <c r="D16" s="215" t="s">
        <v>369</v>
      </c>
      <c r="E16" s="215" t="s">
        <v>883</v>
      </c>
      <c r="F16" s="215"/>
      <c r="G16" s="215"/>
      <c r="H16" s="523" t="s">
        <v>543</v>
      </c>
      <c r="I16" s="216">
        <v>0.01</v>
      </c>
      <c r="J16" s="216">
        <v>100</v>
      </c>
      <c r="K16" s="216">
        <v>3</v>
      </c>
      <c r="L16" s="216"/>
      <c r="M16" s="216"/>
      <c r="N16" s="216"/>
      <c r="O16" s="216"/>
      <c r="P16" s="216"/>
    </row>
    <row r="17" spans="2:16">
      <c r="B17" s="215" t="s">
        <v>894</v>
      </c>
      <c r="C17" s="215" t="s">
        <v>895</v>
      </c>
      <c r="D17" s="215" t="s">
        <v>369</v>
      </c>
      <c r="E17" s="215" t="s">
        <v>883</v>
      </c>
      <c r="F17" s="215"/>
      <c r="G17" s="215"/>
      <c r="H17" s="523" t="s">
        <v>543</v>
      </c>
      <c r="I17" s="216">
        <v>0.01</v>
      </c>
      <c r="J17" s="216">
        <v>100</v>
      </c>
      <c r="K17" s="216">
        <v>3</v>
      </c>
      <c r="L17" s="216"/>
      <c r="M17" s="216"/>
      <c r="N17" s="216"/>
      <c r="O17" s="216"/>
      <c r="P17" s="216"/>
    </row>
    <row r="18" spans="2:16">
      <c r="B18" s="215" t="s">
        <v>896</v>
      </c>
      <c r="C18" s="215" t="s">
        <v>897</v>
      </c>
      <c r="D18" s="215" t="s">
        <v>365</v>
      </c>
      <c r="E18" s="215" t="s">
        <v>898</v>
      </c>
      <c r="F18" s="215"/>
      <c r="G18" s="215"/>
      <c r="H18" s="523" t="s">
        <v>543</v>
      </c>
      <c r="I18" s="216">
        <v>0.01</v>
      </c>
      <c r="J18" s="216">
        <v>100</v>
      </c>
      <c r="K18" s="216">
        <v>3</v>
      </c>
      <c r="L18" s="216"/>
      <c r="M18" s="216"/>
      <c r="N18" s="216"/>
      <c r="O18" s="216"/>
      <c r="P18" s="216"/>
    </row>
    <row r="19" spans="2:16">
      <c r="B19" s="215" t="s">
        <v>899</v>
      </c>
      <c r="C19" s="215" t="s">
        <v>897</v>
      </c>
      <c r="D19" s="215" t="s">
        <v>365</v>
      </c>
      <c r="E19" s="215" t="s">
        <v>898</v>
      </c>
      <c r="F19" s="215"/>
      <c r="G19" s="215"/>
      <c r="H19" s="523" t="s">
        <v>543</v>
      </c>
      <c r="I19" s="216">
        <v>0.01</v>
      </c>
      <c r="J19" s="216">
        <v>100</v>
      </c>
      <c r="K19" s="216">
        <v>3</v>
      </c>
      <c r="L19" s="216"/>
      <c r="M19" s="216"/>
      <c r="N19" s="216"/>
      <c r="O19" s="216"/>
      <c r="P19" s="216"/>
    </row>
    <row r="20" spans="2:16">
      <c r="B20" s="215" t="s">
        <v>900</v>
      </c>
      <c r="C20" s="215" t="s">
        <v>901</v>
      </c>
      <c r="D20" s="215" t="s">
        <v>800</v>
      </c>
      <c r="E20" s="215" t="s">
        <v>902</v>
      </c>
      <c r="F20" s="215"/>
      <c r="G20" s="215"/>
      <c r="H20" s="523" t="s">
        <v>543</v>
      </c>
      <c r="I20" s="216">
        <v>0.01</v>
      </c>
      <c r="J20" s="216">
        <v>100</v>
      </c>
      <c r="K20" s="216">
        <v>3</v>
      </c>
      <c r="L20" s="216"/>
      <c r="M20" s="216"/>
      <c r="N20" s="216"/>
      <c r="O20" s="216"/>
      <c r="P20" s="216"/>
    </row>
    <row r="21" spans="2:16">
      <c r="B21" s="215" t="s">
        <v>903</v>
      </c>
      <c r="C21" s="215" t="s">
        <v>904</v>
      </c>
      <c r="D21" s="215" t="s">
        <v>363</v>
      </c>
      <c r="E21" s="215" t="s">
        <v>905</v>
      </c>
      <c r="F21" s="215"/>
      <c r="G21" s="215"/>
      <c r="H21" s="523" t="s">
        <v>543</v>
      </c>
      <c r="I21" s="216">
        <v>0.01</v>
      </c>
      <c r="J21" s="216">
        <v>100</v>
      </c>
      <c r="K21" s="216">
        <v>3</v>
      </c>
      <c r="L21" s="216"/>
      <c r="M21" s="216"/>
      <c r="N21" s="216"/>
      <c r="O21" s="216"/>
      <c r="P21" s="216"/>
    </row>
    <row r="22" spans="2:16">
      <c r="B22" s="215" t="s">
        <v>906</v>
      </c>
      <c r="C22" s="215" t="s">
        <v>907</v>
      </c>
      <c r="D22" s="215" t="s">
        <v>341</v>
      </c>
      <c r="E22" s="215" t="s">
        <v>908</v>
      </c>
      <c r="F22" s="215"/>
      <c r="G22" s="215"/>
      <c r="H22" s="524"/>
      <c r="I22" s="524"/>
      <c r="J22" s="216">
        <v>100</v>
      </c>
      <c r="K22" s="216">
        <v>3</v>
      </c>
      <c r="L22" s="216"/>
      <c r="M22" s="216"/>
      <c r="N22" s="216"/>
      <c r="O22" s="216"/>
      <c r="P22" s="216"/>
    </row>
    <row r="23" spans="2:16">
      <c r="B23" s="215"/>
      <c r="C23" s="215" t="s">
        <v>907</v>
      </c>
      <c r="D23" s="215" t="s">
        <v>345</v>
      </c>
      <c r="E23" s="215" t="s">
        <v>908</v>
      </c>
      <c r="F23" s="215"/>
      <c r="G23" s="215"/>
      <c r="H23" s="524"/>
      <c r="I23" s="524"/>
      <c r="J23" s="524"/>
      <c r="K23" s="524"/>
      <c r="L23" s="524"/>
      <c r="M23" s="524"/>
      <c r="N23" s="524"/>
      <c r="O23" s="524"/>
      <c r="P23" s="524"/>
    </row>
    <row r="24" spans="2:16">
      <c r="B24" s="215" t="s">
        <v>909</v>
      </c>
      <c r="C24" s="215" t="s">
        <v>907</v>
      </c>
      <c r="D24" s="215" t="s">
        <v>341</v>
      </c>
      <c r="E24" s="215" t="s">
        <v>908</v>
      </c>
      <c r="F24" s="215"/>
      <c r="G24" s="215"/>
      <c r="H24" s="524"/>
      <c r="I24" s="524"/>
      <c r="J24" s="216">
        <v>100</v>
      </c>
      <c r="K24" s="216">
        <v>3</v>
      </c>
      <c r="L24" s="216"/>
      <c r="M24" s="216"/>
      <c r="N24" s="216"/>
      <c r="O24" s="216"/>
      <c r="P24" s="216"/>
    </row>
    <row r="25" spans="2:16">
      <c r="B25" s="215"/>
      <c r="C25" s="215" t="s">
        <v>907</v>
      </c>
      <c r="D25" s="215" t="s">
        <v>345</v>
      </c>
      <c r="E25" s="215" t="s">
        <v>908</v>
      </c>
      <c r="F25" s="215"/>
      <c r="G25" s="215"/>
      <c r="H25" s="524"/>
      <c r="I25" s="524"/>
      <c r="J25" s="524"/>
      <c r="K25" s="524"/>
      <c r="L25" s="524"/>
      <c r="M25" s="524"/>
      <c r="N25" s="524"/>
      <c r="O25" s="524"/>
      <c r="P25" s="524"/>
    </row>
    <row r="26" spans="2:16">
      <c r="B26" s="215" t="s">
        <v>910</v>
      </c>
      <c r="C26" s="215" t="s">
        <v>907</v>
      </c>
      <c r="D26" s="215" t="s">
        <v>341</v>
      </c>
      <c r="E26" s="215" t="s">
        <v>908</v>
      </c>
      <c r="F26" s="215"/>
      <c r="G26" s="215"/>
      <c r="H26" s="523" t="s">
        <v>543</v>
      </c>
      <c r="I26" s="216">
        <v>0.01</v>
      </c>
      <c r="J26" s="216">
        <v>100</v>
      </c>
      <c r="K26" s="216">
        <v>3</v>
      </c>
      <c r="L26" s="216"/>
      <c r="M26" s="216"/>
      <c r="N26" s="216"/>
      <c r="O26" s="216"/>
      <c r="P26" s="216"/>
    </row>
    <row r="27" spans="2:16">
      <c r="B27" s="215" t="s">
        <v>911</v>
      </c>
      <c r="C27" s="215" t="s">
        <v>907</v>
      </c>
      <c r="D27" s="215" t="s">
        <v>341</v>
      </c>
      <c r="E27" s="215" t="s">
        <v>908</v>
      </c>
      <c r="F27" s="215"/>
      <c r="G27" s="215"/>
      <c r="H27" s="523" t="s">
        <v>543</v>
      </c>
      <c r="I27" s="216">
        <v>0.01</v>
      </c>
      <c r="J27" s="216">
        <v>100</v>
      </c>
      <c r="K27" s="216">
        <v>3</v>
      </c>
      <c r="L27" s="216"/>
      <c r="M27" s="216"/>
      <c r="N27" s="216"/>
      <c r="O27" s="216"/>
      <c r="P27" s="216"/>
    </row>
    <row r="28" spans="2:16">
      <c r="B28" s="215" t="s">
        <v>912</v>
      </c>
      <c r="C28" s="215" t="s">
        <v>913</v>
      </c>
      <c r="D28" s="215" t="s">
        <v>157</v>
      </c>
      <c r="E28" s="215" t="s">
        <v>914</v>
      </c>
      <c r="F28" s="215"/>
      <c r="G28" s="215"/>
      <c r="H28" s="523" t="s">
        <v>543</v>
      </c>
      <c r="I28" s="216">
        <v>0.01</v>
      </c>
      <c r="J28" s="216">
        <v>100</v>
      </c>
      <c r="K28" s="216">
        <v>3</v>
      </c>
      <c r="L28" s="216"/>
      <c r="M28" s="216"/>
      <c r="N28" s="216"/>
      <c r="O28" s="216"/>
      <c r="P28" s="216"/>
    </row>
    <row r="29" spans="2:16">
      <c r="B29" s="215" t="s">
        <v>915</v>
      </c>
      <c r="C29" s="215" t="s">
        <v>337</v>
      </c>
      <c r="D29" s="215" t="s">
        <v>156</v>
      </c>
      <c r="E29" s="215" t="s">
        <v>337</v>
      </c>
      <c r="F29" s="215"/>
      <c r="G29" s="215"/>
      <c r="H29" s="523" t="s">
        <v>543</v>
      </c>
      <c r="I29" s="216">
        <v>0.01</v>
      </c>
      <c r="J29" s="216">
        <v>100</v>
      </c>
      <c r="K29" s="216">
        <v>3</v>
      </c>
      <c r="L29" s="525">
        <f ca="1">IEAData!$N98*0.99</f>
        <v>10.317771981000002</v>
      </c>
      <c r="M29" s="525">
        <f ca="1">AuxData!$N98*0.99</f>
        <v>23.569919603999999</v>
      </c>
      <c r="N29" s="525"/>
      <c r="O29" s="525"/>
      <c r="P29" s="525"/>
    </row>
    <row r="30" spans="2:16">
      <c r="B30" s="215" t="s">
        <v>916</v>
      </c>
      <c r="C30" s="215" t="s">
        <v>336</v>
      </c>
      <c r="D30" s="215" t="s">
        <v>155</v>
      </c>
      <c r="E30" s="215" t="s">
        <v>336</v>
      </c>
      <c r="F30" s="215"/>
      <c r="G30" s="215"/>
      <c r="H30" s="523" t="s">
        <v>543</v>
      </c>
      <c r="I30" s="216">
        <v>0.01</v>
      </c>
      <c r="J30" s="216">
        <v>100</v>
      </c>
      <c r="K30" s="216">
        <v>3</v>
      </c>
      <c r="L30" s="216"/>
      <c r="M30" s="216"/>
      <c r="N30" s="216"/>
      <c r="O30" s="216"/>
      <c r="P30" s="216"/>
    </row>
    <row r="31" spans="2:16">
      <c r="B31" s="526" t="s">
        <v>659</v>
      </c>
      <c r="C31" s="526" t="s">
        <v>660</v>
      </c>
      <c r="D31" s="527" t="s">
        <v>656</v>
      </c>
      <c r="E31" s="527" t="s">
        <v>914</v>
      </c>
      <c r="F31" s="527"/>
      <c r="G31" s="528"/>
      <c r="H31" s="529" t="s">
        <v>585</v>
      </c>
      <c r="I31" s="530">
        <v>5.0000000000000001E-3</v>
      </c>
      <c r="J31" s="411"/>
      <c r="K31" s="411"/>
      <c r="L31" s="411"/>
      <c r="M31" s="411"/>
      <c r="N31" s="411"/>
      <c r="O31" s="411"/>
      <c r="P31" s="411"/>
    </row>
    <row r="32" spans="2:16">
      <c r="B32" s="526"/>
      <c r="C32" s="526"/>
      <c r="D32" s="527" t="s">
        <v>657</v>
      </c>
      <c r="E32" s="527" t="s">
        <v>917</v>
      </c>
      <c r="F32" s="527"/>
      <c r="G32" s="528"/>
      <c r="H32" s="529" t="s">
        <v>585</v>
      </c>
      <c r="I32" s="530">
        <v>5.0000000000000001E-3</v>
      </c>
      <c r="J32" s="411"/>
      <c r="K32" s="411"/>
      <c r="L32" s="411"/>
      <c r="M32" s="411"/>
      <c r="N32" s="411"/>
      <c r="O32" s="411"/>
      <c r="P32" s="411"/>
    </row>
    <row r="33" spans="2:45">
      <c r="B33" s="526"/>
      <c r="C33" s="526"/>
      <c r="D33" s="527" t="s">
        <v>658</v>
      </c>
      <c r="E33" s="527" t="s">
        <v>918</v>
      </c>
      <c r="F33" s="527"/>
      <c r="G33" s="528"/>
      <c r="H33" s="529" t="s">
        <v>585</v>
      </c>
      <c r="I33" s="530">
        <v>5.0000000000000001E-3</v>
      </c>
      <c r="J33" s="411"/>
      <c r="K33" s="411"/>
      <c r="L33" s="411"/>
      <c r="M33" s="411"/>
      <c r="N33" s="411"/>
      <c r="O33" s="411"/>
      <c r="P33" s="411"/>
    </row>
    <row r="34" spans="2:45">
      <c r="T34" s="229"/>
      <c r="V34" s="229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226"/>
      <c r="AH34" s="226"/>
      <c r="AI34" s="226"/>
      <c r="AJ34" s="226"/>
      <c r="AK34" s="226"/>
      <c r="AL34" s="226"/>
      <c r="AM34" s="226"/>
      <c r="AN34" s="226"/>
      <c r="AO34" s="226"/>
      <c r="AP34" s="226"/>
      <c r="AQ34" s="226"/>
      <c r="AR34" s="226"/>
      <c r="AS34" s="226"/>
    </row>
    <row r="35" spans="2:45">
      <c r="U35" s="229"/>
      <c r="V35" s="22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6"/>
      <c r="AJ35" s="226"/>
      <c r="AK35" s="226"/>
      <c r="AL35" s="226"/>
      <c r="AM35" s="226"/>
      <c r="AN35" s="226"/>
      <c r="AO35" s="226"/>
      <c r="AP35" s="226"/>
      <c r="AQ35" s="226"/>
      <c r="AR35" s="226"/>
      <c r="AS35" s="226"/>
    </row>
    <row r="36" spans="2:45" ht="18">
      <c r="B36" s="230" t="s">
        <v>528</v>
      </c>
      <c r="C36" s="231"/>
      <c r="D36" s="222"/>
      <c r="G36" s="232" t="str">
        <f>"~FI_T: "&amp;Region</f>
        <v>~FI_T: FIN</v>
      </c>
      <c r="N36" s="55"/>
      <c r="O36" s="55"/>
      <c r="P36" s="55"/>
      <c r="Q36" s="55"/>
      <c r="R36" s="55"/>
      <c r="S36" s="226"/>
      <c r="T36" s="226"/>
      <c r="U36" s="226"/>
      <c r="V36" s="226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226"/>
      <c r="AH36" s="226"/>
      <c r="AI36" s="226"/>
      <c r="AJ36" s="226"/>
      <c r="AK36" s="226"/>
      <c r="AL36" s="226"/>
      <c r="AM36" s="226"/>
      <c r="AN36" s="226"/>
      <c r="AO36" s="226"/>
      <c r="AP36" s="226"/>
      <c r="AQ36" s="226"/>
      <c r="AR36" s="226"/>
      <c r="AS36" s="226"/>
    </row>
    <row r="37" spans="2:45" ht="36.75" thickBot="1">
      <c r="B37" s="531" t="s">
        <v>529</v>
      </c>
      <c r="C37" s="531" t="s">
        <v>530</v>
      </c>
      <c r="D37" s="384" t="s">
        <v>531</v>
      </c>
      <c r="E37" s="384" t="s">
        <v>532</v>
      </c>
      <c r="F37" s="250" t="s">
        <v>533</v>
      </c>
      <c r="G37" s="252" t="s">
        <v>919</v>
      </c>
      <c r="H37" s="252" t="s">
        <v>238</v>
      </c>
      <c r="I37" s="252" t="s">
        <v>535</v>
      </c>
      <c r="J37" s="252" t="s">
        <v>536</v>
      </c>
      <c r="K37" s="250" t="s">
        <v>867</v>
      </c>
      <c r="L37" s="252" t="s">
        <v>537</v>
      </c>
      <c r="M37" s="252" t="s">
        <v>538</v>
      </c>
      <c r="N37" s="252" t="s">
        <v>539</v>
      </c>
      <c r="O37" s="252" t="s">
        <v>540</v>
      </c>
      <c r="P37" s="326" t="str">
        <f ca="1">"ACT_BND~UP~"&amp;Auxyear</f>
        <v>ACT_BND~UP~2017</v>
      </c>
      <c r="Q37" s="252" t="str">
        <f ca="1">"CAP_BND~"&amp;BaseYear</f>
        <v>CAP_BND~2010</v>
      </c>
      <c r="R37" s="252" t="str">
        <f ca="1">"CAP_BND~"&amp;Auxyear</f>
        <v>CAP_BND~2017</v>
      </c>
      <c r="S37" s="252" t="str">
        <f ca="1">"CAP_BND~"&amp;BaseYear+10</f>
        <v>CAP_BND~2020</v>
      </c>
      <c r="T37" s="252" t="str">
        <f ca="1">"CAP_BND~"&amp;BaseYear+15</f>
        <v>CAP_BND~2025</v>
      </c>
      <c r="U37" s="252" t="str">
        <f ca="1">"CAP_BND~"&amp;BaseYear+20</f>
        <v>CAP_BND~2030</v>
      </c>
      <c r="V37" s="252" t="str">
        <f>"CAP_BND~0"</f>
        <v>CAP_BND~0</v>
      </c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6"/>
      <c r="AJ37" s="226"/>
      <c r="AK37" s="226"/>
      <c r="AL37" s="226"/>
      <c r="AM37" s="226"/>
      <c r="AN37" s="226"/>
      <c r="AO37" s="226"/>
      <c r="AP37" s="226"/>
      <c r="AQ37" s="226"/>
      <c r="AR37" s="226"/>
      <c r="AS37" s="226"/>
    </row>
    <row r="38" spans="2:45">
      <c r="B38" s="253" t="s">
        <v>541</v>
      </c>
      <c r="C38" s="254" t="s">
        <v>542</v>
      </c>
      <c r="D38" s="255" t="str">
        <f>D23</f>
        <v>BIOFCR</v>
      </c>
      <c r="E38" s="255"/>
      <c r="F38" s="532" t="s">
        <v>543</v>
      </c>
      <c r="G38" s="256"/>
      <c r="H38" s="275">
        <v>2</v>
      </c>
      <c r="I38" s="256"/>
      <c r="J38" s="256">
        <v>1</v>
      </c>
      <c r="K38" s="256"/>
      <c r="L38" s="259">
        <v>20</v>
      </c>
      <c r="M38" s="259">
        <v>35</v>
      </c>
      <c r="N38" s="259">
        <v>1.5</v>
      </c>
      <c r="O38" s="259"/>
      <c r="P38" s="533">
        <f ca="1">MAX(R39:U39)*1.5</f>
        <v>1.0050000000000001</v>
      </c>
      <c r="Q38" s="264"/>
      <c r="R38" s="264"/>
      <c r="S38" s="264"/>
      <c r="T38" s="264"/>
      <c r="U38" s="350"/>
      <c r="V38" s="350"/>
      <c r="X38" s="226"/>
      <c r="Y38" s="226"/>
      <c r="Z38" s="226"/>
      <c r="AA38" s="226"/>
      <c r="AB38" s="226"/>
      <c r="AC38" s="226"/>
      <c r="AD38" s="226"/>
      <c r="AE38" s="226"/>
      <c r="AF38" s="226"/>
      <c r="AG38" s="226"/>
      <c r="AH38" s="226"/>
      <c r="AI38" s="226"/>
      <c r="AJ38" s="226"/>
      <c r="AK38" s="226"/>
      <c r="AL38" s="226"/>
      <c r="AM38" s="226"/>
      <c r="AN38" s="226"/>
      <c r="AO38" s="226"/>
      <c r="AP38" s="226"/>
      <c r="AQ38" s="226"/>
      <c r="AR38" s="226"/>
      <c r="AS38" s="226"/>
    </row>
    <row r="39" spans="2:45">
      <c r="B39" s="254"/>
      <c r="C39" s="254"/>
      <c r="D39" s="255" t="s">
        <v>222</v>
      </c>
      <c r="E39" s="255"/>
      <c r="F39" s="532"/>
      <c r="G39" s="256" t="s">
        <v>920</v>
      </c>
      <c r="H39" s="44">
        <f>IF(TRUE,0.008)</f>
        <v>8.0000000000000002E-3</v>
      </c>
      <c r="I39" s="256"/>
      <c r="J39" s="256"/>
      <c r="K39" s="256"/>
      <c r="L39" s="256"/>
      <c r="M39" s="256"/>
      <c r="N39" s="256"/>
      <c r="O39" s="256"/>
      <c r="P39" s="534"/>
      <c r="Q39" s="535"/>
      <c r="R39" s="259">
        <f ca="1">CalibData!$X$53</f>
        <v>0.67</v>
      </c>
      <c r="S39" s="536">
        <f ca="1">$R39</f>
        <v>0.67</v>
      </c>
      <c r="T39" s="536">
        <f ca="1">$R39</f>
        <v>0.67</v>
      </c>
      <c r="U39" s="536">
        <f ca="1">$R39</f>
        <v>0.67</v>
      </c>
      <c r="V39" s="357">
        <v>1</v>
      </c>
      <c r="X39" s="226"/>
      <c r="Y39" s="226"/>
      <c r="Z39" s="226"/>
      <c r="AA39" s="226"/>
      <c r="AB39" s="226"/>
      <c r="AC39" s="226"/>
      <c r="AD39" s="226"/>
      <c r="AE39" s="226"/>
      <c r="AF39" s="226"/>
      <c r="AG39" s="226"/>
      <c r="AH39" s="226"/>
      <c r="AI39" s="226"/>
      <c r="AJ39" s="226"/>
      <c r="AK39" s="226"/>
      <c r="AL39" s="226"/>
      <c r="AM39" s="226"/>
      <c r="AN39" s="226"/>
      <c r="AO39" s="226"/>
      <c r="AP39" s="226"/>
      <c r="AQ39" s="226"/>
      <c r="AR39" s="226"/>
      <c r="AS39" s="226"/>
    </row>
    <row r="40" spans="2:45">
      <c r="B40" s="261"/>
      <c r="C40" s="261"/>
      <c r="D40" s="262"/>
      <c r="E40" s="263" t="s">
        <v>419</v>
      </c>
      <c r="F40" s="537"/>
      <c r="G40" s="264"/>
      <c r="H40" s="538"/>
      <c r="I40" s="264">
        <v>1</v>
      </c>
      <c r="J40" s="274"/>
      <c r="K40" s="274"/>
      <c r="L40" s="274"/>
      <c r="M40" s="274"/>
      <c r="N40" s="274"/>
      <c r="O40" s="274"/>
      <c r="P40" s="539"/>
      <c r="Q40" s="264"/>
      <c r="R40" s="264"/>
      <c r="S40" s="264"/>
      <c r="T40" s="264"/>
      <c r="U40" s="350"/>
      <c r="V40" s="350"/>
      <c r="X40" s="226"/>
      <c r="Y40" s="226"/>
      <c r="Z40" s="226"/>
      <c r="AA40" s="226"/>
      <c r="AB40" s="226"/>
      <c r="AC40" s="226"/>
      <c r="AD40" s="226"/>
      <c r="AE40" s="226"/>
      <c r="AF40" s="226"/>
      <c r="AG40" s="226"/>
      <c r="AH40" s="226"/>
      <c r="AI40" s="226"/>
      <c r="AJ40" s="226"/>
      <c r="AK40" s="226"/>
      <c r="AL40" s="226"/>
      <c r="AM40" s="226"/>
      <c r="AN40" s="226"/>
      <c r="AO40" s="226"/>
      <c r="AP40" s="226"/>
      <c r="AQ40" s="226"/>
      <c r="AR40" s="226"/>
      <c r="AS40" s="226"/>
    </row>
    <row r="41" spans="2:45">
      <c r="B41" s="253" t="s">
        <v>921</v>
      </c>
      <c r="C41" s="254" t="s">
        <v>922</v>
      </c>
      <c r="D41" s="350" t="s">
        <v>330</v>
      </c>
      <c r="E41" s="350" t="s">
        <v>343</v>
      </c>
      <c r="F41" s="357" t="s">
        <v>543</v>
      </c>
      <c r="G41" s="540" t="s">
        <v>338</v>
      </c>
      <c r="H41" s="274">
        <v>1.0349999999999999</v>
      </c>
      <c r="I41" s="274">
        <f>1</f>
        <v>1</v>
      </c>
      <c r="J41" s="350"/>
      <c r="K41" s="357">
        <v>1</v>
      </c>
      <c r="L41" s="259">
        <v>25</v>
      </c>
      <c r="M41" s="541">
        <f>200/1.3/(0.1*41.868)</f>
        <v>36.745522558076289</v>
      </c>
      <c r="N41" s="541">
        <f>M41*0.04</f>
        <v>1.4698209023230515</v>
      </c>
      <c r="O41" s="357"/>
      <c r="P41" s="542"/>
      <c r="Q41" s="350">
        <f ca="1">CalibData!T53</f>
        <v>0</v>
      </c>
      <c r="R41" s="350">
        <f ca="1">CalibData!U53</f>
        <v>0</v>
      </c>
      <c r="S41" s="541">
        <f ca="1">CalibData!V53</f>
        <v>6.6303464855045959</v>
      </c>
      <c r="T41" s="541">
        <f ca="1">S41^0.22*CalibData!W53^0.78</f>
        <v>13.123262069424733</v>
      </c>
      <c r="U41" s="541">
        <f ca="1">CalibData!W53</f>
        <v>15.910051300443268</v>
      </c>
      <c r="V41" s="543">
        <v>5</v>
      </c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</row>
    <row r="42" spans="2:45">
      <c r="B42" s="261"/>
      <c r="C42" s="261"/>
      <c r="D42" s="350" t="s">
        <v>222</v>
      </c>
      <c r="E42" s="263"/>
      <c r="F42" s="537"/>
      <c r="G42" s="264"/>
      <c r="H42" s="544">
        <v>1.4999999999999999E-2</v>
      </c>
      <c r="I42" s="264"/>
      <c r="J42" s="274"/>
      <c r="K42" s="274"/>
      <c r="L42" s="274"/>
      <c r="M42" s="274"/>
      <c r="N42" s="274"/>
      <c r="O42" s="274"/>
      <c r="P42" s="539"/>
      <c r="Q42" s="264"/>
      <c r="R42" s="264"/>
      <c r="S42" s="264"/>
      <c r="T42" s="264"/>
      <c r="U42" s="350"/>
      <c r="V42" s="350"/>
      <c r="W42" s="229"/>
      <c r="AB42" s="22"/>
      <c r="AC42" s="246"/>
      <c r="AD42" s="247"/>
      <c r="AE42" s="248"/>
    </row>
    <row r="43" spans="2:45">
      <c r="B43" s="261"/>
      <c r="C43" s="261"/>
      <c r="D43" s="350" t="s">
        <v>223</v>
      </c>
      <c r="E43" s="263"/>
      <c r="F43" s="537"/>
      <c r="G43" s="264"/>
      <c r="H43" s="544">
        <v>2.5609756097560974E-2</v>
      </c>
      <c r="I43" s="264"/>
      <c r="J43" s="274"/>
      <c r="K43" s="274"/>
      <c r="L43" s="274"/>
      <c r="M43" s="274"/>
      <c r="N43" s="274"/>
      <c r="O43" s="274"/>
      <c r="P43" s="539"/>
      <c r="Q43" s="264"/>
      <c r="R43" s="264"/>
      <c r="S43" s="264"/>
      <c r="T43" s="264"/>
      <c r="U43" s="350"/>
      <c r="V43" s="350"/>
      <c r="W43" s="229"/>
      <c r="AB43" s="22"/>
      <c r="AC43" s="88"/>
      <c r="AD43" s="14"/>
      <c r="AE43" s="22"/>
    </row>
    <row r="44" spans="2:45">
      <c r="B44" s="261"/>
      <c r="C44" s="261"/>
      <c r="D44" s="350" t="s">
        <v>421</v>
      </c>
      <c r="E44" s="263"/>
      <c r="F44" s="537"/>
      <c r="G44" s="264"/>
      <c r="H44" s="544">
        <v>5.5121951219512196E-2</v>
      </c>
      <c r="I44" s="264"/>
      <c r="J44" s="274"/>
      <c r="K44" s="274"/>
      <c r="L44" s="274"/>
      <c r="M44" s="274"/>
      <c r="N44" s="274"/>
      <c r="O44" s="274"/>
      <c r="P44" s="539"/>
      <c r="Q44" s="264"/>
      <c r="R44" s="264"/>
      <c r="S44" s="264"/>
      <c r="T44" s="264"/>
      <c r="U44" s="350"/>
      <c r="V44" s="350"/>
      <c r="W44" s="229"/>
      <c r="AB44" s="22"/>
      <c r="AC44" s="3"/>
      <c r="AD44" s="14"/>
      <c r="AE44" s="14"/>
    </row>
    <row r="45" spans="2:45">
      <c r="E45" s="228"/>
      <c r="V45" s="229"/>
      <c r="W45" s="229"/>
      <c r="AB45" s="22"/>
      <c r="AC45" s="3"/>
      <c r="AD45" s="14"/>
      <c r="AE45" s="14"/>
    </row>
    <row r="46" spans="2:45">
      <c r="E46" s="228"/>
      <c r="F46" s="34"/>
      <c r="G46" s="249"/>
      <c r="H46" s="249"/>
      <c r="I46" s="249"/>
      <c r="J46" s="249"/>
      <c r="K46" s="249"/>
      <c r="L46" s="249"/>
      <c r="M46" s="249"/>
      <c r="N46" s="249"/>
      <c r="O46" s="34"/>
      <c r="P46" s="226"/>
      <c r="Q46" s="226"/>
      <c r="R46" s="226"/>
      <c r="S46" s="226"/>
      <c r="T46" s="226"/>
      <c r="U46" s="34"/>
      <c r="V46" s="229"/>
      <c r="W46" s="229"/>
      <c r="AB46" s="22"/>
      <c r="AC46" s="3"/>
      <c r="AD46" s="14"/>
      <c r="AE46" s="14"/>
    </row>
    <row r="47" spans="2:45" ht="18">
      <c r="B47" s="230" t="s">
        <v>544</v>
      </c>
      <c r="C47" s="231"/>
      <c r="D47" s="222"/>
      <c r="G47" s="232" t="str">
        <f>"~FI_T: "&amp;Region</f>
        <v>~FI_T: FIN</v>
      </c>
      <c r="O47" s="55"/>
      <c r="P47" s="55"/>
      <c r="Q47" s="55"/>
      <c r="R47" s="55"/>
      <c r="S47" s="226"/>
      <c r="T47" s="226"/>
      <c r="U47" s="226"/>
      <c r="V47" s="229"/>
      <c r="W47" s="229"/>
      <c r="AB47" s="22"/>
      <c r="AC47" s="3"/>
      <c r="AD47" s="14"/>
      <c r="AE47" s="14"/>
    </row>
    <row r="48" spans="2:45" ht="36.75" thickBot="1">
      <c r="B48" s="531" t="s">
        <v>529</v>
      </c>
      <c r="C48" s="531" t="s">
        <v>530</v>
      </c>
      <c r="D48" s="384" t="s">
        <v>531</v>
      </c>
      <c r="E48" s="384" t="s">
        <v>532</v>
      </c>
      <c r="F48" s="384" t="s">
        <v>323</v>
      </c>
      <c r="G48" s="252" t="s">
        <v>545</v>
      </c>
      <c r="H48" s="252" t="s">
        <v>238</v>
      </c>
      <c r="I48" s="252" t="s">
        <v>535</v>
      </c>
      <c r="J48" s="250" t="s">
        <v>537</v>
      </c>
      <c r="K48" s="250" t="s">
        <v>538</v>
      </c>
      <c r="L48" s="250" t="s">
        <v>539</v>
      </c>
      <c r="M48" s="251" t="str">
        <f ca="1">"ACT_BND~UP~"&amp;BaseYear</f>
        <v>ACT_BND~UP~2010</v>
      </c>
      <c r="N48" s="252" t="str">
        <f ca="1">"ACT_BND~UP~"&amp;Auxyear</f>
        <v>ACT_BND~UP~2017</v>
      </c>
      <c r="O48" s="252" t="str">
        <f ca="1">"ACT_BND~UP~"&amp;CEILING(Auxyear+7,5)</f>
        <v>ACT_BND~UP~2025</v>
      </c>
      <c r="P48" s="252" t="s">
        <v>546</v>
      </c>
      <c r="Q48" s="252" t="s">
        <v>547</v>
      </c>
      <c r="R48" s="252" t="s">
        <v>548</v>
      </c>
      <c r="S48" s="252" t="s">
        <v>549</v>
      </c>
      <c r="T48" s="251" t="str">
        <f ca="1">"ACT_BND~LO~"&amp;BaseYear</f>
        <v>ACT_BND~LO~2010</v>
      </c>
      <c r="U48" s="252" t="str">
        <f ca="1">"ACT_BND~LO~"&amp;Auxyear</f>
        <v>ACT_BND~LO~2017</v>
      </c>
      <c r="V48" s="251" t="str">
        <f>"FLO_MARK~UP"</f>
        <v>FLO_MARK~UP</v>
      </c>
      <c r="AB48" s="22"/>
      <c r="AC48" s="90"/>
      <c r="AD48" s="14"/>
      <c r="AE48" s="14"/>
    </row>
    <row r="49" spans="2:45">
      <c r="B49" s="253" t="s">
        <v>550</v>
      </c>
      <c r="C49" s="254" t="s">
        <v>551</v>
      </c>
      <c r="D49" s="255" t="s">
        <v>154</v>
      </c>
      <c r="E49" s="255"/>
      <c r="F49" s="255"/>
      <c r="G49" s="256"/>
      <c r="H49" s="257">
        <v>1</v>
      </c>
      <c r="I49" s="545"/>
      <c r="J49" s="259"/>
      <c r="K49" s="259"/>
      <c r="L49" s="259"/>
      <c r="M49" s="260"/>
      <c r="N49" s="259"/>
      <c r="O49" s="259"/>
      <c r="P49" s="259"/>
      <c r="Q49" s="259"/>
      <c r="R49" s="259"/>
      <c r="S49" s="259"/>
      <c r="T49" s="260"/>
      <c r="U49" s="259"/>
      <c r="V49" s="260"/>
    </row>
    <row r="50" spans="2:45">
      <c r="B50" s="261"/>
      <c r="C50" s="261"/>
      <c r="D50" s="262"/>
      <c r="E50" s="263" t="s">
        <v>361</v>
      </c>
      <c r="F50" s="262" t="s">
        <v>339</v>
      </c>
      <c r="G50" s="264"/>
      <c r="H50" s="265"/>
      <c r="I50" s="546"/>
      <c r="J50" s="267"/>
      <c r="K50" s="267"/>
      <c r="L50" s="267"/>
      <c r="M50" s="268"/>
      <c r="N50" s="267"/>
      <c r="O50" s="267"/>
      <c r="P50" s="267"/>
      <c r="Q50" s="267"/>
      <c r="R50" s="269"/>
      <c r="S50" s="269"/>
      <c r="T50" s="268"/>
      <c r="U50" s="269"/>
      <c r="V50" s="270"/>
    </row>
    <row r="51" spans="2:45">
      <c r="B51" s="253" t="s">
        <v>552</v>
      </c>
      <c r="C51" s="254" t="s">
        <v>553</v>
      </c>
      <c r="D51" s="255" t="s">
        <v>341</v>
      </c>
      <c r="E51" s="263"/>
      <c r="F51" s="271"/>
      <c r="G51" s="256"/>
      <c r="H51" s="257">
        <v>1</v>
      </c>
      <c r="I51" s="545"/>
      <c r="J51" s="259"/>
      <c r="K51" s="259"/>
      <c r="L51" s="259"/>
      <c r="M51" s="260"/>
      <c r="N51" s="259"/>
      <c r="O51" s="259"/>
      <c r="P51" s="259"/>
      <c r="Q51" s="259"/>
      <c r="R51" s="259"/>
      <c r="S51" s="259"/>
      <c r="T51" s="260"/>
      <c r="U51" s="272"/>
      <c r="V51" s="273"/>
    </row>
    <row r="52" spans="2:45">
      <c r="B52" s="261"/>
      <c r="C52" s="261"/>
      <c r="D52" s="255"/>
      <c r="E52" s="263" t="s">
        <v>154</v>
      </c>
      <c r="F52" s="262" t="s">
        <v>339</v>
      </c>
      <c r="G52" s="274"/>
      <c r="H52" s="265"/>
      <c r="I52" s="546"/>
      <c r="J52" s="269"/>
      <c r="K52" s="269"/>
      <c r="L52" s="269"/>
      <c r="M52" s="270"/>
      <c r="N52" s="269"/>
      <c r="O52" s="269"/>
      <c r="P52" s="269"/>
      <c r="Q52" s="269"/>
      <c r="R52" s="269"/>
      <c r="S52" s="269"/>
      <c r="T52" s="270"/>
      <c r="U52" s="269"/>
      <c r="V52" s="270"/>
    </row>
    <row r="53" spans="2:45">
      <c r="B53" s="253" t="s">
        <v>554</v>
      </c>
      <c r="C53" s="254" t="s">
        <v>555</v>
      </c>
      <c r="D53" s="255" t="s">
        <v>369</v>
      </c>
      <c r="E53" s="255"/>
      <c r="F53" s="271"/>
      <c r="G53" s="275"/>
      <c r="H53" s="257">
        <v>1</v>
      </c>
      <c r="I53" s="545"/>
      <c r="J53" s="259"/>
      <c r="K53" s="259"/>
      <c r="L53" s="259"/>
      <c r="M53" s="260"/>
      <c r="N53" s="259"/>
      <c r="O53" s="259"/>
      <c r="P53" s="259"/>
      <c r="Q53" s="259"/>
      <c r="R53" s="259"/>
      <c r="S53" s="259"/>
      <c r="T53" s="260"/>
      <c r="U53" s="259"/>
      <c r="V53" s="260"/>
    </row>
    <row r="54" spans="2:45">
      <c r="B54" s="261"/>
      <c r="C54" s="261"/>
      <c r="D54" s="262"/>
      <c r="E54" s="263" t="s">
        <v>154</v>
      </c>
      <c r="F54" s="262" t="s">
        <v>339</v>
      </c>
      <c r="G54" s="275"/>
      <c r="H54" s="257"/>
      <c r="I54" s="545"/>
      <c r="J54" s="269"/>
      <c r="K54" s="269"/>
      <c r="L54" s="269"/>
      <c r="M54" s="270"/>
      <c r="N54" s="269"/>
      <c r="O54" s="269"/>
      <c r="P54" s="269"/>
      <c r="Q54" s="269"/>
      <c r="R54" s="269"/>
      <c r="S54" s="269"/>
      <c r="T54" s="270"/>
      <c r="U54" s="269"/>
      <c r="V54" s="270"/>
    </row>
    <row r="55" spans="2:45">
      <c r="B55" s="253" t="s">
        <v>556</v>
      </c>
      <c r="C55" s="254" t="s">
        <v>557</v>
      </c>
      <c r="D55" s="255" t="s">
        <v>365</v>
      </c>
      <c r="E55" s="255"/>
      <c r="F55" s="271"/>
      <c r="G55" s="256"/>
      <c r="H55" s="257">
        <v>1</v>
      </c>
      <c r="I55" s="545"/>
      <c r="J55" s="259"/>
      <c r="K55" s="259"/>
      <c r="L55" s="259"/>
      <c r="M55" s="260"/>
      <c r="N55" s="259"/>
      <c r="O55" s="259"/>
      <c r="P55" s="259"/>
      <c r="Q55" s="259"/>
      <c r="R55" s="259"/>
      <c r="S55" s="259"/>
      <c r="T55" s="260"/>
      <c r="U55" s="272"/>
      <c r="V55" s="273"/>
    </row>
    <row r="56" spans="2:45">
      <c r="B56" s="261"/>
      <c r="C56" s="261"/>
      <c r="D56" s="262"/>
      <c r="E56" s="263" t="s">
        <v>333</v>
      </c>
      <c r="F56" s="262" t="s">
        <v>339</v>
      </c>
      <c r="G56" s="274"/>
      <c r="H56" s="265"/>
      <c r="I56" s="546"/>
      <c r="J56" s="269"/>
      <c r="K56" s="269"/>
      <c r="L56" s="269"/>
      <c r="M56" s="270"/>
      <c r="N56" s="269"/>
      <c r="O56" s="269"/>
      <c r="P56" s="269"/>
      <c r="Q56" s="269"/>
      <c r="R56" s="269"/>
      <c r="S56" s="269"/>
      <c r="T56" s="270"/>
      <c r="U56" s="269"/>
      <c r="V56" s="270"/>
    </row>
    <row r="57" spans="2:45">
      <c r="B57" s="253" t="s">
        <v>558</v>
      </c>
      <c r="C57" s="254" t="s">
        <v>559</v>
      </c>
      <c r="D57" s="255" t="s">
        <v>341</v>
      </c>
      <c r="E57" s="255"/>
      <c r="F57" s="271"/>
      <c r="G57" s="275"/>
      <c r="H57" s="257">
        <v>1</v>
      </c>
      <c r="I57" s="545"/>
      <c r="J57" s="259"/>
      <c r="K57" s="259"/>
      <c r="L57" s="259"/>
      <c r="M57" s="260"/>
      <c r="N57" s="259"/>
      <c r="O57" s="259"/>
      <c r="P57" s="259"/>
      <c r="Q57" s="259"/>
      <c r="R57" s="259"/>
      <c r="S57" s="259"/>
      <c r="T57" s="260"/>
      <c r="U57" s="259"/>
      <c r="V57" s="260"/>
    </row>
    <row r="58" spans="2:45">
      <c r="B58" s="261"/>
      <c r="C58" s="261"/>
      <c r="D58" s="262"/>
      <c r="E58" s="263" t="s">
        <v>333</v>
      </c>
      <c r="F58" s="262" t="s">
        <v>339</v>
      </c>
      <c r="G58" s="275"/>
      <c r="H58" s="257"/>
      <c r="I58" s="545"/>
      <c r="J58" s="269"/>
      <c r="K58" s="269"/>
      <c r="L58" s="269"/>
      <c r="M58" s="270"/>
      <c r="N58" s="269"/>
      <c r="O58" s="269"/>
      <c r="P58" s="269"/>
      <c r="Q58" s="269"/>
      <c r="R58" s="269"/>
      <c r="S58" s="269"/>
      <c r="T58" s="270"/>
      <c r="U58" s="269"/>
      <c r="V58" s="270"/>
    </row>
    <row r="59" spans="2:45">
      <c r="B59" s="253" t="s">
        <v>560</v>
      </c>
      <c r="C59" s="254" t="s">
        <v>561</v>
      </c>
      <c r="D59" s="255" t="s">
        <v>156</v>
      </c>
      <c r="E59" s="255"/>
      <c r="F59" s="271"/>
      <c r="G59" s="275"/>
      <c r="H59" s="257">
        <v>1</v>
      </c>
      <c r="I59" s="545"/>
      <c r="J59" s="259"/>
      <c r="K59" s="259"/>
      <c r="L59" s="259"/>
      <c r="M59" s="260"/>
      <c r="N59" s="259">
        <f ca="1">R39*H38</f>
        <v>1.34</v>
      </c>
      <c r="O59" s="259"/>
      <c r="P59" s="259"/>
      <c r="Q59" s="259">
        <f ca="1">N59*1.5</f>
        <v>2.0100000000000002</v>
      </c>
      <c r="R59" s="259"/>
      <c r="S59" s="276">
        <v>5</v>
      </c>
      <c r="T59" s="260"/>
      <c r="U59" s="259"/>
      <c r="V59" s="277">
        <v>0.05</v>
      </c>
    </row>
    <row r="60" spans="2:45">
      <c r="B60" s="261"/>
      <c r="C60" s="261"/>
      <c r="D60" s="262"/>
      <c r="E60" s="263" t="s">
        <v>345</v>
      </c>
      <c r="F60" s="262" t="s">
        <v>339</v>
      </c>
      <c r="G60" s="275"/>
      <c r="H60" s="257"/>
      <c r="I60" s="545"/>
      <c r="J60" s="269"/>
      <c r="K60" s="269"/>
      <c r="L60" s="269"/>
      <c r="M60" s="270"/>
      <c r="N60" s="269"/>
      <c r="O60" s="269"/>
      <c r="P60" s="269"/>
      <c r="Q60" s="269"/>
      <c r="R60" s="269"/>
      <c r="S60" s="269"/>
      <c r="T60" s="270"/>
      <c r="U60" s="269"/>
      <c r="V60" s="270"/>
    </row>
    <row r="61" spans="2:45">
      <c r="B61" s="253" t="s">
        <v>923</v>
      </c>
      <c r="C61" s="254" t="s">
        <v>924</v>
      </c>
      <c r="D61" s="255" t="str">
        <f>D20</f>
        <v>BIOSBG</v>
      </c>
      <c r="E61" s="255"/>
      <c r="F61" s="271"/>
      <c r="G61" s="275"/>
      <c r="H61" s="257">
        <v>1</v>
      </c>
      <c r="I61" s="545"/>
      <c r="J61" s="259"/>
      <c r="K61" s="259"/>
      <c r="L61" s="259"/>
      <c r="M61" s="260"/>
      <c r="N61" s="259"/>
      <c r="O61" s="259"/>
      <c r="P61" s="259"/>
      <c r="Q61" s="259"/>
      <c r="R61" s="259"/>
      <c r="S61" s="259"/>
      <c r="T61" s="260"/>
      <c r="U61" s="259"/>
      <c r="V61" s="260"/>
    </row>
    <row r="62" spans="2:45">
      <c r="B62" s="261"/>
      <c r="C62" s="261"/>
      <c r="D62" s="262"/>
      <c r="E62" s="263" t="s">
        <v>345</v>
      </c>
      <c r="F62" s="262" t="s">
        <v>339</v>
      </c>
      <c r="G62" s="275"/>
      <c r="H62" s="257"/>
      <c r="I62" s="545"/>
      <c r="J62" s="269"/>
      <c r="K62" s="269"/>
      <c r="L62" s="269"/>
      <c r="M62" s="270"/>
      <c r="N62" s="269"/>
      <c r="O62" s="269"/>
      <c r="P62" s="269"/>
      <c r="Q62" s="269"/>
      <c r="R62" s="269"/>
      <c r="S62" s="269"/>
      <c r="T62" s="270"/>
      <c r="U62" s="269"/>
      <c r="V62" s="270"/>
    </row>
    <row r="63" spans="2:45">
      <c r="B63" s="253" t="s">
        <v>562</v>
      </c>
      <c r="C63" s="254" t="s">
        <v>563</v>
      </c>
      <c r="D63" s="255" t="s">
        <v>330</v>
      </c>
      <c r="E63" s="255"/>
      <c r="F63" s="271"/>
      <c r="G63" s="256"/>
      <c r="H63" s="257">
        <v>1</v>
      </c>
      <c r="I63" s="545"/>
      <c r="J63" s="259"/>
      <c r="K63" s="259"/>
      <c r="L63" s="259"/>
      <c r="M63" s="260"/>
      <c r="N63" s="259"/>
      <c r="O63" s="259"/>
      <c r="P63" s="259"/>
      <c r="Q63" s="259"/>
      <c r="R63" s="259"/>
      <c r="S63" s="259"/>
      <c r="T63" s="260"/>
      <c r="U63" s="259"/>
      <c r="V63" s="260"/>
      <c r="AR63" s="22"/>
    </row>
    <row r="64" spans="2:45">
      <c r="B64" s="261"/>
      <c r="C64" s="261"/>
      <c r="D64" s="262"/>
      <c r="E64" s="263" t="s">
        <v>158</v>
      </c>
      <c r="F64" s="262" t="s">
        <v>564</v>
      </c>
      <c r="G64" s="274"/>
      <c r="H64" s="265"/>
      <c r="I64" s="546"/>
      <c r="J64" s="269"/>
      <c r="K64" s="269"/>
      <c r="L64" s="269"/>
      <c r="M64" s="270"/>
      <c r="N64" s="269"/>
      <c r="O64" s="269"/>
      <c r="P64" s="269"/>
      <c r="Q64" s="269"/>
      <c r="R64" s="269"/>
      <c r="S64" s="269"/>
      <c r="T64" s="270"/>
      <c r="U64" s="269"/>
      <c r="V64" s="270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22"/>
      <c r="AS64" s="34"/>
    </row>
    <row r="65" spans="2:45">
      <c r="B65" s="253" t="s">
        <v>565</v>
      </c>
      <c r="C65" s="254" t="s">
        <v>566</v>
      </c>
      <c r="D65" s="255" t="s">
        <v>157</v>
      </c>
      <c r="E65" s="255"/>
      <c r="F65" s="271"/>
      <c r="G65" s="256"/>
      <c r="H65" s="257">
        <v>1</v>
      </c>
      <c r="I65" s="545"/>
      <c r="J65" s="259"/>
      <c r="K65" s="259"/>
      <c r="L65" s="259"/>
      <c r="M65" s="260"/>
      <c r="N65" s="259"/>
      <c r="O65" s="259"/>
      <c r="P65" s="259"/>
      <c r="Q65" s="259"/>
      <c r="R65" s="259"/>
      <c r="S65" s="259"/>
      <c r="T65" s="260"/>
      <c r="U65" s="272"/>
      <c r="V65" s="273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"/>
      <c r="AS65" s="226"/>
    </row>
    <row r="66" spans="2:45">
      <c r="B66" s="261"/>
      <c r="C66" s="254"/>
      <c r="D66" s="255"/>
      <c r="E66" s="263" t="s">
        <v>348</v>
      </c>
      <c r="F66" s="262"/>
      <c r="G66" s="274"/>
      <c r="H66" s="265"/>
      <c r="I66" s="546"/>
      <c r="J66" s="269"/>
      <c r="K66" s="269"/>
      <c r="L66" s="269"/>
      <c r="M66" s="270"/>
      <c r="N66" s="269"/>
      <c r="O66" s="269"/>
      <c r="P66" s="269"/>
      <c r="Q66" s="269"/>
      <c r="R66" s="269"/>
      <c r="S66" s="269"/>
      <c r="T66" s="270"/>
      <c r="U66" s="269"/>
      <c r="V66" s="270"/>
      <c r="AB66" s="248"/>
    </row>
    <row r="67" spans="2:45">
      <c r="B67" s="249"/>
      <c r="C67" s="34"/>
      <c r="D67" s="34"/>
      <c r="E67" s="249"/>
      <c r="F67" s="34"/>
      <c r="G67" s="249"/>
      <c r="H67" s="249"/>
      <c r="I67" s="249"/>
      <c r="J67" s="249"/>
      <c r="K67" s="249"/>
      <c r="L67" s="249"/>
      <c r="M67" s="249"/>
      <c r="N67" s="34"/>
      <c r="O67" s="226"/>
      <c r="P67" s="226"/>
      <c r="Q67" s="226"/>
      <c r="R67" s="226"/>
      <c r="S67" s="226"/>
      <c r="T67" s="249"/>
      <c r="U67" s="34"/>
      <c r="V67" s="34"/>
      <c r="W67" s="34"/>
      <c r="X67" s="34"/>
      <c r="Y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76" spans="2:45">
      <c r="G76" s="199"/>
    </row>
    <row r="77" spans="2:45">
      <c r="G77" s="199"/>
    </row>
    <row r="93" spans="7:7">
      <c r="G93" s="199"/>
    </row>
    <row r="94" spans="7:7">
      <c r="G94" s="199"/>
    </row>
    <row r="95" spans="7:7">
      <c r="G95" s="199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T68"/>
  <sheetViews>
    <sheetView topLeftCell="A6" zoomScale="80" workbookViewId="0">
      <selection activeCell="D129" sqref="D129"/>
    </sheetView>
  </sheetViews>
  <sheetFormatPr defaultColWidth="9.140625" defaultRowHeight="12.75"/>
  <cols>
    <col min="1" max="1" width="14.140625" customWidth="1"/>
    <col min="2" max="2" width="32.42578125" customWidth="1"/>
    <col min="3" max="4" width="9.140625" customWidth="1"/>
    <col min="5" max="5" width="16.7109375" customWidth="1"/>
  </cols>
  <sheetData>
    <row r="1" spans="1:20">
      <c r="C1" s="314"/>
      <c r="F1" s="229"/>
      <c r="G1" s="315"/>
      <c r="H1" s="57"/>
      <c r="I1" s="57"/>
      <c r="J1" s="57"/>
      <c r="K1" s="48"/>
      <c r="L1" s="316"/>
      <c r="M1" s="57"/>
      <c r="N1" s="57"/>
      <c r="O1" s="57"/>
      <c r="P1" s="57"/>
      <c r="Q1" s="57"/>
      <c r="R1" s="57"/>
      <c r="S1" s="8"/>
      <c r="T1" s="8"/>
    </row>
    <row r="2" spans="1:20">
      <c r="A2" s="317"/>
      <c r="B2" s="318"/>
      <c r="D2" s="225"/>
      <c r="E2" s="228"/>
      <c r="F2" s="226"/>
      <c r="H2" s="226"/>
      <c r="I2" s="225"/>
      <c r="J2" s="226"/>
      <c r="K2" s="226"/>
      <c r="L2" s="226"/>
      <c r="M2" s="55"/>
      <c r="N2" s="55"/>
      <c r="O2" s="55"/>
      <c r="P2" s="55"/>
      <c r="Q2" s="55"/>
      <c r="R2" s="55"/>
    </row>
    <row r="3" spans="1:20" ht="18">
      <c r="A3" s="15" t="s">
        <v>925</v>
      </c>
      <c r="B3" s="318"/>
      <c r="D3" s="225"/>
      <c r="E3" s="228"/>
      <c r="F3" s="226"/>
      <c r="H3" s="226"/>
      <c r="I3" s="225"/>
      <c r="J3" s="226"/>
      <c r="K3" s="226"/>
      <c r="L3" s="226"/>
      <c r="M3" s="55"/>
      <c r="N3" s="55"/>
      <c r="O3" s="55"/>
      <c r="P3" s="55"/>
      <c r="Q3" s="55"/>
      <c r="R3" s="55"/>
    </row>
    <row r="4" spans="1:20">
      <c r="A4" s="38"/>
      <c r="B4" s="227"/>
      <c r="C4" s="319"/>
      <c r="D4" s="319"/>
      <c r="E4" s="228"/>
      <c r="F4" s="319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8"/>
      <c r="T4" s="8"/>
    </row>
    <row r="5" spans="1:20">
      <c r="E5" s="228"/>
      <c r="K5" s="34"/>
      <c r="L5" s="34"/>
      <c r="M5" s="34"/>
      <c r="N5" s="34"/>
      <c r="O5" s="34"/>
      <c r="P5" s="34"/>
      <c r="Q5" s="34"/>
      <c r="R5" s="34"/>
      <c r="S5" s="295"/>
      <c r="T5" s="295"/>
    </row>
    <row r="6" spans="1:20" ht="18">
      <c r="A6" s="320" t="s">
        <v>589</v>
      </c>
      <c r="B6" s="321"/>
      <c r="C6" s="322"/>
      <c r="D6" s="322"/>
      <c r="E6" s="232" t="str">
        <f>"~FI_T: "&amp;Region</f>
        <v>~FI_T: FIN</v>
      </c>
      <c r="H6" s="226"/>
      <c r="I6" s="226"/>
      <c r="J6" s="226"/>
      <c r="K6" s="226"/>
      <c r="L6" s="547"/>
      <c r="M6" s="226"/>
      <c r="O6" s="226"/>
      <c r="P6" s="226"/>
      <c r="Q6" s="226"/>
      <c r="R6" s="226"/>
      <c r="S6" s="295"/>
      <c r="T6" s="295"/>
    </row>
    <row r="7" spans="1:20" ht="23.25" thickBot="1">
      <c r="A7" s="234" t="s">
        <v>529</v>
      </c>
      <c r="B7" s="234" t="s">
        <v>530</v>
      </c>
      <c r="C7" s="234" t="s">
        <v>531</v>
      </c>
      <c r="D7" s="234" t="s">
        <v>532</v>
      </c>
      <c r="E7" s="234" t="s">
        <v>323</v>
      </c>
      <c r="F7" s="324" t="s">
        <v>536</v>
      </c>
      <c r="G7" s="280" t="str">
        <f ca="1">"INPUT~"&amp;BaseYear</f>
        <v>INPUT~2010</v>
      </c>
      <c r="H7" s="548" t="str">
        <f ca="1">"ACT_BND~UP~"&amp;BaseYear</f>
        <v>ACT_BND~UP~2010</v>
      </c>
      <c r="I7" s="280" t="str">
        <f ca="1">"INPUT~"&amp;Auxyear</f>
        <v>INPUT~2017</v>
      </c>
      <c r="J7" s="548" t="str">
        <f ca="1">"ACT_BND~UP~"&amp;Auxyear</f>
        <v>ACT_BND~UP~2017</v>
      </c>
      <c r="K7" s="549" t="s">
        <v>547</v>
      </c>
      <c r="L7" s="235" t="s">
        <v>926</v>
      </c>
      <c r="M7" s="235" t="s">
        <v>537</v>
      </c>
    </row>
    <row r="8" spans="1:20">
      <c r="A8" s="329" t="s">
        <v>615</v>
      </c>
      <c r="B8" s="330" t="s">
        <v>927</v>
      </c>
      <c r="C8" s="331" t="str">
        <f ca="1">IF(OPEC,AuxData!R97,"GASNGA")</f>
        <v>GASNGA</v>
      </c>
      <c r="D8" s="30"/>
      <c r="E8" s="331"/>
      <c r="F8" s="332">
        <v>1</v>
      </c>
      <c r="G8" s="334">
        <f ca="1">IF(IEAData!$C$141&gt;=0,1,(IEAData!$Q$80-IEAData!$Q$94*0)/IEAData!$C$141)</f>
        <v>1</v>
      </c>
      <c r="H8" s="550"/>
      <c r="I8" s="334">
        <f ca="1">IF(AuxData!$C$141&gt;=0,1,(AuxData!$Q$80-AuxData!$Q$94*0)/AuxData!$C$141)</f>
        <v>1</v>
      </c>
      <c r="J8" s="550"/>
      <c r="K8" s="239"/>
      <c r="L8" s="239"/>
      <c r="M8" s="239"/>
    </row>
    <row r="9" spans="1:20">
      <c r="A9" s="107"/>
      <c r="B9" s="330"/>
      <c r="C9" s="331" t="str">
        <f ca="1">AuxData!G97</f>
        <v>GANGWG</v>
      </c>
      <c r="D9" s="30"/>
      <c r="E9" s="331"/>
      <c r="F9" s="332"/>
      <c r="G9" s="334">
        <f ca="1">IF(IEAData!$C$141&gt;=0,0,(IEAData!$F$80-IEAData!$F$94*0)/IEAData!$C$141)</f>
        <v>0</v>
      </c>
      <c r="H9" s="551"/>
      <c r="I9" s="334">
        <f ca="1">IF(AuxData!$C$141&gt;=0,0,(AuxData!$F$80-AuxData!$F$94*0)/AuxData!$C$141)</f>
        <v>0</v>
      </c>
      <c r="J9" s="551"/>
      <c r="K9" s="79"/>
      <c r="L9" s="239"/>
      <c r="M9" s="79"/>
    </row>
    <row r="10" spans="1:20">
      <c r="A10" s="305"/>
      <c r="B10" s="336"/>
      <c r="C10" s="45"/>
      <c r="D10" s="45" t="str">
        <f ca="1">AuxData!C130</f>
        <v>UPNNGA</v>
      </c>
      <c r="E10" s="337" t="s">
        <v>741</v>
      </c>
      <c r="F10" s="338"/>
      <c r="G10" s="340"/>
      <c r="H10" s="552"/>
      <c r="I10" s="340"/>
      <c r="J10" s="552"/>
      <c r="K10" s="87"/>
      <c r="L10" s="87"/>
      <c r="M10" s="87"/>
    </row>
    <row r="11" spans="1:20">
      <c r="A11" s="329" t="s">
        <v>616</v>
      </c>
      <c r="B11" s="330" t="s">
        <v>928</v>
      </c>
      <c r="C11" s="331" t="str">
        <f ca="1">IF(OPEC,AuxData!R97,"GASNGA")</f>
        <v>GASNGA</v>
      </c>
      <c r="D11" s="30"/>
      <c r="E11" s="331"/>
      <c r="F11" s="332">
        <v>1</v>
      </c>
      <c r="G11" s="334">
        <v>1</v>
      </c>
      <c r="H11" s="550"/>
      <c r="I11" s="334">
        <v>1</v>
      </c>
      <c r="J11" s="550"/>
      <c r="K11" s="239"/>
      <c r="L11" s="239"/>
      <c r="M11" s="239"/>
    </row>
    <row r="12" spans="1:20">
      <c r="A12" s="305"/>
      <c r="B12" s="336"/>
      <c r="C12" s="45"/>
      <c r="D12" s="45" t="str">
        <f ca="1">AuxData!$C$130</f>
        <v>UPNNGA</v>
      </c>
      <c r="E12" s="337" t="s">
        <v>741</v>
      </c>
      <c r="F12" s="338"/>
      <c r="G12" s="340"/>
      <c r="H12" s="552"/>
      <c r="I12" s="340"/>
      <c r="J12" s="552"/>
      <c r="K12" s="87"/>
      <c r="L12" s="87"/>
      <c r="M12" s="87"/>
    </row>
    <row r="13" spans="1:20">
      <c r="A13" s="329" t="s">
        <v>929</v>
      </c>
      <c r="B13" s="330" t="s">
        <v>930</v>
      </c>
      <c r="C13" s="342" t="str">
        <f ca="1">AuxData!C97</f>
        <v>CONHCO</v>
      </c>
      <c r="D13" s="331"/>
      <c r="E13" s="342"/>
      <c r="F13" s="332">
        <v>1</v>
      </c>
      <c r="G13" s="334">
        <f ca="1">IF(IEAData!$D$141&gt;=0,0.5,(IEAData!$B$80-IEAData!$B$94*0)/IEAData!$D$141)</f>
        <v>0</v>
      </c>
      <c r="H13" s="550"/>
      <c r="I13" s="334">
        <f ca="1">IF(AuxData!$D$141&gt;=0,0.5,(AuxData!$B$80-AuxData!$B$94*0)/AuxData!$D$141)</f>
        <v>0</v>
      </c>
      <c r="J13" s="550"/>
      <c r="K13" s="239"/>
      <c r="L13" s="239"/>
      <c r="M13" s="239"/>
    </row>
    <row r="14" spans="1:20">
      <c r="A14" s="107"/>
      <c r="B14" s="330"/>
      <c r="C14" s="342" t="str">
        <f ca="1">AuxData!D97</f>
        <v>CONBCO</v>
      </c>
      <c r="D14" s="30"/>
      <c r="E14" s="342"/>
      <c r="F14" s="553"/>
      <c r="G14" s="334">
        <f ca="1">IF(IEAData!$D$141&gt;=0,0.5,(IEAData!$C$80-IEAData!$C$94*0)/IEAData!$D$141)</f>
        <v>0</v>
      </c>
      <c r="H14" s="554"/>
      <c r="I14" s="334">
        <f ca="1">IF(AuxData!$D$141&gt;=0,0.5,(AuxData!$C$80-AuxData!$C$94*0)/AuxData!$D$141)</f>
        <v>0</v>
      </c>
      <c r="J14" s="554"/>
      <c r="K14" s="79"/>
      <c r="L14" s="395"/>
      <c r="M14" s="79"/>
    </row>
    <row r="15" spans="1:20">
      <c r="A15" s="107"/>
      <c r="B15" s="330"/>
      <c r="C15" s="342" t="str">
        <f ca="1">AuxData!E97</f>
        <v>CONOVC</v>
      </c>
      <c r="D15" s="30"/>
      <c r="E15" s="342"/>
      <c r="F15" s="332"/>
      <c r="G15" s="334">
        <f ca="1">IF(IEAData!$D$141&gt;=0,0,(IEAData!$D$80-IEAData!$D$94*0)/IEAData!$D$141)</f>
        <v>0</v>
      </c>
      <c r="H15" s="551"/>
      <c r="I15" s="334">
        <f ca="1">IF(AuxData!$D$141&gt;=0,0,(AuxData!$D$80-AuxData!$D$94*0)/AuxData!$D$141)</f>
        <v>0</v>
      </c>
      <c r="J15" s="551"/>
      <c r="K15" s="79"/>
      <c r="L15" s="239"/>
      <c r="M15" s="79"/>
    </row>
    <row r="16" spans="1:20">
      <c r="A16" s="107"/>
      <c r="B16" s="330"/>
      <c r="C16" s="342" t="str">
        <f ca="1">AuxData!F97</f>
        <v>CONGSC</v>
      </c>
      <c r="D16" s="281"/>
      <c r="E16" s="342"/>
      <c r="F16" s="343"/>
      <c r="G16" s="334">
        <f ca="1">IF(IEAData!$D$141&gt;=0,0,(IEAData!$E$80-IEAData!$E$94*0)/IEAData!$D$141)</f>
        <v>0</v>
      </c>
      <c r="H16" s="551"/>
      <c r="I16" s="334">
        <f ca="1">IF(AuxData!$D$141&gt;=0,0,(AuxData!$E$80-AuxData!$E$94*0)/AuxData!$D$141)</f>
        <v>0</v>
      </c>
      <c r="J16" s="551"/>
      <c r="K16" s="79"/>
      <c r="L16" s="239"/>
      <c r="M16" s="79"/>
    </row>
    <row r="17" spans="1:13">
      <c r="A17" s="107"/>
      <c r="B17" s="330"/>
      <c r="C17" s="342" t="str">
        <f ca="1">AuxData!H97</f>
        <v>GANCOG</v>
      </c>
      <c r="D17" s="30"/>
      <c r="E17" s="342"/>
      <c r="F17" s="555"/>
      <c r="G17" s="334">
        <f ca="1">IF(IEAData!$D$141&gt;=0,0,(IEAData!$G$80-IEAData!$G$94*0)/IEAData!$D$141)</f>
        <v>0.77403918694630647</v>
      </c>
      <c r="H17" s="556"/>
      <c r="I17" s="334">
        <f ca="1">IF(AuxData!$D$141&gt;=0,0,(AuxData!$G$80-AuxData!$G$94*0)/AuxData!$D$141)</f>
        <v>0.73107891724422969</v>
      </c>
      <c r="J17" s="556"/>
      <c r="K17" s="79"/>
      <c r="L17" s="286"/>
      <c r="M17" s="79"/>
    </row>
    <row r="18" spans="1:13">
      <c r="A18" s="107"/>
      <c r="B18" s="330"/>
      <c r="C18" s="342" t="str">
        <f ca="1">AuxData!I97</f>
        <v>GANBFG</v>
      </c>
      <c r="D18" s="30"/>
      <c r="E18" s="342"/>
      <c r="F18" s="343"/>
      <c r="G18" s="334">
        <f ca="1">IF(IEAData!$D$141&gt;=0,0,(IEAData!$H$80-IEAData!$H$94*0)/IEAData!$D$141)</f>
        <v>0.22596081305369345</v>
      </c>
      <c r="H18" s="551"/>
      <c r="I18" s="334">
        <f ca="1">IF(AuxData!$D$141&gt;=0,0,(AuxData!$H$80-AuxData!$H$94*0)/AuxData!$D$141)</f>
        <v>0.26892108275577037</v>
      </c>
      <c r="J18" s="551"/>
      <c r="K18" s="79"/>
      <c r="L18" s="239"/>
      <c r="M18" s="79"/>
    </row>
    <row r="19" spans="1:13">
      <c r="A19" s="107"/>
      <c r="B19" s="330"/>
      <c r="C19" s="342" t="str">
        <f ca="1">AuxData!J97</f>
        <v>GANOXY</v>
      </c>
      <c r="D19" s="30"/>
      <c r="E19" s="342"/>
      <c r="F19" s="343"/>
      <c r="G19" s="334">
        <f ca="1">IF(IEAData!$D$141&gt;=0,0,(IEAData!$I$80-IEAData!$I$94*0)/IEAData!$D$141)</f>
        <v>0.14155152717004721</v>
      </c>
      <c r="H19" s="551"/>
      <c r="I19" s="334">
        <f ca="1">IF(AuxData!$D$141&gt;=0,0,(AuxData!$I$80-AuxData!$I$94*0)/AuxData!$D$141)</f>
        <v>0.13461530227307222</v>
      </c>
      <c r="J19" s="551"/>
      <c r="K19" s="79"/>
      <c r="L19" s="239"/>
      <c r="M19" s="79"/>
    </row>
    <row r="20" spans="1:13">
      <c r="A20" s="349"/>
      <c r="B20" s="336"/>
      <c r="C20" s="45"/>
      <c r="D20" s="45" t="str">
        <f ca="1">AuxData!D130</f>
        <v>UPNCOA</v>
      </c>
      <c r="E20" s="337" t="s">
        <v>805</v>
      </c>
      <c r="F20" s="345"/>
      <c r="G20" s="347"/>
      <c r="H20" s="552"/>
      <c r="I20" s="347"/>
      <c r="J20" s="552"/>
      <c r="K20" s="87"/>
      <c r="L20" s="87"/>
      <c r="M20" s="87"/>
    </row>
    <row r="21" spans="1:13">
      <c r="A21" s="329" t="s">
        <v>617</v>
      </c>
      <c r="B21" s="330" t="s">
        <v>931</v>
      </c>
      <c r="C21" s="331" t="str">
        <f ca="1">SCND_TRF!$C$9</f>
        <v>COAHCO</v>
      </c>
      <c r="D21" s="30"/>
      <c r="E21" s="331"/>
      <c r="F21" s="332">
        <v>1</v>
      </c>
      <c r="G21" s="334">
        <v>1</v>
      </c>
      <c r="H21" s="550"/>
      <c r="I21" s="334">
        <v>1</v>
      </c>
      <c r="J21" s="550"/>
      <c r="K21" s="239"/>
      <c r="L21" s="239"/>
      <c r="M21" s="239"/>
    </row>
    <row r="22" spans="1:13">
      <c r="A22" s="305"/>
      <c r="B22" s="336"/>
      <c r="C22" s="45"/>
      <c r="D22" s="45" t="str">
        <f ca="1">AuxData!$D$130</f>
        <v>UPNCOA</v>
      </c>
      <c r="E22" s="337" t="s">
        <v>805</v>
      </c>
      <c r="F22" s="338"/>
      <c r="G22" s="340"/>
      <c r="H22" s="552"/>
      <c r="I22" s="340"/>
      <c r="J22" s="552"/>
      <c r="K22" s="87"/>
      <c r="L22" s="87"/>
      <c r="M22" s="87"/>
    </row>
    <row r="23" spans="1:13">
      <c r="A23" s="329" t="s">
        <v>618</v>
      </c>
      <c r="B23" s="330" t="s">
        <v>932</v>
      </c>
      <c r="C23" s="331" t="str">
        <f ca="1">AuxData!D97</f>
        <v>CONBCO</v>
      </c>
      <c r="D23" s="30"/>
      <c r="E23" s="331"/>
      <c r="F23" s="332">
        <v>1</v>
      </c>
      <c r="G23" s="334">
        <v>1</v>
      </c>
      <c r="H23" s="550"/>
      <c r="I23" s="334">
        <v>1</v>
      </c>
      <c r="J23" s="550"/>
      <c r="K23" s="239"/>
      <c r="L23" s="239"/>
      <c r="M23" s="239"/>
    </row>
    <row r="24" spans="1:13">
      <c r="A24" s="305"/>
      <c r="B24" s="336"/>
      <c r="C24" s="45"/>
      <c r="D24" s="45" t="str">
        <f ca="1">AuxData!$D$130</f>
        <v>UPNCOA</v>
      </c>
      <c r="E24" s="337" t="s">
        <v>805</v>
      </c>
      <c r="F24" s="338"/>
      <c r="G24" s="340"/>
      <c r="H24" s="552"/>
      <c r="I24" s="340"/>
      <c r="J24" s="552"/>
      <c r="K24" s="87"/>
      <c r="L24" s="87"/>
      <c r="M24" s="87"/>
    </row>
    <row r="25" spans="1:13">
      <c r="A25" s="329" t="s">
        <v>933</v>
      </c>
      <c r="B25" s="330" t="s">
        <v>934</v>
      </c>
      <c r="C25" s="342" t="str">
        <f ca="1">AuxData!T97</f>
        <v>OINCRH</v>
      </c>
      <c r="D25" s="30"/>
      <c r="E25" s="342"/>
      <c r="F25" s="343"/>
      <c r="G25" s="334">
        <f ca="1">IF(IEAData!$E$141&gt;=0,1,(IEAData!$R$80-IEAData!$R$94*0)*IEAData!C8/IEAData!$E$141)</f>
        <v>1</v>
      </c>
      <c r="H25" s="550"/>
      <c r="I25" s="334">
        <f ca="1">IF(AuxData!$E$141&gt;=0,1,(AuxData!$R$80-AuxData!$R$94*0)*AuxData!C8/AuxData!$E$141)</f>
        <v>1</v>
      </c>
      <c r="J25" s="550"/>
      <c r="K25" s="239"/>
      <c r="L25" s="239"/>
      <c r="M25" s="239"/>
    </row>
    <row r="26" spans="1:13">
      <c r="A26" s="107"/>
      <c r="B26" s="330"/>
      <c r="C26" s="342" t="str">
        <f ca="1">AuxData!V97</f>
        <v>OINNGL</v>
      </c>
      <c r="D26" s="30"/>
      <c r="E26" s="342"/>
      <c r="F26" s="343"/>
      <c r="G26" s="334">
        <f ca="1">IF(IEAData!$E$141&gt;=0,0,(IEAData!$S$80-IEAData!$S$94*0)/IEAData!$E$141)</f>
        <v>0</v>
      </c>
      <c r="H26" s="551"/>
      <c r="I26" s="334">
        <f ca="1">IF(AuxData!$E$141&gt;=0,0,(AuxData!$S$80-AuxData!$S$94*0)/AuxData!$E$141)</f>
        <v>0</v>
      </c>
      <c r="J26" s="551"/>
      <c r="K26" s="79"/>
      <c r="L26" s="239"/>
      <c r="M26" s="79"/>
    </row>
    <row r="27" spans="1:13">
      <c r="A27" s="107"/>
      <c r="B27" s="330"/>
      <c r="C27" s="342" t="str">
        <f ca="1">AuxData!W97</f>
        <v>OINFEE</v>
      </c>
      <c r="D27" s="30"/>
      <c r="E27" s="342"/>
      <c r="F27" s="343"/>
      <c r="G27" s="334">
        <f ca="1">IF(IEAData!$E$141&gt;=0,0,(IEAData!$T$80-IEAData!$T$94*0)/IEAData!$E$141)</f>
        <v>0</v>
      </c>
      <c r="H27" s="551"/>
      <c r="I27" s="334">
        <f ca="1">IF(AuxData!$E$141&gt;=0,0,(AuxData!$T$80-AuxData!$T$94*0)/AuxData!$E$141)</f>
        <v>0</v>
      </c>
      <c r="J27" s="551"/>
      <c r="K27" s="79"/>
      <c r="L27" s="239"/>
      <c r="M27" s="79"/>
    </row>
    <row r="28" spans="1:13">
      <c r="A28" s="107"/>
      <c r="B28" s="330"/>
      <c r="C28" s="342" t="str">
        <f ca="1">AuxData!X97</f>
        <v>OINADD</v>
      </c>
      <c r="D28" s="30"/>
      <c r="E28" s="342"/>
      <c r="F28" s="343"/>
      <c r="G28" s="334">
        <f ca="1">IF(IEAData!$E$141&gt;=0,0,(IEAData!$U$80-IEAData!$U$94*0)/IEAData!$E$141)</f>
        <v>0</v>
      </c>
      <c r="H28" s="551"/>
      <c r="I28" s="334">
        <f ca="1">IF(AuxData!$E$141&gt;=0,0,(AuxData!$U$80-AuxData!$U$94*0)/AuxData!$E$141)</f>
        <v>0</v>
      </c>
      <c r="J28" s="551"/>
      <c r="K28" s="79"/>
      <c r="L28" s="239"/>
      <c r="M28" s="79"/>
    </row>
    <row r="29" spans="1:13">
      <c r="A29" s="107"/>
      <c r="B29" s="330"/>
      <c r="C29" s="342" t="str">
        <f ca="1">AuxData!Y97</f>
        <v>OINNCR</v>
      </c>
      <c r="D29" s="281"/>
      <c r="E29" s="342"/>
      <c r="F29" s="555"/>
      <c r="G29" s="334">
        <f ca="1">IF(IEAData!$E$141&gt;=0,0,(IEAData!$V$80-IEAData!$V$94*0)/IEAData!$E$141)</f>
        <v>0</v>
      </c>
      <c r="H29" s="556"/>
      <c r="I29" s="334">
        <f ca="1">IF(AuxData!$E$141&gt;=0,0,(AuxData!$V$80-AuxData!$V$94*0)/AuxData!$E$141)</f>
        <v>0</v>
      </c>
      <c r="J29" s="556"/>
      <c r="K29" s="79"/>
      <c r="L29" s="286"/>
      <c r="M29" s="79"/>
    </row>
    <row r="30" spans="1:13">
      <c r="A30" s="349"/>
      <c r="B30" s="336"/>
      <c r="C30" s="557"/>
      <c r="D30" s="45" t="str">
        <f ca="1">AuxData!E130</f>
        <v>UPNCRD</v>
      </c>
      <c r="E30" s="337" t="s">
        <v>787</v>
      </c>
      <c r="F30" s="345"/>
      <c r="G30" s="347"/>
      <c r="H30" s="552"/>
      <c r="I30" s="347"/>
      <c r="J30" s="552"/>
      <c r="K30" s="87"/>
      <c r="L30" s="87"/>
      <c r="M30" s="87"/>
    </row>
    <row r="31" spans="1:13">
      <c r="A31" s="329" t="s">
        <v>935</v>
      </c>
      <c r="B31" s="330" t="s">
        <v>934</v>
      </c>
      <c r="C31" s="331" t="str">
        <f ca="1">AuxData!U97</f>
        <v>OINCRD</v>
      </c>
      <c r="D31" s="30"/>
      <c r="E31" s="558"/>
      <c r="F31" s="343"/>
      <c r="G31" s="334">
        <v>1</v>
      </c>
      <c r="H31" s="551"/>
      <c r="I31" s="334">
        <v>1</v>
      </c>
      <c r="J31" s="551"/>
      <c r="K31" s="79"/>
      <c r="L31" s="79"/>
      <c r="M31" s="79"/>
    </row>
    <row r="32" spans="1:13">
      <c r="A32" s="559"/>
      <c r="B32" s="330"/>
      <c r="C32" s="331"/>
      <c r="D32" s="45" t="str">
        <f ca="1">AuxData!$E$130</f>
        <v>UPNCRD</v>
      </c>
      <c r="E32" s="558"/>
      <c r="F32" s="343"/>
      <c r="G32" s="560"/>
      <c r="H32" s="551"/>
      <c r="I32" s="560"/>
      <c r="J32" s="551"/>
      <c r="K32" s="79"/>
      <c r="L32" s="79"/>
      <c r="M32" s="79"/>
    </row>
    <row r="33" spans="1:13">
      <c r="A33" s="329" t="s">
        <v>619</v>
      </c>
      <c r="B33" s="330" t="s">
        <v>936</v>
      </c>
      <c r="C33" s="342" t="s">
        <v>276</v>
      </c>
      <c r="D33" s="30"/>
      <c r="E33" s="342"/>
      <c r="F33" s="343"/>
      <c r="G33" s="334">
        <f ca="1">IF(IEAData!$F$141&gt;=0,0,(IEAData!$Z$80-IEAData!$Z$94*0)/IEAData!$F$141)</f>
        <v>0</v>
      </c>
      <c r="H33" s="550"/>
      <c r="I33" s="334">
        <f ca="1">IF(AuxData!$F$141&gt;=0,0,(AuxData!$Z$80-AuxData!$Z$94*0)/AuxData!$F$141)</f>
        <v>0</v>
      </c>
      <c r="J33" s="550"/>
      <c r="K33" s="239"/>
      <c r="L33" s="239"/>
      <c r="M33" s="239"/>
    </row>
    <row r="34" spans="1:13">
      <c r="A34" s="107"/>
      <c r="B34" s="330"/>
      <c r="C34" s="342" t="s">
        <v>286</v>
      </c>
      <c r="D34" s="30"/>
      <c r="E34" s="342"/>
      <c r="F34" s="343"/>
      <c r="G34" s="334">
        <f ca="1">IF(IEAData!$F$141&gt;=0,0,(IEAData!$AD$80-IEAData!$AD$94*0)/IEAData!$F$141)</f>
        <v>0</v>
      </c>
      <c r="H34" s="551"/>
      <c r="I34" s="334">
        <f ca="1">IF(AuxData!$F$141&gt;=0,0,(AuxData!$AD$80-AuxData!$AD$94*0)/AuxData!$F$141)</f>
        <v>0</v>
      </c>
      <c r="J34" s="551"/>
      <c r="K34" s="79"/>
      <c r="L34" s="239"/>
      <c r="M34" s="79"/>
    </row>
    <row r="35" spans="1:13">
      <c r="A35" s="107"/>
      <c r="B35" s="330"/>
      <c r="C35" s="342" t="s">
        <v>274</v>
      </c>
      <c r="D35" s="30"/>
      <c r="E35" s="342"/>
      <c r="F35" s="343"/>
      <c r="G35" s="334">
        <f ca="1">IF(IEAData!$F$141&gt;=0,0,(IEAData!$AE$80-IEAData!$AE$94*0)/IEAData!$F$141)</f>
        <v>0</v>
      </c>
      <c r="H35" s="551"/>
      <c r="I35" s="334">
        <f ca="1">IF(AuxData!$F$141&gt;=0,0,(AuxData!$AE$80-AuxData!$AE$94*0)/AuxData!$F$141)</f>
        <v>0</v>
      </c>
      <c r="J35" s="551"/>
      <c r="K35" s="79"/>
      <c r="L35" s="239"/>
      <c r="M35" s="79"/>
    </row>
    <row r="36" spans="1:13">
      <c r="A36" s="107"/>
      <c r="B36" s="330"/>
      <c r="C36" s="342" t="s">
        <v>287</v>
      </c>
      <c r="D36" s="30"/>
      <c r="E36" s="342"/>
      <c r="F36" s="343"/>
      <c r="G36" s="334">
        <f ca="1">IF(IEAData!$F$141&gt;=0,1,(IEAData!$AF$80-IEAData!$AF$94*0)/IEAData!$F$141)</f>
        <v>0.30092494442459011</v>
      </c>
      <c r="H36" s="551"/>
      <c r="I36" s="334">
        <f ca="1">IF(AuxData!$F$141&gt;=0,1,(AuxData!$AF$80-AuxData!$AF$94*0)/AuxData!$F$141)</f>
        <v>0</v>
      </c>
      <c r="J36" s="551"/>
      <c r="K36" s="79"/>
      <c r="L36" s="239"/>
      <c r="M36" s="79"/>
    </row>
    <row r="37" spans="1:13">
      <c r="A37" s="107"/>
      <c r="B37" s="330"/>
      <c r="C37" s="342" t="s">
        <v>278</v>
      </c>
      <c r="D37" s="30"/>
      <c r="E37" s="342"/>
      <c r="F37" s="343"/>
      <c r="G37" s="334">
        <f ca="1">IF(IEAData!$F$141&gt;=0,0,(IEAData!$AG$80-IEAData!$AG$94*0)/IEAData!$F$141)</f>
        <v>0</v>
      </c>
      <c r="H37" s="551"/>
      <c r="I37" s="334">
        <f ca="1">IF(AuxData!$F$141&gt;=0,0,(AuxData!$AG$80-AuxData!$AG$94*0)/AuxData!$F$141)</f>
        <v>0</v>
      </c>
      <c r="J37" s="551"/>
      <c r="K37" s="79"/>
      <c r="L37" s="239"/>
      <c r="M37" s="79"/>
    </row>
    <row r="38" spans="1:13">
      <c r="A38" s="107"/>
      <c r="B38" s="330"/>
      <c r="C38" s="342" t="s">
        <v>752</v>
      </c>
      <c r="D38" s="30"/>
      <c r="E38" s="342"/>
      <c r="F38" s="343"/>
      <c r="G38" s="334">
        <f ca="1">IF(IEAData!$F$141&gt;=0,0,(IEAData!$AH$80-IEAData!$AH$94*0)/IEAData!$F$141)</f>
        <v>0</v>
      </c>
      <c r="H38" s="551"/>
      <c r="I38" s="334">
        <f ca="1">IF(AuxData!$F$141&gt;=0,0,(AuxData!$AH$80-AuxData!$AH$94*0)/AuxData!$F$141)</f>
        <v>0</v>
      </c>
      <c r="J38" s="551"/>
      <c r="K38" s="79"/>
      <c r="L38" s="239"/>
      <c r="M38" s="79"/>
    </row>
    <row r="39" spans="1:13">
      <c r="A39" s="107"/>
      <c r="B39" s="330"/>
      <c r="C39" s="342" t="s">
        <v>748</v>
      </c>
      <c r="D39" s="30"/>
      <c r="E39" s="342"/>
      <c r="F39" s="343"/>
      <c r="G39" s="334">
        <f ca="1">IF(IEAData!$F$141&gt;=0,0,(IEAData!$AI$80-IEAData!$AI$94*0)/IEAData!$F$141)</f>
        <v>0</v>
      </c>
      <c r="H39" s="551"/>
      <c r="I39" s="334">
        <f ca="1">IF(AuxData!$F$141&gt;=0,0,(AuxData!$AI$80-AuxData!$AI$94*0)/AuxData!$F$141)</f>
        <v>0</v>
      </c>
      <c r="J39" s="551"/>
      <c r="K39" s="79"/>
      <c r="L39" s="239"/>
      <c r="M39" s="79"/>
    </row>
    <row r="40" spans="1:13">
      <c r="A40" s="107"/>
      <c r="B40" s="330"/>
      <c r="C40" s="342" t="s">
        <v>744</v>
      </c>
      <c r="D40" s="30"/>
      <c r="E40" s="342"/>
      <c r="F40" s="343"/>
      <c r="G40" s="334">
        <f ca="1">IF(IEAData!$F$141&gt;=0,0,(IEAData!$AJ$80-IEAData!$AJ$94*0)/IEAData!$F$141)</f>
        <v>0</v>
      </c>
      <c r="H40" s="551"/>
      <c r="I40" s="334">
        <f ca="1">IF(AuxData!$F$141&gt;=0,0,(AuxData!$AJ$80-AuxData!$AJ$94*0)/AuxData!$F$141)</f>
        <v>0</v>
      </c>
      <c r="J40" s="551"/>
      <c r="K40" s="79"/>
      <c r="L40" s="239"/>
      <c r="M40" s="79"/>
    </row>
    <row r="41" spans="1:13">
      <c r="A41" s="107"/>
      <c r="B41" s="330"/>
      <c r="C41" s="342" t="s">
        <v>750</v>
      </c>
      <c r="D41" s="30"/>
      <c r="E41" s="342"/>
      <c r="F41" s="343"/>
      <c r="G41" s="334">
        <f ca="1">IF(IEAData!$F$141&gt;=0,0,(IEAData!$AK$80-IEAData!$AK$94*0)/IEAData!$F$141)</f>
        <v>0</v>
      </c>
      <c r="H41" s="551"/>
      <c r="I41" s="334">
        <f ca="1">IF(AuxData!$F$141&gt;=0,0,(AuxData!$AK$80-AuxData!$AK$94*0)/AuxData!$F$141)</f>
        <v>0</v>
      </c>
      <c r="J41" s="551"/>
      <c r="K41" s="79"/>
      <c r="L41" s="239"/>
      <c r="M41" s="79"/>
    </row>
    <row r="42" spans="1:13">
      <c r="A42" s="107"/>
      <c r="B42" s="330"/>
      <c r="C42" s="342" t="s">
        <v>284</v>
      </c>
      <c r="D42" s="30"/>
      <c r="E42" s="342"/>
      <c r="F42" s="343"/>
      <c r="G42" s="334">
        <f ca="1">IF(IEAData!$F$141&gt;=0,0,(IEAData!$AM$80-IEAData!$AM$94*0)/IEAData!$F$141)</f>
        <v>0.11574222701419216</v>
      </c>
      <c r="H42" s="551"/>
      <c r="I42" s="334">
        <f ca="1">IF(AuxData!$F$141&gt;=0,0,(AuxData!$AM$80-AuxData!$AM$94*0)/AuxData!$F$141)</f>
        <v>0</v>
      </c>
      <c r="J42" s="551"/>
      <c r="K42" s="79"/>
      <c r="L42" s="239"/>
      <c r="M42" s="79"/>
    </row>
    <row r="43" spans="1:13">
      <c r="A43" s="107"/>
      <c r="B43" s="330"/>
      <c r="C43" s="342" t="s">
        <v>304</v>
      </c>
      <c r="D43" s="30"/>
      <c r="E43" s="342"/>
      <c r="F43" s="343"/>
      <c r="G43" s="334">
        <f ca="1">IF(IEAData!$F$141&gt;=0,0,(IEAData!$AL$80-IEAData!$AL$94*0)/IEAData!$F$141)</f>
        <v>0.58333282856121782</v>
      </c>
      <c r="H43" s="551"/>
      <c r="I43" s="334">
        <f ca="1">IF(AuxData!$F$141&gt;=0,0,(AuxData!$AL$80-AuxData!$AL$94*0)/AuxData!$F$141)</f>
        <v>1</v>
      </c>
      <c r="J43" s="551"/>
      <c r="K43" s="79"/>
      <c r="L43" s="239"/>
      <c r="M43" s="79"/>
    </row>
    <row r="44" spans="1:13">
      <c r="A44" s="106"/>
      <c r="B44" s="336"/>
      <c r="C44" s="45"/>
      <c r="D44" s="45" t="str">
        <f ca="1">AuxData!F130</f>
        <v>UPNRPP</v>
      </c>
      <c r="E44" s="337" t="s">
        <v>788</v>
      </c>
      <c r="F44" s="345"/>
      <c r="G44" s="347"/>
      <c r="H44" s="552"/>
      <c r="I44" s="347"/>
      <c r="J44" s="552"/>
      <c r="K44" s="87"/>
      <c r="L44" s="87"/>
      <c r="M44" s="87"/>
    </row>
    <row r="45" spans="1:13">
      <c r="A45" s="329" t="s">
        <v>620</v>
      </c>
      <c r="B45" s="330" t="s">
        <v>937</v>
      </c>
      <c r="C45" s="342" t="str">
        <f ca="1">UPS_Emi!$L28</f>
        <v>GASRFG</v>
      </c>
      <c r="D45" s="30"/>
      <c r="E45" s="342"/>
      <c r="F45" s="343">
        <v>1</v>
      </c>
      <c r="G45" s="334">
        <f ca="1">IF(IEAData!$G$141=0,1,(IEAData!$W$80-IEAData!$W$94*0)/IEAData!$G$141)</f>
        <v>1</v>
      </c>
      <c r="H45" s="550"/>
      <c r="I45" s="334">
        <f ca="1">IF(AuxData!$G$141=0,1,(AuxData!$W$80-AuxData!$W$94*0)/AuxData!$G$141)</f>
        <v>1</v>
      </c>
      <c r="J45" s="550"/>
      <c r="K45" s="239"/>
      <c r="L45" s="239"/>
      <c r="M45" s="239"/>
    </row>
    <row r="46" spans="1:13">
      <c r="A46" s="107"/>
      <c r="B46" s="330"/>
      <c r="C46" s="342" t="str">
        <f ca="1">UPS_Emi!$L29</f>
        <v>GASETH</v>
      </c>
      <c r="D46" s="30"/>
      <c r="E46" s="342"/>
      <c r="F46" s="343"/>
      <c r="G46" s="334">
        <f ca="1">IF(IEAData!$G$141=0,0,(IEAData!$X$80-IEAData!$X$94*0)/IEAData!$G$141)</f>
        <v>0</v>
      </c>
      <c r="H46" s="551"/>
      <c r="I46" s="334">
        <f ca="1">IF(AuxData!$G$141=0,0,(AuxData!$X$80-AuxData!$X$94*0)/AuxData!$G$141)</f>
        <v>0</v>
      </c>
      <c r="J46" s="551"/>
      <c r="K46" s="79"/>
      <c r="L46" s="239"/>
      <c r="M46" s="79"/>
    </row>
    <row r="47" spans="1:13">
      <c r="A47" s="107"/>
      <c r="B47" s="330"/>
      <c r="C47" s="342" t="str">
        <f ca="1">UPS_Emi!$L30</f>
        <v>OILLPG</v>
      </c>
      <c r="D47" s="30"/>
      <c r="E47" s="342"/>
      <c r="F47" s="343"/>
      <c r="G47" s="334">
        <f ca="1">IF(IEAData!$G$141=0,0,(IEAData!$Y$80-IEAData!$Y$94*0)/IEAData!$G$141)</f>
        <v>0</v>
      </c>
      <c r="H47" s="551"/>
      <c r="I47" s="334">
        <f ca="1">IF(AuxData!$G$141=0,0,(AuxData!$Y$80-AuxData!$Y$94*0)/AuxData!$G$141)</f>
        <v>0</v>
      </c>
      <c r="J47" s="551"/>
      <c r="K47" s="79"/>
      <c r="L47" s="239"/>
      <c r="M47" s="79"/>
    </row>
    <row r="48" spans="1:13">
      <c r="A48" s="349"/>
      <c r="B48" s="336"/>
      <c r="C48" s="45"/>
      <c r="D48" s="45" t="str">
        <f ca="1">AuxData!G130</f>
        <v>UPNRPG</v>
      </c>
      <c r="E48" s="337" t="s">
        <v>742</v>
      </c>
      <c r="F48" s="345"/>
      <c r="G48" s="347"/>
      <c r="H48" s="552"/>
      <c r="I48" s="347"/>
      <c r="J48" s="552"/>
      <c r="K48" s="87"/>
      <c r="L48" s="87"/>
      <c r="M48" s="87"/>
    </row>
    <row r="49" spans="1:20">
      <c r="A49" s="329" t="s">
        <v>636</v>
      </c>
      <c r="B49" s="330" t="s">
        <v>938</v>
      </c>
      <c r="C49" s="342" t="str">
        <f ca="1">AuxData!K97</f>
        <v>BIOCHR</v>
      </c>
      <c r="D49" s="30"/>
      <c r="E49" s="342"/>
      <c r="F49" s="343">
        <v>1</v>
      </c>
      <c r="G49" s="334">
        <f ca="1">IF(IEAData!$H$141&gt;=0,0,(IEAData!$J$80-IEAData!$J$94*0)/IEAData!$H$141)</f>
        <v>0</v>
      </c>
      <c r="H49" s="550"/>
      <c r="I49" s="334">
        <f ca="1">IF(AuxData!$H$141&gt;=0,0,(AuxData!$J$80-AuxData!$J$94*0)/AuxData!$H$141)</f>
        <v>0</v>
      </c>
      <c r="J49" s="550"/>
      <c r="K49" s="239"/>
      <c r="L49" s="239"/>
      <c r="M49" s="239"/>
    </row>
    <row r="50" spans="1:20">
      <c r="A50" s="107"/>
      <c r="B50" s="330"/>
      <c r="C50" s="342" t="str">
        <f ca="1">AuxData!L97</f>
        <v>BIOBSL</v>
      </c>
      <c r="D50" s="30"/>
      <c r="E50" s="342"/>
      <c r="F50" s="343"/>
      <c r="G50" s="334">
        <f ca="1">IF(IEAData!$H$141&gt;=0,1,(IEAData!$K$80-IEAData!$K$94*0)/IEAData!$H$141)</f>
        <v>1</v>
      </c>
      <c r="H50" s="551"/>
      <c r="I50" s="334">
        <f ca="1">IF(AuxData!$H$141&gt;=0,1,(AuxData!$K$80-AuxData!$K$94*0)/AuxData!$H$141)</f>
        <v>1</v>
      </c>
      <c r="J50" s="551"/>
      <c r="K50" s="79"/>
      <c r="L50" s="239"/>
      <c r="M50" s="79"/>
    </row>
    <row r="51" spans="1:20">
      <c r="A51" s="107"/>
      <c r="B51" s="330"/>
      <c r="C51" s="342" t="str">
        <f ca="1">AuxData!M97</f>
        <v>BIOBIN</v>
      </c>
      <c r="D51" s="30"/>
      <c r="E51" s="342"/>
      <c r="F51" s="343"/>
      <c r="G51" s="334">
        <f ca="1">IF(IEAData!$H$141&gt;=0,0,(IEAData!$L$80-IEAData!$L$94*0)/IEAData!$H$141)</f>
        <v>0</v>
      </c>
      <c r="H51" s="551"/>
      <c r="I51" s="334">
        <f ca="1">IF(AuxData!$H$141&gt;=0,0,(AuxData!$L$80-AuxData!$L$94*0)/AuxData!$H$141)</f>
        <v>0</v>
      </c>
      <c r="J51" s="551"/>
      <c r="K51" s="79"/>
      <c r="L51" s="239"/>
      <c r="M51" s="79"/>
    </row>
    <row r="52" spans="1:20">
      <c r="A52" s="107"/>
      <c r="B52" s="330"/>
      <c r="C52" s="342" t="str">
        <f ca="1">AuxData!N97</f>
        <v>BIOBMU</v>
      </c>
      <c r="D52" s="30"/>
      <c r="E52" s="342"/>
      <c r="F52" s="343"/>
      <c r="G52" s="334">
        <f ca="1">IF(IEAData!$H$141&gt;=0,0,(IEAData!$M$80-IEAData!$M$94*0)/IEAData!$H$141)</f>
        <v>0</v>
      </c>
      <c r="H52" s="551"/>
      <c r="I52" s="334">
        <f ca="1">IF(AuxData!$H$141&gt;=0,0,(AuxData!$M$80-AuxData!$M$94*0)/AuxData!$H$141)</f>
        <v>0</v>
      </c>
      <c r="J52" s="551"/>
      <c r="K52" s="79"/>
      <c r="L52" s="239"/>
      <c r="M52" s="79"/>
    </row>
    <row r="53" spans="1:20">
      <c r="A53" s="107"/>
      <c r="B53" s="330"/>
      <c r="C53" s="342" t="str">
        <f ca="1">AuxData!O97</f>
        <v>BIOGAS</v>
      </c>
      <c r="D53" s="330"/>
      <c r="E53" s="342"/>
      <c r="F53" s="343"/>
      <c r="G53" s="334">
        <f ca="1">IF(IEAData!$H$141&gt;=0,0,(IEAData!$N$80-IEAData!$N$94*0)/IEAData!$H$141)</f>
        <v>0</v>
      </c>
      <c r="H53" s="551"/>
      <c r="I53" s="334">
        <f ca="1">IF(AuxData!$H$141&gt;=0,0,(AuxData!$N$80-AuxData!$N$94*0)/AuxData!$H$141)</f>
        <v>0</v>
      </c>
      <c r="J53" s="551"/>
      <c r="K53" s="79"/>
      <c r="L53" s="239"/>
      <c r="M53" s="79"/>
    </row>
    <row r="54" spans="1:20">
      <c r="A54" s="107"/>
      <c r="B54" s="330"/>
      <c r="C54" s="342" t="str">
        <f ca="1">AuxData!P97</f>
        <v>BIOLIQ</v>
      </c>
      <c r="D54" s="30"/>
      <c r="E54" s="342"/>
      <c r="F54" s="343"/>
      <c r="G54" s="334">
        <f ca="1">IF(IEAData!$H$141&gt;=0,0,(IEAData!$O$80-IEAData!$O$94*0)/IEAData!$H$141)</f>
        <v>0</v>
      </c>
      <c r="H54" s="551"/>
      <c r="I54" s="334">
        <f ca="1">IF(AuxData!$H$141&gt;=0,0,(AuxData!$O$80-AuxData!$O$94*0)/AuxData!$H$141)</f>
        <v>0</v>
      </c>
      <c r="J54" s="551"/>
      <c r="K54" s="79"/>
      <c r="L54" s="239"/>
      <c r="M54" s="79"/>
    </row>
    <row r="55" spans="1:20">
      <c r="A55" s="349"/>
      <c r="B55" s="336"/>
      <c r="C55" s="45"/>
      <c r="D55" s="45" t="str">
        <f ca="1">AuxData!H130</f>
        <v>UPNREN</v>
      </c>
      <c r="E55" s="337" t="s">
        <v>806</v>
      </c>
      <c r="F55" s="345"/>
      <c r="G55" s="347"/>
      <c r="H55" s="552"/>
      <c r="I55" s="347"/>
      <c r="J55" s="552"/>
      <c r="K55" s="87"/>
      <c r="L55" s="87"/>
      <c r="M55" s="87"/>
    </row>
    <row r="56" spans="1:20">
      <c r="A56" s="329" t="s">
        <v>598</v>
      </c>
      <c r="B56" s="30" t="s">
        <v>939</v>
      </c>
      <c r="C56" s="561" t="s">
        <v>600</v>
      </c>
      <c r="D56" s="30" t="str">
        <f ca="1">COMM!$C$5</f>
        <v>SUPELC</v>
      </c>
      <c r="E56" s="342" t="s">
        <v>601</v>
      </c>
      <c r="F56" s="343">
        <v>1</v>
      </c>
      <c r="G56" s="102">
        <v>1.0189999999999999</v>
      </c>
      <c r="H56" s="550"/>
      <c r="I56" s="102">
        <f>G56^0.4</f>
        <v>1.0075571136277464</v>
      </c>
      <c r="J56" s="550"/>
      <c r="K56" s="239"/>
      <c r="L56" s="239"/>
      <c r="M56" s="239"/>
    </row>
    <row r="57" spans="1:20">
      <c r="A57" s="329" t="s">
        <v>602</v>
      </c>
      <c r="B57" s="330" t="s">
        <v>940</v>
      </c>
      <c r="C57" s="342" t="str">
        <f ca="1">AuxData!AR97</f>
        <v>HET</v>
      </c>
      <c r="D57" s="30"/>
      <c r="E57" s="342"/>
      <c r="F57" s="343">
        <v>1</v>
      </c>
      <c r="G57" s="102">
        <v>1</v>
      </c>
      <c r="H57" s="562">
        <f ca="1">-IEAData!$J$141</f>
        <v>1.634694192</v>
      </c>
      <c r="I57" s="102">
        <v>1</v>
      </c>
      <c r="J57" s="562">
        <f ca="1">-AuxData!$J$141</f>
        <v>5.4770001000000006</v>
      </c>
      <c r="K57" s="239"/>
      <c r="L57" s="239"/>
      <c r="M57" s="239"/>
    </row>
    <row r="58" spans="1:20">
      <c r="A58" s="106"/>
      <c r="B58" s="336"/>
      <c r="C58" s="45"/>
      <c r="D58" s="563" t="s">
        <v>433</v>
      </c>
      <c r="E58" s="564" t="s">
        <v>811</v>
      </c>
      <c r="F58" s="345"/>
      <c r="G58" s="347"/>
      <c r="H58" s="552"/>
      <c r="I58" s="347"/>
      <c r="J58" s="552"/>
      <c r="K58" s="87"/>
      <c r="L58" s="87"/>
      <c r="M58" s="87"/>
    </row>
    <row r="59" spans="1:20">
      <c r="A59" s="329" t="s">
        <v>637</v>
      </c>
      <c r="B59" s="30" t="s">
        <v>941</v>
      </c>
      <c r="C59" s="45" t="str">
        <f ca="1">D56</f>
        <v>SUPELC</v>
      </c>
      <c r="D59" s="45" t="str">
        <f ca="1">AuxData!I130</f>
        <v>UPNELC</v>
      </c>
      <c r="E59" s="564" t="s">
        <v>942</v>
      </c>
      <c r="F59" s="345"/>
      <c r="G59" s="347">
        <v>1</v>
      </c>
      <c r="H59" s="552"/>
      <c r="I59" s="347">
        <v>1</v>
      </c>
      <c r="J59" s="552"/>
      <c r="K59" s="87"/>
      <c r="L59" s="87"/>
      <c r="M59" s="87">
        <v>40</v>
      </c>
    </row>
    <row r="60" spans="1:20">
      <c r="A60" s="565" t="s">
        <v>606</v>
      </c>
      <c r="B60" s="566" t="s">
        <v>607</v>
      </c>
      <c r="C60" s="566" t="str">
        <f>D58</f>
        <v>UPNHET</v>
      </c>
      <c r="D60" s="567" t="s">
        <v>223</v>
      </c>
      <c r="E60" s="517" t="s">
        <v>943</v>
      </c>
      <c r="F60" s="345">
        <v>1</v>
      </c>
      <c r="G60" s="347">
        <v>1</v>
      </c>
      <c r="H60" s="552"/>
      <c r="I60" s="347">
        <v>1</v>
      </c>
      <c r="J60" s="552"/>
      <c r="K60" s="87"/>
      <c r="L60" s="87"/>
      <c r="M60" s="87">
        <v>30</v>
      </c>
    </row>
    <row r="61" spans="1:20">
      <c r="B61" s="568"/>
      <c r="C61" s="568"/>
      <c r="D61" s="568"/>
      <c r="E61" s="568"/>
      <c r="N61" s="34"/>
      <c r="O61" s="34"/>
      <c r="P61" s="34"/>
      <c r="Q61" s="34"/>
      <c r="R61" s="34"/>
      <c r="S61" s="295"/>
      <c r="T61" s="295"/>
    </row>
    <row r="62" spans="1:20">
      <c r="D62" s="228"/>
    </row>
    <row r="67" spans="1:16">
      <c r="B67" s="318"/>
      <c r="D67" s="225"/>
      <c r="E67" s="228"/>
      <c r="F67" s="226"/>
      <c r="H67" s="226"/>
      <c r="I67" s="225"/>
      <c r="J67" s="226"/>
      <c r="K67" s="226"/>
      <c r="M67" s="55"/>
      <c r="N67" s="55"/>
      <c r="O67" s="55"/>
      <c r="P67" s="55"/>
    </row>
    <row r="68" spans="1:16">
      <c r="A68" s="38"/>
      <c r="B68" s="227"/>
      <c r="C68" s="319"/>
      <c r="D68" s="319"/>
      <c r="E68" s="228"/>
      <c r="F68" s="319"/>
      <c r="H68" s="48"/>
      <c r="I68" s="48"/>
      <c r="J68" s="48"/>
      <c r="K68" s="48"/>
      <c r="M68" s="48"/>
      <c r="N68" s="48"/>
      <c r="O68" s="48"/>
      <c r="P68" s="4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U80"/>
  <sheetViews>
    <sheetView topLeftCell="R1" zoomScale="75" workbookViewId="0">
      <pane ySplit="9" topLeftCell="A10" activePane="bottomLeft" state="frozen"/>
      <selection activeCell="D129" sqref="D129"/>
      <selection pane="bottomLeft" activeCell="D129" sqref="D129"/>
    </sheetView>
  </sheetViews>
  <sheetFormatPr defaultColWidth="9.140625" defaultRowHeight="12.75"/>
  <cols>
    <col min="1" max="1" width="14.140625" customWidth="1"/>
    <col min="2" max="2" width="19.42578125" customWidth="1"/>
    <col min="3" max="4" width="9.140625" customWidth="1"/>
    <col min="5" max="5" width="23.42578125" customWidth="1"/>
    <col min="6" max="19" width="9.140625" customWidth="1"/>
    <col min="20" max="20" width="10.85546875" bestFit="1" customWidth="1"/>
    <col min="37" max="37" width="13" customWidth="1"/>
    <col min="41" max="41" width="11" customWidth="1"/>
  </cols>
  <sheetData>
    <row r="1" spans="1:47">
      <c r="C1" s="314"/>
      <c r="G1" s="57"/>
      <c r="H1" s="57"/>
      <c r="I1" s="57"/>
      <c r="J1" s="48"/>
      <c r="K1" s="48"/>
      <c r="L1" s="48"/>
      <c r="M1" s="48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88"/>
      <c r="AH1" s="88"/>
      <c r="AI1" s="88"/>
    </row>
    <row r="2" spans="1:47">
      <c r="C2" s="314"/>
      <c r="D2" s="396"/>
      <c r="E2" s="150"/>
      <c r="F2" s="57"/>
      <c r="G2" s="57"/>
      <c r="H2" s="57"/>
      <c r="I2" s="57"/>
      <c r="J2" s="48"/>
      <c r="K2" s="48"/>
      <c r="L2" s="48"/>
      <c r="M2" s="48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88"/>
      <c r="AH2" s="88"/>
      <c r="AI2" s="88"/>
      <c r="AK2" s="569" t="s">
        <v>944</v>
      </c>
      <c r="AL2" s="569"/>
      <c r="AM2" s="569" t="s">
        <v>543</v>
      </c>
    </row>
    <row r="3" spans="1:47">
      <c r="C3" s="314"/>
      <c r="E3" s="150"/>
      <c r="F3" s="57"/>
      <c r="G3" s="57"/>
      <c r="H3" s="57"/>
      <c r="I3" s="57"/>
      <c r="J3" s="48"/>
      <c r="K3" s="48"/>
      <c r="L3" s="48"/>
      <c r="M3" s="48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88"/>
      <c r="AH3" s="88"/>
      <c r="AI3" s="88"/>
    </row>
    <row r="4" spans="1:47">
      <c r="A4" s="90"/>
      <c r="C4" s="314"/>
      <c r="E4" s="228"/>
      <c r="F4" s="57"/>
      <c r="G4" s="57"/>
      <c r="H4" s="57"/>
      <c r="I4" s="57"/>
      <c r="J4" s="48"/>
      <c r="K4" s="48"/>
      <c r="L4" s="48"/>
      <c r="M4" s="48"/>
      <c r="N4" s="57"/>
      <c r="O4" s="57"/>
      <c r="P4" s="57"/>
      <c r="Q4" s="57"/>
      <c r="R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88"/>
      <c r="AH4" s="88"/>
      <c r="AI4" s="88"/>
      <c r="AO4" s="228"/>
    </row>
    <row r="5" spans="1:47" ht="18">
      <c r="A5" s="15" t="s">
        <v>945</v>
      </c>
      <c r="B5" s="318"/>
      <c r="C5" s="225"/>
      <c r="D5" s="225"/>
      <c r="E5" s="228"/>
      <c r="F5" s="226"/>
      <c r="G5" s="34"/>
      <c r="H5" s="226"/>
      <c r="I5" s="225"/>
      <c r="J5" s="226"/>
      <c r="K5" s="226"/>
      <c r="L5" s="226"/>
      <c r="M5" s="226"/>
      <c r="N5" s="55"/>
      <c r="O5" s="55"/>
      <c r="P5" s="55"/>
      <c r="Q5" s="55"/>
      <c r="R5" s="55"/>
      <c r="AJ5" s="55"/>
      <c r="AO5" s="228"/>
      <c r="AU5" s="11"/>
    </row>
    <row r="6" spans="1:47">
      <c r="A6" s="90"/>
      <c r="C6" s="314"/>
      <c r="E6" s="228"/>
      <c r="F6" s="57"/>
      <c r="G6" s="57"/>
      <c r="H6" s="57"/>
      <c r="I6" s="57"/>
      <c r="J6" s="48"/>
      <c r="K6" s="48"/>
      <c r="L6" s="48"/>
      <c r="M6" s="48"/>
      <c r="N6" s="57"/>
      <c r="O6" s="57"/>
      <c r="P6" s="57"/>
      <c r="Q6" s="57"/>
      <c r="R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88"/>
      <c r="AH6" s="88"/>
      <c r="AI6" s="88"/>
      <c r="AJ6" s="57"/>
      <c r="AO6" s="228"/>
      <c r="AU6" s="11"/>
    </row>
    <row r="7" spans="1:47">
      <c r="E7" s="228"/>
      <c r="J7" s="48"/>
      <c r="K7" s="48"/>
      <c r="L7" s="48"/>
      <c r="M7" s="48"/>
      <c r="N7" s="57"/>
      <c r="O7" s="57"/>
      <c r="P7" s="57"/>
      <c r="Q7" s="57"/>
      <c r="R7" s="57"/>
      <c r="W7" s="11"/>
      <c r="X7" s="11"/>
      <c r="Y7" s="11"/>
      <c r="Z7" s="11"/>
      <c r="AA7" s="11"/>
      <c r="AB7" s="57"/>
      <c r="AC7" s="57"/>
      <c r="AD7" s="57"/>
      <c r="AE7" s="57"/>
      <c r="AF7" s="57"/>
      <c r="AG7" s="88"/>
      <c r="AH7" s="88"/>
      <c r="AI7" s="88"/>
      <c r="AO7" s="228"/>
    </row>
    <row r="8" spans="1:47" ht="18">
      <c r="A8" s="47" t="s">
        <v>567</v>
      </c>
      <c r="B8" s="221"/>
      <c r="C8" s="222"/>
      <c r="D8" s="223"/>
      <c r="E8" s="232" t="str">
        <f>"~FI_T: "&amp;Region&amp;"~EUR00"</f>
        <v>~FI_T: FIN~EUR00</v>
      </c>
      <c r="F8" s="57"/>
      <c r="G8" s="57"/>
      <c r="H8" s="57"/>
      <c r="I8" s="57"/>
      <c r="J8" s="48"/>
      <c r="K8" s="279"/>
      <c r="L8" s="33"/>
      <c r="M8" s="279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90"/>
      <c r="AH8" s="88"/>
      <c r="AI8" s="88"/>
      <c r="AK8" s="47" t="s">
        <v>946</v>
      </c>
      <c r="AL8" s="221"/>
      <c r="AM8" s="222"/>
      <c r="AN8" s="223"/>
      <c r="AP8" s="232" t="str">
        <f>"~FI_T: "&amp;Region</f>
        <v>~FI_T: FIN</v>
      </c>
      <c r="AQ8" s="57"/>
      <c r="AR8" s="57"/>
      <c r="AS8" s="57"/>
      <c r="AU8" s="279"/>
    </row>
    <row r="9" spans="1:47" ht="45.75" thickBot="1">
      <c r="A9" s="233" t="s">
        <v>529</v>
      </c>
      <c r="B9" s="233" t="s">
        <v>530</v>
      </c>
      <c r="C9" s="234" t="s">
        <v>531</v>
      </c>
      <c r="D9" s="234" t="s">
        <v>532</v>
      </c>
      <c r="E9" s="234" t="s">
        <v>323</v>
      </c>
      <c r="F9" s="280" t="str">
        <f ca="1">"\I:FINAL ENERGY (input) - "&amp;BaseYear</f>
        <v>\I:FINAL ENERGY (input) - 2010</v>
      </c>
      <c r="G9" s="235" t="str">
        <f ca="1">"\I:FINAL ENERGY (output) - "&amp;BaseYear</f>
        <v>\I:FINAL ENERGY (output) - 2010</v>
      </c>
      <c r="H9" s="235" t="str">
        <f ca="1">"Input~"&amp;BaseYear</f>
        <v>Input~2010</v>
      </c>
      <c r="I9" s="235" t="str">
        <f ca="1">"Output~"&amp;BaseYear</f>
        <v>Output~2010</v>
      </c>
      <c r="J9" s="570" t="str">
        <f ca="1">"ACT_BND~UP~"&amp;BaseYear</f>
        <v>ACT_BND~UP~2010</v>
      </c>
      <c r="K9" s="571" t="str">
        <f ca="1">"ACT_BND~LO~"&amp;BaseYear</f>
        <v>ACT_BND~LO~2010</v>
      </c>
      <c r="L9" s="280" t="str">
        <f ca="1">"\I:FINAL ENERGY (input) - "&amp;Auxyear</f>
        <v>\I:FINAL ENERGY (input) - 2017</v>
      </c>
      <c r="M9" s="235" t="str">
        <f ca="1">"\I:FINAL ENERGY (output) - "&amp;Auxyear</f>
        <v>\I:FINAL ENERGY (output) - 2017</v>
      </c>
      <c r="N9" s="235" t="str">
        <f ca="1">"Input~"&amp;Auxyear</f>
        <v>Input~2017</v>
      </c>
      <c r="O9" s="235" t="str">
        <f ca="1">"Output~"&amp;Auxyear</f>
        <v>Output~2017</v>
      </c>
      <c r="P9" s="570" t="str">
        <f ca="1">"\I: ACT_BND~UP~"&amp;Auxyear</f>
        <v>\I: ACT_BND~UP~2017</v>
      </c>
      <c r="Q9" s="571" t="str">
        <f ca="1">"ACT_BND~LO~"&amp;Auxyear</f>
        <v>ACT_BND~LO~2017</v>
      </c>
      <c r="R9" s="235" t="s">
        <v>568</v>
      </c>
      <c r="S9" s="235" t="s">
        <v>569</v>
      </c>
      <c r="T9" s="235" t="s">
        <v>537</v>
      </c>
      <c r="U9" s="235" t="s">
        <v>539</v>
      </c>
      <c r="V9" s="235" t="s">
        <v>570</v>
      </c>
      <c r="W9" s="235" t="s">
        <v>540</v>
      </c>
      <c r="X9" s="235" t="s">
        <v>571</v>
      </c>
      <c r="Y9" s="571" t="str">
        <f>"ACT_BND~LO~"&amp;2040</f>
        <v>ACT_BND~LO~2040</v>
      </c>
      <c r="Z9" s="549" t="str">
        <f ca="1">"ACT_BND~UP~"&amp;Auxyear</f>
        <v>ACT_BND~UP~2017</v>
      </c>
      <c r="AA9" s="549" t="str">
        <f ca="1">"ACT_BND~UP~"&amp;CEILING(Auxyear+2,5)</f>
        <v>ACT_BND~UP~2020</v>
      </c>
      <c r="AB9" s="549" t="str">
        <f ca="1">"ACT_BND~UP~"&amp;BaseYear+15</f>
        <v>ACT_BND~UP~2025</v>
      </c>
      <c r="AC9" s="549" t="str">
        <f ca="1">"ACT_BND~UP~"&amp;BaseYear+20</f>
        <v>ACT_BND~UP~2030</v>
      </c>
      <c r="AD9" s="549" t="s">
        <v>947</v>
      </c>
      <c r="AE9" s="235" t="s">
        <v>580</v>
      </c>
      <c r="AF9" s="235" t="str">
        <f ca="1">"RESID~"&amp;Auxyear</f>
        <v>RESID~2017</v>
      </c>
      <c r="AG9" s="235" t="s">
        <v>581</v>
      </c>
      <c r="AH9" s="549" t="s">
        <v>948</v>
      </c>
      <c r="AI9" s="549" t="s">
        <v>949</v>
      </c>
      <c r="AK9" s="531" t="s">
        <v>529</v>
      </c>
      <c r="AL9" s="531" t="s">
        <v>530</v>
      </c>
      <c r="AM9" s="384" t="s">
        <v>531</v>
      </c>
      <c r="AN9" s="384" t="s">
        <v>532</v>
      </c>
      <c r="AO9" s="384" t="s">
        <v>323</v>
      </c>
      <c r="AP9" s="252" t="s">
        <v>533</v>
      </c>
      <c r="AQ9" s="252" t="s">
        <v>238</v>
      </c>
      <c r="AR9" s="252" t="s">
        <v>535</v>
      </c>
      <c r="AS9" s="252" t="s">
        <v>536</v>
      </c>
      <c r="AT9" s="252" t="s">
        <v>537</v>
      </c>
      <c r="AU9" s="252" t="s">
        <v>540</v>
      </c>
    </row>
    <row r="10" spans="1:47">
      <c r="A10" s="237" t="s">
        <v>950</v>
      </c>
      <c r="B10" s="330" t="s">
        <v>951</v>
      </c>
      <c r="C10" s="238" t="s">
        <v>188</v>
      </c>
      <c r="D10" s="238"/>
      <c r="E10" s="572"/>
      <c r="F10" s="283"/>
      <c r="G10" s="31"/>
      <c r="H10" s="285">
        <v>1</v>
      </c>
      <c r="I10" s="79"/>
      <c r="J10" s="284"/>
      <c r="K10" s="556"/>
      <c r="L10" s="283"/>
      <c r="M10" s="31"/>
      <c r="N10" s="285">
        <v>1</v>
      </c>
      <c r="O10" s="79"/>
      <c r="P10" s="284"/>
      <c r="Q10" s="556"/>
      <c r="R10" s="79"/>
      <c r="S10" s="79">
        <v>1</v>
      </c>
      <c r="T10" s="79">
        <v>50</v>
      </c>
      <c r="U10" s="284"/>
      <c r="V10" s="284"/>
      <c r="W10" s="79">
        <v>0</v>
      </c>
      <c r="X10" s="573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2"/>
      <c r="AK10" s="565" t="s">
        <v>952</v>
      </c>
      <c r="AL10" s="329" t="s">
        <v>953</v>
      </c>
      <c r="AM10" s="329" t="s">
        <v>145</v>
      </c>
      <c r="AN10" s="574"/>
      <c r="AO10" s="574"/>
      <c r="AP10" s="329"/>
      <c r="AQ10" s="329">
        <v>1</v>
      </c>
      <c r="AR10" s="575"/>
      <c r="AS10" s="329">
        <v>1</v>
      </c>
      <c r="AT10" s="329">
        <v>50</v>
      </c>
      <c r="AU10" s="576"/>
    </row>
    <row r="11" spans="1:47">
      <c r="A11" s="305"/>
      <c r="B11" s="577"/>
      <c r="C11" s="242"/>
      <c r="D11" s="243" t="s">
        <v>163</v>
      </c>
      <c r="E11" s="242" t="s">
        <v>757</v>
      </c>
      <c r="F11" s="291"/>
      <c r="G11" s="46"/>
      <c r="H11" s="244"/>
      <c r="I11" s="244">
        <v>1</v>
      </c>
      <c r="J11" s="293"/>
      <c r="K11" s="578"/>
      <c r="L11" s="291"/>
      <c r="M11" s="46"/>
      <c r="N11" s="244"/>
      <c r="O11" s="244">
        <v>1</v>
      </c>
      <c r="P11" s="293"/>
      <c r="Q11" s="578"/>
      <c r="R11" s="244"/>
      <c r="S11" s="87"/>
      <c r="T11" s="87"/>
      <c r="U11" s="293"/>
      <c r="V11" s="293"/>
      <c r="W11" s="87"/>
      <c r="X11" s="579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  <c r="AI11" s="293"/>
      <c r="AJ11" s="22"/>
      <c r="AK11" s="106"/>
      <c r="AL11" s="106"/>
      <c r="AM11" s="106"/>
      <c r="AN11" s="106" t="s">
        <v>301</v>
      </c>
      <c r="AO11" s="106" t="s">
        <v>374</v>
      </c>
      <c r="AP11" s="106"/>
      <c r="AQ11" s="106"/>
      <c r="AR11" s="106">
        <v>1</v>
      </c>
      <c r="AS11" s="106"/>
      <c r="AT11" s="106"/>
      <c r="AU11" s="106"/>
    </row>
    <row r="12" spans="1:47">
      <c r="A12" s="237" t="s">
        <v>954</v>
      </c>
      <c r="B12" s="330" t="s">
        <v>955</v>
      </c>
      <c r="C12" s="238" t="s">
        <v>167</v>
      </c>
      <c r="D12" s="238"/>
      <c r="E12" s="572"/>
      <c r="F12" s="283"/>
      <c r="G12" s="31"/>
      <c r="H12" s="285">
        <v>1</v>
      </c>
      <c r="I12" s="79"/>
      <c r="J12" s="284"/>
      <c r="K12" s="556"/>
      <c r="L12" s="283"/>
      <c r="M12" s="31"/>
      <c r="N12" s="285">
        <v>1</v>
      </c>
      <c r="O12" s="79"/>
      <c r="P12" s="284"/>
      <c r="Q12" s="556"/>
      <c r="R12" s="79"/>
      <c r="S12" s="79">
        <v>1</v>
      </c>
      <c r="T12" s="79">
        <v>50</v>
      </c>
      <c r="U12" s="284"/>
      <c r="V12" s="284"/>
      <c r="W12" s="79">
        <v>0</v>
      </c>
      <c r="X12" s="284"/>
      <c r="Y12" s="284"/>
      <c r="Z12" s="284"/>
      <c r="AA12" s="284"/>
      <c r="AB12" s="284"/>
      <c r="AC12" s="284"/>
      <c r="AD12" s="284"/>
      <c r="AE12" s="284"/>
      <c r="AF12" s="284"/>
      <c r="AG12" s="284"/>
      <c r="AH12" s="284"/>
      <c r="AI12" s="284"/>
      <c r="AJ12" s="22"/>
      <c r="AK12" s="565" t="s">
        <v>956</v>
      </c>
      <c r="AL12" s="329" t="s">
        <v>957</v>
      </c>
      <c r="AM12" s="329" t="s">
        <v>146</v>
      </c>
      <c r="AN12" s="329"/>
      <c r="AO12" s="329"/>
      <c r="AP12" s="329"/>
      <c r="AQ12" s="329">
        <v>1</v>
      </c>
      <c r="AR12" s="329"/>
      <c r="AS12" s="329">
        <v>1</v>
      </c>
      <c r="AT12" s="329">
        <v>50</v>
      </c>
      <c r="AU12" s="576"/>
    </row>
    <row r="13" spans="1:47">
      <c r="A13" s="107"/>
      <c r="B13" s="577"/>
      <c r="C13" s="242"/>
      <c r="D13" s="242" t="s">
        <v>163</v>
      </c>
      <c r="E13" s="242"/>
      <c r="F13" s="291"/>
      <c r="G13" s="46"/>
      <c r="H13" s="244"/>
      <c r="I13" s="244">
        <v>1</v>
      </c>
      <c r="J13" s="293"/>
      <c r="K13" s="578"/>
      <c r="L13" s="291"/>
      <c r="M13" s="46"/>
      <c r="N13" s="244"/>
      <c r="O13" s="244">
        <v>1</v>
      </c>
      <c r="P13" s="293"/>
      <c r="Q13" s="578"/>
      <c r="R13" s="244"/>
      <c r="S13" s="87"/>
      <c r="T13" s="87"/>
      <c r="U13" s="293"/>
      <c r="V13" s="293"/>
      <c r="W13" s="87"/>
      <c r="X13" s="579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  <c r="AI13" s="293"/>
      <c r="AJ13" s="22"/>
      <c r="AK13" s="106"/>
      <c r="AL13" s="106"/>
      <c r="AM13" s="106"/>
      <c r="AN13" s="106" t="s">
        <v>299</v>
      </c>
      <c r="AO13" s="106" t="s">
        <v>371</v>
      </c>
      <c r="AP13" s="106"/>
      <c r="AQ13" s="106"/>
      <c r="AR13" s="106">
        <v>1</v>
      </c>
      <c r="AS13" s="106"/>
      <c r="AT13" s="106"/>
      <c r="AU13" s="106"/>
    </row>
    <row r="14" spans="1:47">
      <c r="A14" s="237" t="s">
        <v>958</v>
      </c>
      <c r="B14" s="330" t="s">
        <v>959</v>
      </c>
      <c r="C14" s="238" t="s">
        <v>162</v>
      </c>
      <c r="D14" s="238"/>
      <c r="E14" s="572"/>
      <c r="F14" s="283"/>
      <c r="G14" s="31"/>
      <c r="H14" s="285">
        <v>1</v>
      </c>
      <c r="I14" s="79"/>
      <c r="J14" s="284"/>
      <c r="K14" s="556"/>
      <c r="L14" s="283"/>
      <c r="M14" s="31"/>
      <c r="N14" s="285">
        <v>1</v>
      </c>
      <c r="O14" s="79"/>
      <c r="P14" s="284"/>
      <c r="Q14" s="556"/>
      <c r="R14" s="79"/>
      <c r="S14" s="79">
        <v>1</v>
      </c>
      <c r="T14" s="79">
        <v>50</v>
      </c>
      <c r="U14" s="284"/>
      <c r="V14" s="284"/>
      <c r="W14" s="303">
        <v>0</v>
      </c>
      <c r="X14" s="303">
        <v>0</v>
      </c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2"/>
      <c r="AK14" s="565" t="s">
        <v>960</v>
      </c>
      <c r="AL14" s="329" t="s">
        <v>961</v>
      </c>
      <c r="AM14" s="329" t="s">
        <v>147</v>
      </c>
      <c r="AN14" s="329"/>
      <c r="AO14" s="329"/>
      <c r="AP14" s="329"/>
      <c r="AQ14" s="329">
        <v>1</v>
      </c>
      <c r="AR14" s="329"/>
      <c r="AS14" s="329">
        <v>1</v>
      </c>
      <c r="AT14" s="329">
        <v>50</v>
      </c>
      <c r="AU14" s="576"/>
    </row>
    <row r="15" spans="1:47">
      <c r="A15" s="106"/>
      <c r="B15" s="336"/>
      <c r="C15" s="242"/>
      <c r="D15" s="242" t="s">
        <v>163</v>
      </c>
      <c r="E15" s="242"/>
      <c r="F15" s="291"/>
      <c r="G15" s="46"/>
      <c r="H15" s="244"/>
      <c r="I15" s="244">
        <v>1</v>
      </c>
      <c r="J15" s="293"/>
      <c r="K15" s="578"/>
      <c r="L15" s="291"/>
      <c r="M15" s="46"/>
      <c r="N15" s="244"/>
      <c r="O15" s="244">
        <v>1</v>
      </c>
      <c r="P15" s="293"/>
      <c r="Q15" s="578"/>
      <c r="R15" s="244"/>
      <c r="S15" s="87"/>
      <c r="T15" s="87"/>
      <c r="U15" s="293"/>
      <c r="V15" s="293"/>
      <c r="W15" s="293"/>
      <c r="X15" s="579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  <c r="AI15" s="293"/>
      <c r="AJ15" s="22"/>
      <c r="AK15" s="106"/>
      <c r="AL15" s="106"/>
      <c r="AM15" s="106"/>
      <c r="AN15" s="106" t="s">
        <v>303</v>
      </c>
      <c r="AO15" s="106" t="s">
        <v>375</v>
      </c>
      <c r="AP15" s="106"/>
      <c r="AQ15" s="106"/>
      <c r="AR15" s="106">
        <v>1</v>
      </c>
      <c r="AS15" s="106"/>
      <c r="AT15" s="106"/>
      <c r="AU15" s="106"/>
    </row>
    <row r="16" spans="1:47">
      <c r="A16" s="237" t="s">
        <v>962</v>
      </c>
      <c r="B16" s="330" t="s">
        <v>963</v>
      </c>
      <c r="C16" s="238" t="s">
        <v>187</v>
      </c>
      <c r="D16" s="238"/>
      <c r="E16" s="572"/>
      <c r="F16" s="283"/>
      <c r="G16" s="31"/>
      <c r="H16" s="285">
        <v>1</v>
      </c>
      <c r="I16" s="79"/>
      <c r="J16" s="284"/>
      <c r="K16" s="556"/>
      <c r="L16" s="283"/>
      <c r="M16" s="31"/>
      <c r="N16" s="285">
        <v>1</v>
      </c>
      <c r="O16" s="79"/>
      <c r="P16" s="284"/>
      <c r="Q16" s="556"/>
      <c r="R16" s="79"/>
      <c r="S16" s="79">
        <v>1</v>
      </c>
      <c r="T16" s="79">
        <v>50</v>
      </c>
      <c r="U16" s="284"/>
      <c r="V16" s="284"/>
      <c r="W16" s="79">
        <v>0</v>
      </c>
      <c r="X16" s="573"/>
      <c r="Y16" s="284"/>
      <c r="Z16" s="284"/>
      <c r="AA16" s="284"/>
      <c r="AB16" s="284"/>
      <c r="AC16" s="284"/>
      <c r="AD16" s="284"/>
      <c r="AE16" s="284"/>
      <c r="AF16" s="284"/>
      <c r="AG16" s="284"/>
      <c r="AH16" s="284"/>
      <c r="AI16" s="284"/>
      <c r="AJ16" s="22"/>
      <c r="AK16" s="565" t="s">
        <v>964</v>
      </c>
      <c r="AL16" s="329" t="s">
        <v>965</v>
      </c>
      <c r="AM16" s="329" t="s">
        <v>148</v>
      </c>
      <c r="AN16" s="329"/>
      <c r="AO16" s="329"/>
      <c r="AP16" s="329"/>
      <c r="AQ16" s="329">
        <v>1</v>
      </c>
      <c r="AR16" s="329"/>
      <c r="AS16" s="329">
        <v>1</v>
      </c>
      <c r="AT16" s="329">
        <v>50</v>
      </c>
      <c r="AU16" s="576"/>
    </row>
    <row r="17" spans="1:47">
      <c r="A17" s="106"/>
      <c r="B17" s="336"/>
      <c r="C17" s="242"/>
      <c r="D17" s="242" t="s">
        <v>163</v>
      </c>
      <c r="E17" s="242"/>
      <c r="F17" s="291"/>
      <c r="G17" s="46"/>
      <c r="H17" s="244"/>
      <c r="I17" s="244">
        <v>1</v>
      </c>
      <c r="J17" s="293"/>
      <c r="K17" s="578"/>
      <c r="L17" s="291"/>
      <c r="M17" s="46"/>
      <c r="N17" s="244"/>
      <c r="O17" s="244">
        <v>1</v>
      </c>
      <c r="P17" s="293"/>
      <c r="Q17" s="578"/>
      <c r="R17" s="244"/>
      <c r="S17" s="87"/>
      <c r="T17" s="87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  <c r="AI17" s="293"/>
      <c r="AJ17" s="22"/>
      <c r="AK17" s="106"/>
      <c r="AL17" s="106"/>
      <c r="AM17" s="106"/>
      <c r="AN17" s="106" t="s">
        <v>372</v>
      </c>
      <c r="AO17" s="106" t="s">
        <v>373</v>
      </c>
      <c r="AP17" s="106"/>
      <c r="AQ17" s="106"/>
      <c r="AR17" s="106">
        <v>1</v>
      </c>
      <c r="AS17" s="106"/>
      <c r="AT17" s="106"/>
      <c r="AU17" s="106"/>
    </row>
    <row r="18" spans="1:47">
      <c r="A18" s="237" t="s">
        <v>677</v>
      </c>
      <c r="B18" s="330" t="s">
        <v>966</v>
      </c>
      <c r="C18" s="30" t="str">
        <f ca="1">MIN!$C$10</f>
        <v>CONHAR</v>
      </c>
      <c r="D18" s="580"/>
      <c r="E18" s="281"/>
      <c r="F18" s="283">
        <f>G27+G29</f>
        <v>0</v>
      </c>
      <c r="G18" s="284"/>
      <c r="H18" s="285">
        <f>IF($G$27=0,1,F18/$G$27)</f>
        <v>1</v>
      </c>
      <c r="I18" s="284"/>
      <c r="J18" s="581">
        <f>(G27+G29)*1</f>
        <v>0</v>
      </c>
      <c r="K18" s="582">
        <f>J18*0.95</f>
        <v>0</v>
      </c>
      <c r="L18" s="283">
        <f>M27+M29</f>
        <v>0</v>
      </c>
      <c r="M18" s="284"/>
      <c r="N18" s="285">
        <f>IF($M$27=0,1,L18/$M$27)</f>
        <v>1</v>
      </c>
      <c r="O18" s="284"/>
      <c r="P18" s="581">
        <f>(M27+M29)*1</f>
        <v>0</v>
      </c>
      <c r="Q18" s="582">
        <f>P18*0.95</f>
        <v>0</v>
      </c>
      <c r="R18" s="284"/>
      <c r="S18" s="239"/>
      <c r="T18" s="239">
        <v>30</v>
      </c>
      <c r="U18" s="286">
        <f ca="1">CalibData!$K$6*0.5</f>
        <v>1.0449999999999999</v>
      </c>
      <c r="V18" s="286"/>
      <c r="W18" s="583">
        <f ca="1">CalibData!$K$5*0</f>
        <v>0</v>
      </c>
      <c r="X18" s="583">
        <f ca="1">CalibData!K6*0</f>
        <v>0</v>
      </c>
      <c r="Y18" s="584" t="str">
        <f>IF(Q18&gt;0,0,"")</f>
        <v/>
      </c>
      <c r="Z18" s="585">
        <f>P18</f>
        <v>0</v>
      </c>
      <c r="AA18" s="80"/>
      <c r="AB18" s="80"/>
      <c r="AC18" s="80"/>
      <c r="AD18" s="585">
        <f>Z18</f>
        <v>0</v>
      </c>
      <c r="AE18" s="31">
        <f>J18</f>
        <v>0</v>
      </c>
      <c r="AF18" s="31">
        <f>MAX(P18,AE18*0.67)</f>
        <v>0</v>
      </c>
      <c r="AG18" s="286" t="str">
        <f>IF(AF18&gt;0,0,"")</f>
        <v/>
      </c>
      <c r="AH18" s="239">
        <v>4</v>
      </c>
      <c r="AI18" s="586">
        <f>Z18*2</f>
        <v>0</v>
      </c>
      <c r="AJ18" s="22"/>
      <c r="AK18" s="565" t="s">
        <v>967</v>
      </c>
      <c r="AL18" s="329" t="s">
        <v>968</v>
      </c>
      <c r="AM18" s="329" t="s">
        <v>149</v>
      </c>
      <c r="AN18" s="329"/>
      <c r="AO18" s="329"/>
      <c r="AP18" s="329"/>
      <c r="AQ18" s="329">
        <v>1</v>
      </c>
      <c r="AR18" s="329"/>
      <c r="AS18" s="329">
        <v>1</v>
      </c>
      <c r="AT18" s="329">
        <v>50</v>
      </c>
      <c r="AU18" s="576"/>
    </row>
    <row r="19" spans="1:47">
      <c r="A19" s="107"/>
      <c r="B19" s="587"/>
      <c r="C19" s="238" t="str">
        <f ca="1">AuxData!$C$145</f>
        <v>UPNNGA</v>
      </c>
      <c r="D19" s="238"/>
      <c r="E19" s="238"/>
      <c r="F19" s="289">
        <f ca="1">-IEAData!$C$147</f>
        <v>0</v>
      </c>
      <c r="G19" s="31"/>
      <c r="H19" s="285">
        <f t="shared" ref="H19:H26" si="0">IF($G$27=0,0,F19/$G$27)</f>
        <v>0</v>
      </c>
      <c r="I19" s="284"/>
      <c r="J19" s="284"/>
      <c r="K19" s="556"/>
      <c r="L19" s="289">
        <f ca="1">-AuxData!$C$147</f>
        <v>0</v>
      </c>
      <c r="M19" s="31"/>
      <c r="N19" s="285">
        <f t="shared" ref="N19:N26" si="1">IF($M$27=0,0,L19/$M$27)</f>
        <v>0</v>
      </c>
      <c r="O19" s="284"/>
      <c r="P19" s="284"/>
      <c r="Q19" s="556"/>
      <c r="R19" s="284"/>
      <c r="S19" s="31"/>
      <c r="T19" s="31"/>
      <c r="U19" s="31"/>
      <c r="V19" s="31"/>
      <c r="W19" s="573"/>
      <c r="X19" s="573"/>
      <c r="Y19" s="284"/>
      <c r="Z19" s="284"/>
      <c r="AA19" s="284"/>
      <c r="AB19" s="284"/>
      <c r="AC19" s="284"/>
      <c r="AD19" s="284"/>
      <c r="AE19" s="284"/>
      <c r="AF19" s="284"/>
      <c r="AG19" s="284"/>
      <c r="AH19" s="284"/>
      <c r="AI19" s="284"/>
      <c r="AJ19" s="22"/>
      <c r="AK19" s="349"/>
      <c r="AL19" s="305"/>
      <c r="AM19" s="106"/>
      <c r="AN19" s="106" t="s">
        <v>249</v>
      </c>
      <c r="AO19" s="588" t="s">
        <v>382</v>
      </c>
      <c r="AP19" s="106"/>
      <c r="AQ19" s="106"/>
      <c r="AR19" s="106">
        <v>1</v>
      </c>
      <c r="AS19" s="106"/>
      <c r="AT19" s="106"/>
      <c r="AU19" s="106"/>
    </row>
    <row r="20" spans="1:47">
      <c r="A20" s="107"/>
      <c r="B20" s="587"/>
      <c r="C20" s="238" t="str">
        <f ca="1">AuxData!$D$145</f>
        <v>UPNCOA</v>
      </c>
      <c r="D20" s="238"/>
      <c r="E20" s="238"/>
      <c r="F20" s="289">
        <f ca="1">-IEAData!$D$147</f>
        <v>0</v>
      </c>
      <c r="G20" s="31"/>
      <c r="H20" s="285">
        <f t="shared" si="0"/>
        <v>0</v>
      </c>
      <c r="I20" s="284"/>
      <c r="J20" s="284"/>
      <c r="K20" s="556"/>
      <c r="L20" s="289">
        <f ca="1">-AuxData!$D$147</f>
        <v>0</v>
      </c>
      <c r="M20" s="31"/>
      <c r="N20" s="285">
        <f t="shared" si="1"/>
        <v>0</v>
      </c>
      <c r="O20" s="284"/>
      <c r="P20" s="284"/>
      <c r="Q20" s="556"/>
      <c r="R20" s="284"/>
      <c r="S20" s="31"/>
      <c r="T20" s="31"/>
      <c r="U20" s="31"/>
      <c r="V20" s="284"/>
      <c r="W20" s="573"/>
      <c r="X20" s="573"/>
      <c r="Y20" s="284"/>
      <c r="Z20" s="284"/>
      <c r="AA20" s="284"/>
      <c r="AB20" s="284"/>
      <c r="AC20" s="284"/>
      <c r="AD20" s="284"/>
      <c r="AE20" s="284"/>
      <c r="AF20" s="284"/>
      <c r="AG20" s="284"/>
      <c r="AH20" s="284"/>
      <c r="AI20" s="284"/>
      <c r="AJ20" s="22"/>
      <c r="AK20" s="565" t="s">
        <v>969</v>
      </c>
      <c r="AL20" s="329" t="s">
        <v>970</v>
      </c>
      <c r="AM20" s="329" t="s">
        <v>150</v>
      </c>
      <c r="AN20" s="329"/>
      <c r="AO20" s="589"/>
      <c r="AP20" s="329"/>
      <c r="AQ20" s="329">
        <v>1</v>
      </c>
      <c r="AR20" s="329"/>
      <c r="AS20" s="329">
        <v>1</v>
      </c>
      <c r="AT20" s="329">
        <v>50</v>
      </c>
      <c r="AU20" s="576"/>
    </row>
    <row r="21" spans="1:47">
      <c r="A21" s="107"/>
      <c r="B21" s="587"/>
      <c r="C21" s="238" t="str">
        <f ca="1">AuxData!$E$145</f>
        <v>UPNCRD</v>
      </c>
      <c r="D21" s="238"/>
      <c r="E21" s="238"/>
      <c r="F21" s="289">
        <f ca="1">-IEAData!$E$147</f>
        <v>0</v>
      </c>
      <c r="G21" s="31"/>
      <c r="H21" s="285">
        <f t="shared" si="0"/>
        <v>0</v>
      </c>
      <c r="I21" s="284"/>
      <c r="J21" s="284"/>
      <c r="K21" s="556"/>
      <c r="L21" s="289">
        <f ca="1">-AuxData!$E$147</f>
        <v>0</v>
      </c>
      <c r="M21" s="31"/>
      <c r="N21" s="285">
        <f t="shared" si="1"/>
        <v>0</v>
      </c>
      <c r="O21" s="284"/>
      <c r="P21" s="284"/>
      <c r="Q21" s="556"/>
      <c r="R21" s="284"/>
      <c r="S21" s="31"/>
      <c r="T21" s="31"/>
      <c r="U21" s="31"/>
      <c r="V21" s="284"/>
      <c r="W21" s="573"/>
      <c r="X21" s="573"/>
      <c r="Y21" s="284"/>
      <c r="Z21" s="284"/>
      <c r="AA21" s="284"/>
      <c r="AB21" s="284"/>
      <c r="AC21" s="284"/>
      <c r="AD21" s="284"/>
      <c r="AE21" s="284"/>
      <c r="AF21" s="284"/>
      <c r="AG21" s="284"/>
      <c r="AH21" s="284"/>
      <c r="AI21" s="284"/>
      <c r="AJ21" s="22"/>
      <c r="AK21" s="106"/>
      <c r="AL21" s="106"/>
      <c r="AM21" s="106"/>
      <c r="AN21" s="106" t="s">
        <v>254</v>
      </c>
      <c r="AO21" s="106" t="s">
        <v>380</v>
      </c>
      <c r="AP21" s="106"/>
      <c r="AQ21" s="106"/>
      <c r="AR21" s="106">
        <v>1</v>
      </c>
      <c r="AS21" s="106"/>
      <c r="AT21" s="106"/>
      <c r="AU21" s="106"/>
    </row>
    <row r="22" spans="1:47">
      <c r="A22" s="107"/>
      <c r="B22" s="587"/>
      <c r="C22" s="238" t="str">
        <f ca="1">AuxData!$F$145</f>
        <v>UPNRPP</v>
      </c>
      <c r="D22" s="238"/>
      <c r="E22" s="238"/>
      <c r="F22" s="289">
        <f ca="1">-IEAData!$F$147</f>
        <v>0</v>
      </c>
      <c r="G22" s="31"/>
      <c r="H22" s="285">
        <f t="shared" si="0"/>
        <v>0</v>
      </c>
      <c r="I22" s="284"/>
      <c r="J22" s="284"/>
      <c r="K22" s="556"/>
      <c r="L22" s="289">
        <f ca="1">-AuxData!$F$147</f>
        <v>0</v>
      </c>
      <c r="M22" s="31"/>
      <c r="N22" s="285">
        <f t="shared" si="1"/>
        <v>0</v>
      </c>
      <c r="O22" s="284"/>
      <c r="P22" s="284"/>
      <c r="Q22" s="556"/>
      <c r="R22" s="284"/>
      <c r="S22" s="31"/>
      <c r="T22" s="31"/>
      <c r="U22" s="31"/>
      <c r="V22" s="284"/>
      <c r="W22" s="573" t="str">
        <f>""</f>
        <v/>
      </c>
      <c r="X22" s="573"/>
      <c r="Y22" s="284"/>
      <c r="Z22" s="284"/>
      <c r="AA22" s="284"/>
      <c r="AB22" s="284"/>
      <c r="AC22" s="284"/>
      <c r="AD22" s="284"/>
      <c r="AE22" s="284"/>
      <c r="AF22" s="284"/>
      <c r="AG22" s="284"/>
      <c r="AH22" s="284"/>
      <c r="AI22" s="284"/>
      <c r="AJ22" s="590"/>
      <c r="AK22" s="565" t="s">
        <v>971</v>
      </c>
      <c r="AL22" s="329" t="s">
        <v>972</v>
      </c>
      <c r="AM22" s="329" t="s">
        <v>151</v>
      </c>
      <c r="AN22" s="329"/>
      <c r="AO22" s="329"/>
      <c r="AP22" s="329"/>
      <c r="AQ22" s="329">
        <v>1</v>
      </c>
      <c r="AR22" s="329"/>
      <c r="AS22" s="329">
        <v>1</v>
      </c>
      <c r="AT22" s="329">
        <v>50</v>
      </c>
      <c r="AU22" s="576"/>
    </row>
    <row r="23" spans="1:47">
      <c r="A23" s="107"/>
      <c r="B23" s="587"/>
      <c r="C23" s="238" t="str">
        <f ca="1">AuxData!$G$145</f>
        <v>UPNRPG</v>
      </c>
      <c r="D23" s="238"/>
      <c r="E23" s="238"/>
      <c r="F23" s="289">
        <f ca="1">-IEAData!$G$147</f>
        <v>0</v>
      </c>
      <c r="G23" s="31"/>
      <c r="H23" s="285">
        <f t="shared" si="0"/>
        <v>0</v>
      </c>
      <c r="I23" s="284"/>
      <c r="J23" s="284"/>
      <c r="K23" s="556"/>
      <c r="L23" s="289">
        <f ca="1">-AuxData!$G$147</f>
        <v>0</v>
      </c>
      <c r="M23" s="31"/>
      <c r="N23" s="285">
        <f t="shared" si="1"/>
        <v>0</v>
      </c>
      <c r="O23" s="284"/>
      <c r="P23" s="284"/>
      <c r="Q23" s="556"/>
      <c r="R23" s="284"/>
      <c r="S23" s="31"/>
      <c r="T23" s="31"/>
      <c r="U23" s="31"/>
      <c r="V23" s="284"/>
      <c r="W23" s="573"/>
      <c r="X23" s="573"/>
      <c r="Y23" s="284"/>
      <c r="Z23" s="284"/>
      <c r="AA23" s="284"/>
      <c r="AB23" s="284"/>
      <c r="AC23" s="284"/>
      <c r="AD23" s="284"/>
      <c r="AE23" s="284"/>
      <c r="AF23" s="284"/>
      <c r="AG23" s="284"/>
      <c r="AH23" s="284"/>
      <c r="AI23" s="284"/>
      <c r="AJ23" s="22"/>
      <c r="AK23" s="106"/>
      <c r="AL23" s="106"/>
      <c r="AM23" s="106"/>
      <c r="AN23" s="106" t="s">
        <v>252</v>
      </c>
      <c r="AO23" s="106" t="s">
        <v>379</v>
      </c>
      <c r="AP23" s="106"/>
      <c r="AQ23" s="106"/>
      <c r="AR23" s="106">
        <v>1</v>
      </c>
      <c r="AS23" s="106"/>
      <c r="AT23" s="106"/>
      <c r="AU23" s="106"/>
    </row>
    <row r="24" spans="1:47">
      <c r="A24" s="107"/>
      <c r="B24" s="587"/>
      <c r="C24" s="238" t="str">
        <f ca="1">AuxData!$H$145</f>
        <v>UPNREN</v>
      </c>
      <c r="D24" s="238"/>
      <c r="E24" s="238"/>
      <c r="F24" s="289">
        <f ca="1">-IEAData!$H$147</f>
        <v>0</v>
      </c>
      <c r="G24" s="31"/>
      <c r="H24" s="285">
        <f t="shared" si="0"/>
        <v>0</v>
      </c>
      <c r="I24" s="284"/>
      <c r="J24" s="284"/>
      <c r="K24" s="556"/>
      <c r="L24" s="289">
        <f ca="1">-AuxData!$H$147</f>
        <v>0</v>
      </c>
      <c r="M24" s="31"/>
      <c r="N24" s="285">
        <f t="shared" si="1"/>
        <v>0</v>
      </c>
      <c r="O24" s="284"/>
      <c r="P24" s="284"/>
      <c r="Q24" s="556"/>
      <c r="R24" s="284"/>
      <c r="S24" s="31"/>
      <c r="T24" s="31"/>
      <c r="U24" s="31"/>
      <c r="V24" s="284"/>
      <c r="W24" s="573"/>
      <c r="X24" s="573"/>
      <c r="Y24" s="284"/>
      <c r="Z24" s="284"/>
      <c r="AA24" s="284"/>
      <c r="AB24" s="284"/>
      <c r="AC24" s="284"/>
      <c r="AD24" s="284"/>
      <c r="AE24" s="284"/>
      <c r="AF24" s="284"/>
      <c r="AG24" s="284"/>
      <c r="AH24" s="284"/>
      <c r="AI24" s="284"/>
      <c r="AJ24" s="22"/>
      <c r="AK24" s="565" t="s">
        <v>973</v>
      </c>
      <c r="AL24" s="329" t="s">
        <v>974</v>
      </c>
      <c r="AM24" s="329" t="s">
        <v>152</v>
      </c>
      <c r="AN24" s="329"/>
      <c r="AO24" s="329"/>
      <c r="AP24" s="329"/>
      <c r="AQ24" s="329">
        <v>1</v>
      </c>
      <c r="AR24" s="329"/>
      <c r="AS24" s="329">
        <v>1</v>
      </c>
      <c r="AT24" s="329">
        <v>50</v>
      </c>
      <c r="AU24" s="576"/>
    </row>
    <row r="25" spans="1:47">
      <c r="A25" s="107"/>
      <c r="B25" s="587"/>
      <c r="C25" s="238" t="str">
        <f ca="1">AuxData!$I$145</f>
        <v>UPNELC</v>
      </c>
      <c r="D25" s="238"/>
      <c r="E25" s="238"/>
      <c r="F25" s="289">
        <f ca="1">-IEAData!$I$147</f>
        <v>0</v>
      </c>
      <c r="G25" s="31"/>
      <c r="H25" s="285">
        <f t="shared" si="0"/>
        <v>0</v>
      </c>
      <c r="I25" s="284"/>
      <c r="J25" s="284"/>
      <c r="K25" s="556"/>
      <c r="L25" s="289">
        <f ca="1">-AuxData!$I$147</f>
        <v>0</v>
      </c>
      <c r="M25" s="31"/>
      <c r="N25" s="285">
        <f t="shared" si="1"/>
        <v>0</v>
      </c>
      <c r="O25" s="284"/>
      <c r="P25" s="284"/>
      <c r="Q25" s="556"/>
      <c r="R25" s="284"/>
      <c r="S25" s="31"/>
      <c r="T25" s="31"/>
      <c r="U25" s="31"/>
      <c r="V25" s="284"/>
      <c r="W25" s="573"/>
      <c r="X25" s="573"/>
      <c r="Y25" s="284"/>
      <c r="Z25" s="284"/>
      <c r="AA25" s="284"/>
      <c r="AB25" s="284"/>
      <c r="AC25" s="284"/>
      <c r="AD25" s="284"/>
      <c r="AE25" s="284"/>
      <c r="AF25" s="284"/>
      <c r="AG25" s="284"/>
      <c r="AH25" s="284"/>
      <c r="AI25" s="284"/>
      <c r="AJ25" s="22"/>
      <c r="AK25" s="106"/>
      <c r="AL25" s="106"/>
      <c r="AM25" s="106"/>
      <c r="AN25" s="106" t="s">
        <v>256</v>
      </c>
      <c r="AO25" s="106" t="s">
        <v>386</v>
      </c>
      <c r="AP25" s="106"/>
      <c r="AQ25" s="106"/>
      <c r="AR25" s="106">
        <v>1</v>
      </c>
      <c r="AS25" s="106"/>
      <c r="AT25" s="106"/>
      <c r="AU25" s="106"/>
    </row>
    <row r="26" spans="1:47">
      <c r="A26" s="107"/>
      <c r="B26" s="587"/>
      <c r="C26" s="238" t="str">
        <f ca="1">AuxData!$J$145</f>
        <v>UPNSTM</v>
      </c>
      <c r="D26" s="238"/>
      <c r="E26" s="238"/>
      <c r="F26" s="289">
        <f ca="1">-IEAData!$J$147</f>
        <v>0</v>
      </c>
      <c r="G26" s="31"/>
      <c r="H26" s="285">
        <f t="shared" si="0"/>
        <v>0</v>
      </c>
      <c r="I26" s="284"/>
      <c r="J26" s="284"/>
      <c r="K26" s="556"/>
      <c r="L26" s="289">
        <f ca="1">-AuxData!$J$147</f>
        <v>0</v>
      </c>
      <c r="M26" s="31"/>
      <c r="N26" s="285">
        <f t="shared" si="1"/>
        <v>0</v>
      </c>
      <c r="O26" s="284"/>
      <c r="P26" s="284"/>
      <c r="Q26" s="556"/>
      <c r="R26" s="284"/>
      <c r="S26" s="31"/>
      <c r="T26" s="31"/>
      <c r="U26" s="31"/>
      <c r="V26" s="284"/>
      <c r="W26" s="573"/>
      <c r="X26" s="573"/>
      <c r="Y26" s="284"/>
      <c r="Z26" s="284"/>
      <c r="AA26" s="284"/>
      <c r="AB26" s="284"/>
      <c r="AC26" s="284"/>
      <c r="AD26" s="284"/>
      <c r="AE26" s="284"/>
      <c r="AF26" s="284"/>
      <c r="AG26" s="284"/>
      <c r="AH26" s="284"/>
      <c r="AI26" s="284"/>
      <c r="AJ26" s="22"/>
      <c r="AK26" s="565" t="s">
        <v>975</v>
      </c>
      <c r="AL26" s="329" t="s">
        <v>976</v>
      </c>
      <c r="AM26" s="329" t="s">
        <v>160</v>
      </c>
      <c r="AN26" s="329"/>
      <c r="AO26" s="329"/>
      <c r="AP26" s="329"/>
      <c r="AQ26" s="329">
        <v>1</v>
      </c>
      <c r="AR26" s="329"/>
      <c r="AS26" s="329">
        <v>1</v>
      </c>
      <c r="AT26" s="329">
        <v>50</v>
      </c>
      <c r="AU26" s="576"/>
    </row>
    <row r="27" spans="1:47">
      <c r="A27" s="559"/>
      <c r="B27" s="591"/>
      <c r="C27" s="238"/>
      <c r="D27" s="238" t="str">
        <f ca="1">AuxData!$C$97</f>
        <v>CONHCO</v>
      </c>
      <c r="E27" s="238"/>
      <c r="F27" s="81"/>
      <c r="G27" s="592">
        <f ca="1">IEAData!C98+IEAData!C101</f>
        <v>0</v>
      </c>
      <c r="H27" s="31"/>
      <c r="I27" s="285">
        <f>IF(G27=0,1,G27/G27)</f>
        <v>1</v>
      </c>
      <c r="J27" s="284"/>
      <c r="K27" s="556"/>
      <c r="L27" s="81"/>
      <c r="M27" s="592">
        <f ca="1">AuxData!C98+AuxData!C101</f>
        <v>0</v>
      </c>
      <c r="N27" s="31"/>
      <c r="O27" s="285">
        <f>IF(M27=0,1,M27/M27)</f>
        <v>1</v>
      </c>
      <c r="P27" s="284"/>
      <c r="Q27" s="556"/>
      <c r="R27" s="285"/>
      <c r="S27" s="31"/>
      <c r="T27" s="31"/>
      <c r="U27" s="31"/>
      <c r="V27" s="284"/>
      <c r="W27" s="573"/>
      <c r="X27" s="573"/>
      <c r="Y27" s="284"/>
      <c r="Z27" s="284"/>
      <c r="AA27" s="284"/>
      <c r="AB27" s="284"/>
      <c r="AC27" s="284"/>
      <c r="AD27" s="284"/>
      <c r="AE27" s="284"/>
      <c r="AF27" s="284"/>
      <c r="AG27" s="284"/>
      <c r="AH27" s="284"/>
      <c r="AI27" s="284"/>
      <c r="AJ27" s="22"/>
      <c r="AK27" s="106"/>
      <c r="AL27" s="106"/>
      <c r="AM27" s="106"/>
      <c r="AN27" s="106" t="s">
        <v>229</v>
      </c>
      <c r="AO27" s="588" t="s">
        <v>385</v>
      </c>
      <c r="AP27" s="106"/>
      <c r="AQ27" s="106"/>
      <c r="AR27" s="106">
        <v>1</v>
      </c>
      <c r="AS27" s="106"/>
      <c r="AT27" s="106"/>
      <c r="AU27" s="106"/>
    </row>
    <row r="28" spans="1:47">
      <c r="A28" s="559"/>
      <c r="B28" s="591"/>
      <c r="C28" s="238"/>
      <c r="D28" s="572" t="s">
        <v>507</v>
      </c>
      <c r="E28" s="238"/>
      <c r="F28" s="81"/>
      <c r="G28" s="31"/>
      <c r="H28" s="31"/>
      <c r="I28" s="593">
        <f ca="1">CalibData!J40*1000</f>
        <v>1</v>
      </c>
      <c r="J28" s="284"/>
      <c r="K28" s="556"/>
      <c r="L28" s="81"/>
      <c r="M28" s="31"/>
      <c r="N28" s="31"/>
      <c r="O28" s="593">
        <f ca="1">CalibData!J40*1000</f>
        <v>1</v>
      </c>
      <c r="P28" s="284"/>
      <c r="Q28" s="556"/>
      <c r="R28" s="285"/>
      <c r="S28" s="31"/>
      <c r="T28" s="31"/>
      <c r="U28" s="31"/>
      <c r="V28" s="284"/>
      <c r="W28" s="573"/>
      <c r="X28" s="573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22"/>
      <c r="AK28" s="565" t="s">
        <v>977</v>
      </c>
      <c r="AL28" s="329" t="s">
        <v>978</v>
      </c>
      <c r="AM28" s="329" t="s">
        <v>163</v>
      </c>
      <c r="AN28" s="329"/>
      <c r="AO28" s="594"/>
      <c r="AP28" s="329"/>
      <c r="AQ28" s="329">
        <v>1</v>
      </c>
      <c r="AR28" s="329"/>
      <c r="AS28" s="329">
        <v>1</v>
      </c>
      <c r="AT28" s="329">
        <v>50</v>
      </c>
      <c r="AU28" s="576"/>
    </row>
    <row r="29" spans="1:47">
      <c r="A29" s="106"/>
      <c r="B29" s="336"/>
      <c r="C29" s="242"/>
      <c r="D29" s="243" t="s">
        <v>809</v>
      </c>
      <c r="E29" s="242"/>
      <c r="F29" s="292"/>
      <c r="G29" s="595">
        <f ca="1">MAX(0,IEAData!B92*-1)</f>
        <v>0</v>
      </c>
      <c r="H29" s="46"/>
      <c r="I29" s="244">
        <f>IF(G27=0,0,G29/G27)</f>
        <v>0</v>
      </c>
      <c r="J29" s="293"/>
      <c r="K29" s="578"/>
      <c r="L29" s="292"/>
      <c r="M29" s="595">
        <f ca="1">MAX(0,AuxData!B92*-1)</f>
        <v>0</v>
      </c>
      <c r="N29" s="46"/>
      <c r="O29" s="244">
        <f>IF(M27=0,0,M29/M27)</f>
        <v>0</v>
      </c>
      <c r="P29" s="293"/>
      <c r="Q29" s="578"/>
      <c r="R29" s="244"/>
      <c r="S29" s="46"/>
      <c r="T29" s="46"/>
      <c r="U29" s="46"/>
      <c r="V29" s="293"/>
      <c r="W29" s="579"/>
      <c r="X29" s="579"/>
      <c r="Y29" s="293"/>
      <c r="Z29" s="293"/>
      <c r="AA29" s="293"/>
      <c r="AB29" s="293"/>
      <c r="AC29" s="293"/>
      <c r="AD29" s="293"/>
      <c r="AE29" s="87"/>
      <c r="AF29" s="87"/>
      <c r="AG29" s="293"/>
      <c r="AH29" s="293"/>
      <c r="AI29" s="293"/>
      <c r="AJ29" s="22"/>
      <c r="AK29" s="349"/>
      <c r="AL29" s="305"/>
      <c r="AM29" s="106"/>
      <c r="AN29" s="106" t="s">
        <v>272</v>
      </c>
      <c r="AO29" s="106" t="s">
        <v>403</v>
      </c>
      <c r="AP29" s="106"/>
      <c r="AQ29" s="106"/>
      <c r="AR29" s="106">
        <v>1</v>
      </c>
      <c r="AS29" s="106"/>
      <c r="AT29" s="106"/>
      <c r="AU29" s="106"/>
    </row>
    <row r="30" spans="1:47">
      <c r="A30" s="237" t="s">
        <v>979</v>
      </c>
      <c r="B30" s="330" t="s">
        <v>980</v>
      </c>
      <c r="C30" s="30" t="str">
        <f ca="1">MIN!$C$10</f>
        <v>CONHAR</v>
      </c>
      <c r="D30" s="580"/>
      <c r="E30" s="281"/>
      <c r="F30" s="283"/>
      <c r="G30" s="284"/>
      <c r="H30" s="285">
        <f t="shared" ref="H30:H38" si="2">H18</f>
        <v>1</v>
      </c>
      <c r="I30" s="596"/>
      <c r="J30" s="597">
        <v>0</v>
      </c>
      <c r="K30" s="598"/>
      <c r="L30" s="283"/>
      <c r="M30" s="284"/>
      <c r="N30" s="285">
        <f t="shared" ref="N30:N38" si="3">N18</f>
        <v>1</v>
      </c>
      <c r="O30" s="596"/>
      <c r="P30" s="597">
        <v>0</v>
      </c>
      <c r="Q30" s="598"/>
      <c r="R30" s="284"/>
      <c r="S30" s="79" t="str">
        <f>IF(S18="","",S18)</f>
        <v/>
      </c>
      <c r="T30" s="239">
        <v>30</v>
      </c>
      <c r="U30" s="80">
        <f ca="1">U18*1.25</f>
        <v>1.3062499999999999</v>
      </c>
      <c r="V30" s="286"/>
      <c r="W30" s="80">
        <f ca="1">W18*1.15</f>
        <v>0</v>
      </c>
      <c r="X30" s="80">
        <f ca="1">W30</f>
        <v>0</v>
      </c>
      <c r="Y30" s="584" t="str">
        <f>IF(Q30&gt;0,0,"")</f>
        <v/>
      </c>
      <c r="Z30" s="597">
        <f>10*P30+1000</f>
        <v>1000</v>
      </c>
      <c r="AA30" s="597"/>
      <c r="AB30" s="597"/>
      <c r="AC30" s="597"/>
      <c r="AD30" s="597"/>
      <c r="AE30" s="31">
        <f>J30</f>
        <v>0</v>
      </c>
      <c r="AF30" s="31">
        <f>MAX(P30,AE30*0.67)</f>
        <v>0</v>
      </c>
      <c r="AG30" s="286" t="str">
        <f>IF(AF30&gt;0,0,"")</f>
        <v/>
      </c>
      <c r="AH30" s="239">
        <v>4</v>
      </c>
      <c r="AI30" s="597"/>
      <c r="AJ30" s="22"/>
      <c r="AK30" s="565" t="s">
        <v>981</v>
      </c>
      <c r="AL30" s="329" t="s">
        <v>982</v>
      </c>
      <c r="AM30" s="329" t="s">
        <v>164</v>
      </c>
      <c r="AN30" s="329"/>
      <c r="AO30" s="329"/>
      <c r="AP30" s="329"/>
      <c r="AQ30" s="329">
        <v>1</v>
      </c>
      <c r="AR30" s="329"/>
      <c r="AS30" s="329">
        <v>1</v>
      </c>
      <c r="AT30" s="329">
        <v>50</v>
      </c>
      <c r="AU30" s="576"/>
    </row>
    <row r="31" spans="1:47">
      <c r="A31" s="599"/>
      <c r="B31" s="600"/>
      <c r="C31" s="238" t="str">
        <f ca="1">AuxData!$C$145</f>
        <v>UPNNGA</v>
      </c>
      <c r="D31" s="238"/>
      <c r="E31" s="238"/>
      <c r="F31" s="283"/>
      <c r="G31" s="31"/>
      <c r="H31" s="285">
        <f t="shared" si="2"/>
        <v>0</v>
      </c>
      <c r="I31" s="596"/>
      <c r="J31" s="284"/>
      <c r="K31" s="556"/>
      <c r="L31" s="283"/>
      <c r="M31" s="31"/>
      <c r="N31" s="285">
        <f t="shared" si="3"/>
        <v>0</v>
      </c>
      <c r="O31" s="596"/>
      <c r="P31" s="284"/>
      <c r="Q31" s="556"/>
      <c r="R31" s="284"/>
      <c r="S31" s="31"/>
      <c r="T31" s="31"/>
      <c r="U31" s="31"/>
      <c r="V31" s="31"/>
      <c r="W31" s="573"/>
      <c r="X31" s="573"/>
      <c r="Y31" s="284"/>
      <c r="Z31" s="284"/>
      <c r="AA31" s="284"/>
      <c r="AB31" s="284"/>
      <c r="AC31" s="284"/>
      <c r="AD31" s="284"/>
      <c r="AE31" s="284"/>
      <c r="AF31" s="284"/>
      <c r="AG31" s="284"/>
      <c r="AH31" s="284"/>
      <c r="AI31" s="284"/>
      <c r="AJ31" s="22"/>
      <c r="AK31" s="106"/>
      <c r="AL31" s="106"/>
      <c r="AM31" s="106"/>
      <c r="AN31" s="106" t="s">
        <v>280</v>
      </c>
      <c r="AO31" s="106" t="s">
        <v>414</v>
      </c>
      <c r="AP31" s="106"/>
      <c r="AQ31" s="106"/>
      <c r="AR31" s="106">
        <v>1</v>
      </c>
      <c r="AS31" s="106"/>
      <c r="AT31" s="106"/>
      <c r="AU31" s="106"/>
    </row>
    <row r="32" spans="1:47">
      <c r="A32" s="599"/>
      <c r="B32" s="587"/>
      <c r="C32" s="238" t="str">
        <f ca="1">AuxData!$D$145</f>
        <v>UPNCOA</v>
      </c>
      <c r="D32" s="238"/>
      <c r="E32" s="238"/>
      <c r="F32" s="283"/>
      <c r="G32" s="31"/>
      <c r="H32" s="285">
        <f t="shared" si="2"/>
        <v>0</v>
      </c>
      <c r="I32" s="596"/>
      <c r="J32" s="284"/>
      <c r="K32" s="556"/>
      <c r="L32" s="283"/>
      <c r="M32" s="31"/>
      <c r="N32" s="285">
        <f t="shared" si="3"/>
        <v>0</v>
      </c>
      <c r="O32" s="596"/>
      <c r="P32" s="284"/>
      <c r="Q32" s="556"/>
      <c r="R32" s="284"/>
      <c r="S32" s="31"/>
      <c r="T32" s="31"/>
      <c r="U32" s="31"/>
      <c r="V32" s="284"/>
      <c r="W32" s="573"/>
      <c r="X32" s="573"/>
      <c r="Y32" s="284"/>
      <c r="Z32" s="284"/>
      <c r="AA32" s="284"/>
      <c r="AB32" s="284"/>
      <c r="AC32" s="284"/>
      <c r="AD32" s="284"/>
      <c r="AE32" s="284"/>
      <c r="AF32" s="284"/>
      <c r="AG32" s="284"/>
      <c r="AH32" s="284"/>
      <c r="AI32" s="284"/>
      <c r="AJ32" s="22"/>
      <c r="AK32" s="565" t="s">
        <v>983</v>
      </c>
      <c r="AL32" s="329" t="s">
        <v>984</v>
      </c>
      <c r="AM32" s="329" t="s">
        <v>746</v>
      </c>
      <c r="AN32" s="329"/>
      <c r="AO32" s="329"/>
      <c r="AP32" s="329"/>
      <c r="AQ32" s="329">
        <v>1</v>
      </c>
      <c r="AR32" s="329"/>
      <c r="AS32" s="329">
        <v>1</v>
      </c>
      <c r="AT32" s="329">
        <v>50</v>
      </c>
      <c r="AU32" s="576"/>
    </row>
    <row r="33" spans="1:47">
      <c r="A33" s="599"/>
      <c r="B33" s="587"/>
      <c r="C33" s="238" t="str">
        <f ca="1">AuxData!$E$145</f>
        <v>UPNCRD</v>
      </c>
      <c r="D33" s="238"/>
      <c r="E33" s="238"/>
      <c r="F33" s="283"/>
      <c r="G33" s="31"/>
      <c r="H33" s="285">
        <f t="shared" si="2"/>
        <v>0</v>
      </c>
      <c r="I33" s="596"/>
      <c r="J33" s="284"/>
      <c r="K33" s="556"/>
      <c r="L33" s="283"/>
      <c r="M33" s="31"/>
      <c r="N33" s="285">
        <f t="shared" si="3"/>
        <v>0</v>
      </c>
      <c r="O33" s="596"/>
      <c r="P33" s="284"/>
      <c r="Q33" s="556"/>
      <c r="R33" s="284"/>
      <c r="S33" s="31"/>
      <c r="T33" s="31"/>
      <c r="U33" s="31"/>
      <c r="V33" s="284"/>
      <c r="W33" s="573"/>
      <c r="X33" s="573"/>
      <c r="Y33" s="284"/>
      <c r="Z33" s="284"/>
      <c r="AA33" s="284"/>
      <c r="AB33" s="284"/>
      <c r="AC33" s="284"/>
      <c r="AD33" s="284"/>
      <c r="AE33" s="284"/>
      <c r="AF33" s="284"/>
      <c r="AG33" s="284"/>
      <c r="AH33" s="284"/>
      <c r="AI33" s="284"/>
      <c r="AJ33" s="22"/>
      <c r="AK33" s="106"/>
      <c r="AL33" s="106"/>
      <c r="AM33" s="106"/>
      <c r="AN33" s="106" t="s">
        <v>165</v>
      </c>
      <c r="AO33" s="106" t="s">
        <v>747</v>
      </c>
      <c r="AP33" s="106"/>
      <c r="AQ33" s="106"/>
      <c r="AR33" s="106">
        <v>1</v>
      </c>
      <c r="AS33" s="106"/>
      <c r="AT33" s="106"/>
      <c r="AU33" s="106"/>
    </row>
    <row r="34" spans="1:47">
      <c r="A34" s="599"/>
      <c r="B34" s="587"/>
      <c r="C34" s="238" t="str">
        <f ca="1">AuxData!$F$145</f>
        <v>UPNRPP</v>
      </c>
      <c r="D34" s="238"/>
      <c r="E34" s="238"/>
      <c r="F34" s="283"/>
      <c r="G34" s="31"/>
      <c r="H34" s="285">
        <f t="shared" si="2"/>
        <v>0</v>
      </c>
      <c r="I34" s="596"/>
      <c r="J34" s="284"/>
      <c r="K34" s="556"/>
      <c r="L34" s="283"/>
      <c r="M34" s="31"/>
      <c r="N34" s="285">
        <f t="shared" si="3"/>
        <v>0</v>
      </c>
      <c r="O34" s="596"/>
      <c r="P34" s="284"/>
      <c r="Q34" s="556"/>
      <c r="R34" s="284"/>
      <c r="S34" s="31"/>
      <c r="T34" s="31"/>
      <c r="U34" s="31"/>
      <c r="V34" s="284"/>
      <c r="W34" s="573"/>
      <c r="X34" s="573"/>
      <c r="Y34" s="284"/>
      <c r="Z34" s="284"/>
      <c r="AA34" s="284"/>
      <c r="AB34" s="284"/>
      <c r="AC34" s="284"/>
      <c r="AD34" s="284"/>
      <c r="AE34" s="284"/>
      <c r="AF34" s="284"/>
      <c r="AG34" s="284"/>
      <c r="AH34" s="284"/>
      <c r="AI34" s="284"/>
      <c r="AJ34" s="22"/>
      <c r="AK34" s="565" t="s">
        <v>985</v>
      </c>
      <c r="AL34" s="329" t="s">
        <v>986</v>
      </c>
      <c r="AM34" s="329" t="s">
        <v>168</v>
      </c>
      <c r="AN34" s="329"/>
      <c r="AO34" s="329"/>
      <c r="AP34" s="329" t="str">
        <f>$AM$2</f>
        <v>EUR00</v>
      </c>
      <c r="AQ34" s="329">
        <v>1</v>
      </c>
      <c r="AR34" s="329"/>
      <c r="AS34" s="329">
        <v>1</v>
      </c>
      <c r="AT34" s="329">
        <v>50</v>
      </c>
      <c r="AU34" s="576">
        <v>0.1</v>
      </c>
    </row>
    <row r="35" spans="1:47">
      <c r="A35" s="599"/>
      <c r="B35" s="587"/>
      <c r="C35" s="238" t="str">
        <f ca="1">AuxData!$G$145</f>
        <v>UPNRPG</v>
      </c>
      <c r="D35" s="238"/>
      <c r="E35" s="238"/>
      <c r="F35" s="283"/>
      <c r="G35" s="31"/>
      <c r="H35" s="285">
        <f t="shared" si="2"/>
        <v>0</v>
      </c>
      <c r="I35" s="596"/>
      <c r="J35" s="284"/>
      <c r="K35" s="556"/>
      <c r="L35" s="283"/>
      <c r="M35" s="31"/>
      <c r="N35" s="285">
        <f t="shared" si="3"/>
        <v>0</v>
      </c>
      <c r="O35" s="596"/>
      <c r="P35" s="284"/>
      <c r="Q35" s="556"/>
      <c r="R35" s="284"/>
      <c r="S35" s="31"/>
      <c r="T35" s="31"/>
      <c r="U35" s="31"/>
      <c r="V35" s="284"/>
      <c r="W35" s="573"/>
      <c r="X35" s="573"/>
      <c r="Y35" s="284"/>
      <c r="Z35" s="284"/>
      <c r="AA35" s="284"/>
      <c r="AB35" s="284"/>
      <c r="AC35" s="284"/>
      <c r="AD35" s="284"/>
      <c r="AE35" s="284"/>
      <c r="AF35" s="284"/>
      <c r="AG35" s="284"/>
      <c r="AH35" s="284"/>
      <c r="AI35" s="284"/>
      <c r="AJ35" s="22"/>
      <c r="AK35" s="349"/>
      <c r="AL35" s="305"/>
      <c r="AM35" s="106"/>
      <c r="AN35" s="106" t="s">
        <v>260</v>
      </c>
      <c r="AO35" s="106" t="s">
        <v>387</v>
      </c>
      <c r="AP35" s="106"/>
      <c r="AQ35" s="106"/>
      <c r="AR35" s="106">
        <v>1</v>
      </c>
      <c r="AS35" s="106"/>
      <c r="AT35" s="106"/>
      <c r="AU35" s="106"/>
    </row>
    <row r="36" spans="1:47">
      <c r="A36" s="599"/>
      <c r="B36" s="587"/>
      <c r="C36" s="238" t="str">
        <f ca="1">AuxData!$H$145</f>
        <v>UPNREN</v>
      </c>
      <c r="D36" s="238"/>
      <c r="E36" s="238"/>
      <c r="F36" s="283"/>
      <c r="G36" s="31"/>
      <c r="H36" s="285">
        <f t="shared" si="2"/>
        <v>0</v>
      </c>
      <c r="I36" s="596"/>
      <c r="J36" s="284"/>
      <c r="K36" s="556"/>
      <c r="L36" s="283"/>
      <c r="M36" s="31"/>
      <c r="N36" s="285">
        <f t="shared" si="3"/>
        <v>0</v>
      </c>
      <c r="O36" s="596"/>
      <c r="P36" s="284"/>
      <c r="Q36" s="556"/>
      <c r="R36" s="284"/>
      <c r="S36" s="31"/>
      <c r="T36" s="31"/>
      <c r="U36" s="31"/>
      <c r="V36" s="284"/>
      <c r="W36" s="573"/>
      <c r="X36" s="573"/>
      <c r="Y36" s="284"/>
      <c r="Z36" s="284"/>
      <c r="AA36" s="284"/>
      <c r="AB36" s="284"/>
      <c r="AC36" s="284"/>
      <c r="AD36" s="284"/>
      <c r="AE36" s="284"/>
      <c r="AF36" s="284"/>
      <c r="AG36" s="284"/>
      <c r="AH36" s="284"/>
      <c r="AI36" s="284"/>
      <c r="AK36" s="565" t="s">
        <v>987</v>
      </c>
      <c r="AL36" s="329" t="s">
        <v>988</v>
      </c>
      <c r="AM36" s="329" t="s">
        <v>169</v>
      </c>
      <c r="AN36" s="329"/>
      <c r="AO36" s="329"/>
      <c r="AP36" s="329" t="str">
        <f>$AM$2</f>
        <v>EUR00</v>
      </c>
      <c r="AQ36" s="329">
        <v>1</v>
      </c>
      <c r="AR36" s="329"/>
      <c r="AS36" s="329">
        <v>1</v>
      </c>
      <c r="AT36" s="329">
        <v>50</v>
      </c>
      <c r="AU36" s="576">
        <v>0.1</v>
      </c>
    </row>
    <row r="37" spans="1:47">
      <c r="A37" s="599"/>
      <c r="B37" s="587"/>
      <c r="C37" s="238" t="str">
        <f ca="1">AuxData!$I$145</f>
        <v>UPNELC</v>
      </c>
      <c r="D37" s="238"/>
      <c r="E37" s="238"/>
      <c r="F37" s="283"/>
      <c r="G37" s="31"/>
      <c r="H37" s="285">
        <f t="shared" si="2"/>
        <v>0</v>
      </c>
      <c r="I37" s="596"/>
      <c r="J37" s="284"/>
      <c r="K37" s="556"/>
      <c r="L37" s="283"/>
      <c r="M37" s="31"/>
      <c r="N37" s="285">
        <f t="shared" si="3"/>
        <v>0</v>
      </c>
      <c r="O37" s="596"/>
      <c r="P37" s="284"/>
      <c r="Q37" s="556"/>
      <c r="R37" s="284"/>
      <c r="S37" s="31"/>
      <c r="T37" s="31"/>
      <c r="U37" s="31"/>
      <c r="V37" s="284"/>
      <c r="W37" s="573"/>
      <c r="X37" s="573"/>
      <c r="Y37" s="284"/>
      <c r="Z37" s="284"/>
      <c r="AA37" s="284"/>
      <c r="AB37" s="284"/>
      <c r="AC37" s="284"/>
      <c r="AD37" s="284"/>
      <c r="AE37" s="284"/>
      <c r="AF37" s="284"/>
      <c r="AG37" s="284"/>
      <c r="AH37" s="284"/>
      <c r="AI37" s="284"/>
      <c r="AJ37" s="22"/>
      <c r="AK37" s="106"/>
      <c r="AL37" s="106"/>
      <c r="AM37" s="106"/>
      <c r="AN37" s="106" t="s">
        <v>265</v>
      </c>
      <c r="AO37" s="106" t="s">
        <v>381</v>
      </c>
      <c r="AP37" s="106"/>
      <c r="AQ37" s="106"/>
      <c r="AR37" s="106">
        <v>1</v>
      </c>
      <c r="AS37" s="106"/>
      <c r="AT37" s="106"/>
      <c r="AU37" s="106"/>
    </row>
    <row r="38" spans="1:47">
      <c r="A38" s="599"/>
      <c r="B38" s="587"/>
      <c r="C38" s="238" t="str">
        <f ca="1">AuxData!$J$145</f>
        <v>UPNSTM</v>
      </c>
      <c r="D38" s="238"/>
      <c r="E38" s="238"/>
      <c r="F38" s="283"/>
      <c r="G38" s="31"/>
      <c r="H38" s="285">
        <f t="shared" si="2"/>
        <v>0</v>
      </c>
      <c r="I38" s="596"/>
      <c r="J38" s="284"/>
      <c r="K38" s="556"/>
      <c r="L38" s="283"/>
      <c r="M38" s="31"/>
      <c r="N38" s="285">
        <f t="shared" si="3"/>
        <v>0</v>
      </c>
      <c r="O38" s="596"/>
      <c r="P38" s="284"/>
      <c r="Q38" s="556"/>
      <c r="R38" s="284"/>
      <c r="S38" s="31"/>
      <c r="T38" s="31"/>
      <c r="U38" s="31"/>
      <c r="V38" s="284"/>
      <c r="W38" s="573"/>
      <c r="X38" s="573"/>
      <c r="Y38" s="284"/>
      <c r="Z38" s="284"/>
      <c r="AA38" s="284"/>
      <c r="AB38" s="284"/>
      <c r="AC38" s="284"/>
      <c r="AD38" s="284"/>
      <c r="AE38" s="284"/>
      <c r="AF38" s="284"/>
      <c r="AG38" s="284"/>
      <c r="AH38" s="284"/>
      <c r="AI38" s="284"/>
      <c r="AJ38" s="22"/>
      <c r="AK38" s="565" t="s">
        <v>989</v>
      </c>
      <c r="AL38" s="329" t="s">
        <v>990</v>
      </c>
      <c r="AM38" s="329" t="s">
        <v>170</v>
      </c>
      <c r="AN38" s="329"/>
      <c r="AO38" s="329"/>
      <c r="AP38" s="329" t="str">
        <f>$AM$2</f>
        <v>EUR00</v>
      </c>
      <c r="AQ38" s="329">
        <v>1</v>
      </c>
      <c r="AR38" s="329"/>
      <c r="AS38" s="329">
        <v>1</v>
      </c>
      <c r="AT38" s="329">
        <v>50</v>
      </c>
      <c r="AU38" s="576">
        <v>0.75</v>
      </c>
    </row>
    <row r="39" spans="1:47">
      <c r="A39" s="599"/>
      <c r="B39" s="591"/>
      <c r="C39" s="238"/>
      <c r="D39" s="238" t="str">
        <f ca="1">AuxData!$C$97</f>
        <v>CONHCO</v>
      </c>
      <c r="E39" s="574"/>
      <c r="F39" s="81"/>
      <c r="G39" s="31"/>
      <c r="H39" s="285"/>
      <c r="I39" s="285">
        <f>I27</f>
        <v>1</v>
      </c>
      <c r="J39" s="284"/>
      <c r="K39" s="556"/>
      <c r="L39" s="81"/>
      <c r="M39" s="31"/>
      <c r="N39" s="285"/>
      <c r="O39" s="285">
        <f>O27</f>
        <v>1</v>
      </c>
      <c r="P39" s="284"/>
      <c r="Q39" s="556"/>
      <c r="R39" s="285"/>
      <c r="S39" s="31"/>
      <c r="T39" s="31"/>
      <c r="U39" s="31"/>
      <c r="V39" s="284"/>
      <c r="W39" s="573"/>
      <c r="X39" s="573"/>
      <c r="Y39" s="284"/>
      <c r="Z39" s="284"/>
      <c r="AA39" s="284"/>
      <c r="AB39" s="284"/>
      <c r="AC39" s="284"/>
      <c r="AD39" s="284"/>
      <c r="AE39" s="284"/>
      <c r="AF39" s="284"/>
      <c r="AG39" s="284"/>
      <c r="AH39" s="284"/>
      <c r="AI39" s="284"/>
      <c r="AJ39" s="22"/>
      <c r="AK39" s="106"/>
      <c r="AL39" s="106"/>
      <c r="AM39" s="106"/>
      <c r="AN39" s="106" t="s">
        <v>262</v>
      </c>
      <c r="AO39" s="106" t="s">
        <v>412</v>
      </c>
      <c r="AP39" s="106"/>
      <c r="AQ39" s="106"/>
      <c r="AR39" s="106">
        <v>1</v>
      </c>
      <c r="AS39" s="106"/>
      <c r="AT39" s="106"/>
      <c r="AU39" s="106"/>
    </row>
    <row r="40" spans="1:47">
      <c r="A40" s="599"/>
      <c r="B40" s="591"/>
      <c r="C40" s="238"/>
      <c r="D40" s="572" t="str">
        <f>D28</f>
        <v>UPNCH4P</v>
      </c>
      <c r="E40" s="574"/>
      <c r="F40" s="81"/>
      <c r="G40" s="31"/>
      <c r="H40" s="285"/>
      <c r="I40" s="31">
        <f>I28</f>
        <v>1</v>
      </c>
      <c r="J40" s="284"/>
      <c r="K40" s="556"/>
      <c r="L40" s="81"/>
      <c r="M40" s="31"/>
      <c r="N40" s="285"/>
      <c r="O40" s="31">
        <f>O28</f>
        <v>1</v>
      </c>
      <c r="P40" s="284"/>
      <c r="Q40" s="556"/>
      <c r="R40" s="285"/>
      <c r="S40" s="31"/>
      <c r="T40" s="31"/>
      <c r="U40" s="31"/>
      <c r="V40" s="284"/>
      <c r="W40" s="573"/>
      <c r="X40" s="573"/>
      <c r="Y40" s="284"/>
      <c r="Z40" s="284"/>
      <c r="AA40" s="284"/>
      <c r="AB40" s="284"/>
      <c r="AC40" s="284"/>
      <c r="AD40" s="284"/>
      <c r="AE40" s="284"/>
      <c r="AF40" s="284"/>
      <c r="AG40" s="284"/>
      <c r="AH40" s="284"/>
      <c r="AI40" s="284"/>
      <c r="AJ40" s="22"/>
      <c r="AK40" s="565" t="s">
        <v>991</v>
      </c>
      <c r="AL40" s="329" t="s">
        <v>992</v>
      </c>
      <c r="AM40" s="329" t="s">
        <v>171</v>
      </c>
      <c r="AN40" s="329"/>
      <c r="AO40" s="329"/>
      <c r="AP40" s="329" t="str">
        <f>$AM$2</f>
        <v>EUR00</v>
      </c>
      <c r="AQ40" s="329">
        <v>1</v>
      </c>
      <c r="AR40" s="329"/>
      <c r="AS40" s="329">
        <v>1</v>
      </c>
      <c r="AT40" s="329">
        <v>50</v>
      </c>
      <c r="AU40" s="576">
        <v>1.75</v>
      </c>
    </row>
    <row r="41" spans="1:47">
      <c r="A41" s="599"/>
      <c r="B41" s="336"/>
      <c r="C41" s="242"/>
      <c r="D41" s="242" t="str">
        <f>D29</f>
        <v>UPNLOSS</v>
      </c>
      <c r="E41" s="601"/>
      <c r="F41" s="292"/>
      <c r="G41" s="602"/>
      <c r="H41" s="244"/>
      <c r="I41" s="244">
        <f>I29</f>
        <v>0</v>
      </c>
      <c r="J41" s="293"/>
      <c r="K41" s="578"/>
      <c r="L41" s="292"/>
      <c r="M41" s="602"/>
      <c r="N41" s="244"/>
      <c r="O41" s="244">
        <f>O29</f>
        <v>0</v>
      </c>
      <c r="P41" s="293"/>
      <c r="Q41" s="578"/>
      <c r="R41" s="244"/>
      <c r="S41" s="46"/>
      <c r="T41" s="46"/>
      <c r="U41" s="46"/>
      <c r="V41" s="293"/>
      <c r="W41" s="579"/>
      <c r="X41" s="579"/>
      <c r="Y41" s="293"/>
      <c r="Z41" s="293"/>
      <c r="AA41" s="293"/>
      <c r="AB41" s="293"/>
      <c r="AC41" s="293"/>
      <c r="AD41" s="293"/>
      <c r="AE41" s="87"/>
      <c r="AF41" s="87"/>
      <c r="AG41" s="293"/>
      <c r="AH41" s="293"/>
      <c r="AI41" s="293"/>
      <c r="AJ41" s="22"/>
      <c r="AK41" s="349"/>
      <c r="AL41" s="305"/>
      <c r="AM41" s="106"/>
      <c r="AN41" s="106" t="s">
        <v>276</v>
      </c>
      <c r="AO41" s="106" t="s">
        <v>405</v>
      </c>
      <c r="AP41" s="106"/>
      <c r="AQ41" s="106"/>
      <c r="AR41" s="106">
        <v>1</v>
      </c>
      <c r="AS41" s="106"/>
      <c r="AT41" s="106"/>
      <c r="AU41" s="106"/>
    </row>
    <row r="42" spans="1:47">
      <c r="A42" s="237" t="s">
        <v>993</v>
      </c>
      <c r="B42" s="330" t="s">
        <v>994</v>
      </c>
      <c r="C42" s="30" t="str">
        <f ca="1">MIN!$C$9</f>
        <v>CONBRO</v>
      </c>
      <c r="D42" s="580"/>
      <c r="E42" s="281"/>
      <c r="F42" s="283">
        <f>G51+G53</f>
        <v>75.497717375999997</v>
      </c>
      <c r="G42" s="284"/>
      <c r="H42" s="285">
        <f>IF($G$51=0,1,F42/$G$51)</f>
        <v>1</v>
      </c>
      <c r="I42" s="284"/>
      <c r="J42" s="581">
        <f>(G51+G53)*1</f>
        <v>75.497717375999997</v>
      </c>
      <c r="K42" s="582"/>
      <c r="L42" s="283">
        <f>M51+M53</f>
        <v>30.603201099999996</v>
      </c>
      <c r="M42" s="284"/>
      <c r="N42" s="285">
        <f>IF($M$51=0,1,L42/$M$51)</f>
        <v>1</v>
      </c>
      <c r="O42" s="284"/>
      <c r="P42" s="581">
        <f>(M51+M53)*1</f>
        <v>30.603201099999996</v>
      </c>
      <c r="Q42" s="582"/>
      <c r="R42" s="284"/>
      <c r="S42" s="239"/>
      <c r="T42" s="239">
        <v>30</v>
      </c>
      <c r="U42" s="583">
        <f>1*0.5</f>
        <v>0.5</v>
      </c>
      <c r="V42" s="286"/>
      <c r="W42" s="583">
        <f>1*0</f>
        <v>0</v>
      </c>
      <c r="X42" s="583">
        <f>1*0</f>
        <v>0</v>
      </c>
      <c r="Y42" s="584" t="str">
        <f>IF(Q42&gt;0,0,"")</f>
        <v/>
      </c>
      <c r="Z42" s="80">
        <f>P42*1.01</f>
        <v>30.909233110999995</v>
      </c>
      <c r="AA42" s="80"/>
      <c r="AB42" s="80"/>
      <c r="AC42" s="80"/>
      <c r="AD42" s="80"/>
      <c r="AE42" s="31">
        <f>J42</f>
        <v>75.497717375999997</v>
      </c>
      <c r="AF42" s="31">
        <f>MAX(P42,AE42*0.7)</f>
        <v>52.848402163199992</v>
      </c>
      <c r="AG42" s="286">
        <f>IF(AF42&gt;0,0,"")</f>
        <v>0</v>
      </c>
      <c r="AH42" s="239">
        <v>4</v>
      </c>
      <c r="AI42" s="597"/>
      <c r="AJ42" s="22"/>
      <c r="AK42" s="565" t="s">
        <v>995</v>
      </c>
      <c r="AL42" s="329" t="s">
        <v>996</v>
      </c>
      <c r="AM42" s="329" t="s">
        <v>172</v>
      </c>
      <c r="AN42" s="329"/>
      <c r="AO42" s="329"/>
      <c r="AP42" s="329" t="str">
        <f>$AM$2</f>
        <v>EUR00</v>
      </c>
      <c r="AQ42" s="329">
        <v>1</v>
      </c>
      <c r="AR42" s="329"/>
      <c r="AS42" s="329">
        <v>1</v>
      </c>
      <c r="AT42" s="329">
        <v>50</v>
      </c>
      <c r="AU42" s="576">
        <v>1.75</v>
      </c>
    </row>
    <row r="43" spans="1:47">
      <c r="A43" s="107"/>
      <c r="B43" s="587"/>
      <c r="C43" s="238" t="str">
        <f ca="1">AuxData!$C$145</f>
        <v>UPNNGA</v>
      </c>
      <c r="D43" s="238"/>
      <c r="E43" s="238"/>
      <c r="F43" s="289">
        <f ca="1">-IEAData!$C$148</f>
        <v>0</v>
      </c>
      <c r="G43" s="31"/>
      <c r="H43" s="285">
        <f t="shared" ref="H43:H50" si="4">IF($G$51=0,0,F43/$G$51)</f>
        <v>0</v>
      </c>
      <c r="I43" s="284"/>
      <c r="J43" s="284"/>
      <c r="K43" s="556"/>
      <c r="L43" s="289">
        <f ca="1">-AuxData!$C$148</f>
        <v>0</v>
      </c>
      <c r="M43" s="31"/>
      <c r="N43" s="285">
        <f t="shared" ref="N43:N50" si="5">IF($M$51=0,0,L43/$M$51)</f>
        <v>0</v>
      </c>
      <c r="O43" s="284"/>
      <c r="P43" s="284"/>
      <c r="Q43" s="556"/>
      <c r="R43" s="284"/>
      <c r="S43" s="31"/>
      <c r="T43" s="31"/>
      <c r="U43" s="31"/>
      <c r="V43" s="31"/>
      <c r="W43" s="573"/>
      <c r="X43" s="573"/>
      <c r="Y43" s="284"/>
      <c r="Z43" s="284"/>
      <c r="AA43" s="284"/>
      <c r="AB43" s="284"/>
      <c r="AC43" s="284"/>
      <c r="AD43" s="284"/>
      <c r="AE43" s="79"/>
      <c r="AF43" s="79"/>
      <c r="AG43" s="284"/>
      <c r="AH43" s="284"/>
      <c r="AI43" s="284"/>
      <c r="AJ43" s="22"/>
      <c r="AK43" s="106"/>
      <c r="AL43" s="106"/>
      <c r="AM43" s="106"/>
      <c r="AN43" s="106" t="s">
        <v>401</v>
      </c>
      <c r="AO43" s="106" t="s">
        <v>402</v>
      </c>
      <c r="AP43" s="106"/>
      <c r="AQ43" s="106"/>
      <c r="AR43" s="106">
        <v>1</v>
      </c>
      <c r="AS43" s="106"/>
      <c r="AT43" s="106"/>
      <c r="AU43" s="106"/>
    </row>
    <row r="44" spans="1:47">
      <c r="A44" s="107"/>
      <c r="B44" s="587"/>
      <c r="C44" s="238" t="str">
        <f ca="1">AuxData!$D$145</f>
        <v>UPNCOA</v>
      </c>
      <c r="D44" s="238"/>
      <c r="E44" s="238"/>
      <c r="F44" s="289">
        <f ca="1">-IEAData!$D$148</f>
        <v>0</v>
      </c>
      <c r="G44" s="31"/>
      <c r="H44" s="285">
        <f t="shared" si="4"/>
        <v>0</v>
      </c>
      <c r="I44" s="284"/>
      <c r="J44" s="284"/>
      <c r="K44" s="556"/>
      <c r="L44" s="289">
        <f ca="1">-AuxData!$D$148</f>
        <v>0</v>
      </c>
      <c r="M44" s="31"/>
      <c r="N44" s="285">
        <f t="shared" si="5"/>
        <v>0</v>
      </c>
      <c r="O44" s="284"/>
      <c r="P44" s="284"/>
      <c r="Q44" s="556"/>
      <c r="R44" s="284"/>
      <c r="S44" s="31"/>
      <c r="T44" s="31"/>
      <c r="U44" s="31"/>
      <c r="V44" s="284"/>
      <c r="W44" s="573"/>
      <c r="X44" s="573"/>
      <c r="Y44" s="284"/>
      <c r="Z44" s="284"/>
      <c r="AA44" s="284"/>
      <c r="AB44" s="284"/>
      <c r="AC44" s="284"/>
      <c r="AD44" s="284"/>
      <c r="AE44" s="79"/>
      <c r="AF44" s="79"/>
      <c r="AG44" s="284"/>
      <c r="AH44" s="284"/>
      <c r="AI44" s="284"/>
      <c r="AJ44" s="22"/>
      <c r="AK44" s="565" t="s">
        <v>997</v>
      </c>
      <c r="AL44" s="329" t="s">
        <v>998</v>
      </c>
      <c r="AM44" s="329" t="s">
        <v>173</v>
      </c>
      <c r="AN44" s="329"/>
      <c r="AO44" s="329"/>
      <c r="AP44" s="329" t="str">
        <f>$AM$2</f>
        <v>EUR00</v>
      </c>
      <c r="AQ44" s="329">
        <v>1</v>
      </c>
      <c r="AR44" s="329"/>
      <c r="AS44" s="329">
        <v>1</v>
      </c>
      <c r="AT44" s="329">
        <v>50</v>
      </c>
      <c r="AU44" s="576">
        <v>1.75</v>
      </c>
    </row>
    <row r="45" spans="1:47">
      <c r="A45" s="107"/>
      <c r="B45" s="587"/>
      <c r="C45" s="238" t="str">
        <f ca="1">AuxData!$E$145</f>
        <v>UPNCRD</v>
      </c>
      <c r="D45" s="238"/>
      <c r="E45" s="238"/>
      <c r="F45" s="289">
        <f ca="1">-IEAData!$E$148</f>
        <v>0</v>
      </c>
      <c r="G45" s="31"/>
      <c r="H45" s="285">
        <f t="shared" si="4"/>
        <v>0</v>
      </c>
      <c r="I45" s="284"/>
      <c r="J45" s="284"/>
      <c r="K45" s="556"/>
      <c r="L45" s="289">
        <f ca="1">-AuxData!$E$148</f>
        <v>0</v>
      </c>
      <c r="M45" s="31"/>
      <c r="N45" s="285">
        <f t="shared" si="5"/>
        <v>0</v>
      </c>
      <c r="O45" s="284"/>
      <c r="P45" s="284"/>
      <c r="Q45" s="556"/>
      <c r="R45" s="284"/>
      <c r="S45" s="31"/>
      <c r="T45" s="31"/>
      <c r="U45" s="31"/>
      <c r="V45" s="284"/>
      <c r="W45" s="573"/>
      <c r="X45" s="573"/>
      <c r="Y45" s="284"/>
      <c r="Z45" s="284"/>
      <c r="AA45" s="284"/>
      <c r="AB45" s="284"/>
      <c r="AC45" s="284"/>
      <c r="AD45" s="284"/>
      <c r="AE45" s="79"/>
      <c r="AF45" s="79"/>
      <c r="AG45" s="284"/>
      <c r="AH45" s="284"/>
      <c r="AI45" s="284"/>
      <c r="AJ45" s="22"/>
      <c r="AK45" s="106"/>
      <c r="AL45" s="106"/>
      <c r="AM45" s="106"/>
      <c r="AN45" s="106" t="s">
        <v>407</v>
      </c>
      <c r="AO45" s="106" t="s">
        <v>408</v>
      </c>
      <c r="AP45" s="106"/>
      <c r="AQ45" s="106"/>
      <c r="AR45" s="106">
        <v>1</v>
      </c>
      <c r="AS45" s="106"/>
      <c r="AT45" s="106"/>
      <c r="AU45" s="106"/>
    </row>
    <row r="46" spans="1:47">
      <c r="A46" s="107"/>
      <c r="B46" s="587"/>
      <c r="C46" s="238" t="str">
        <f ca="1">AuxData!$F$145</f>
        <v>UPNRPP</v>
      </c>
      <c r="D46" s="238"/>
      <c r="E46" s="238"/>
      <c r="F46" s="289">
        <f ca="1">-IEAData!$F$148</f>
        <v>0</v>
      </c>
      <c r="G46" s="31"/>
      <c r="H46" s="285">
        <f t="shared" si="4"/>
        <v>0</v>
      </c>
      <c r="I46" s="284"/>
      <c r="J46" s="284"/>
      <c r="K46" s="556"/>
      <c r="L46" s="289">
        <f ca="1">-AuxData!$F$148</f>
        <v>0</v>
      </c>
      <c r="M46" s="31"/>
      <c r="N46" s="285">
        <f t="shared" si="5"/>
        <v>0</v>
      </c>
      <c r="O46" s="284"/>
      <c r="P46" s="284"/>
      <c r="Q46" s="556"/>
      <c r="R46" s="284"/>
      <c r="S46" s="31"/>
      <c r="T46" s="31"/>
      <c r="U46" s="31"/>
      <c r="V46" s="284"/>
      <c r="W46" s="573"/>
      <c r="X46" s="573"/>
      <c r="Y46" s="284"/>
      <c r="Z46" s="284"/>
      <c r="AA46" s="284"/>
      <c r="AB46" s="284"/>
      <c r="AC46" s="284"/>
      <c r="AD46" s="284"/>
      <c r="AE46" s="79"/>
      <c r="AF46" s="79"/>
      <c r="AG46" s="284"/>
      <c r="AH46" s="284"/>
      <c r="AI46" s="284"/>
      <c r="AJ46" s="22"/>
      <c r="AK46" s="565" t="s">
        <v>999</v>
      </c>
      <c r="AL46" s="329" t="s">
        <v>1000</v>
      </c>
      <c r="AM46" s="329" t="s">
        <v>174</v>
      </c>
      <c r="AN46" s="329"/>
      <c r="AO46" s="329"/>
      <c r="AP46" s="329" t="str">
        <f>$AM$2</f>
        <v>EUR00</v>
      </c>
      <c r="AQ46" s="329">
        <v>1</v>
      </c>
      <c r="AR46" s="329"/>
      <c r="AS46" s="329">
        <v>1</v>
      </c>
      <c r="AT46" s="329">
        <v>50</v>
      </c>
      <c r="AU46" s="576">
        <v>1.5</v>
      </c>
    </row>
    <row r="47" spans="1:47">
      <c r="A47" s="107"/>
      <c r="B47" s="587"/>
      <c r="C47" s="238" t="str">
        <f ca="1">AuxData!$G$145</f>
        <v>UPNRPG</v>
      </c>
      <c r="D47" s="238"/>
      <c r="E47" s="238"/>
      <c r="F47" s="289">
        <f ca="1">-IEAData!$G$148</f>
        <v>0</v>
      </c>
      <c r="G47" s="31"/>
      <c r="H47" s="285">
        <f t="shared" si="4"/>
        <v>0</v>
      </c>
      <c r="I47" s="284"/>
      <c r="J47" s="284"/>
      <c r="K47" s="556"/>
      <c r="L47" s="289">
        <f ca="1">-AuxData!$G$148</f>
        <v>0</v>
      </c>
      <c r="M47" s="31"/>
      <c r="N47" s="285">
        <f t="shared" si="5"/>
        <v>0</v>
      </c>
      <c r="O47" s="284"/>
      <c r="P47" s="284"/>
      <c r="Q47" s="556"/>
      <c r="R47" s="284"/>
      <c r="S47" s="31"/>
      <c r="T47" s="31"/>
      <c r="U47" s="31"/>
      <c r="V47" s="284"/>
      <c r="W47" s="573"/>
      <c r="X47" s="573"/>
      <c r="Y47" s="284"/>
      <c r="Z47" s="284"/>
      <c r="AA47" s="284"/>
      <c r="AB47" s="284"/>
      <c r="AC47" s="284"/>
      <c r="AD47" s="284"/>
      <c r="AE47" s="79"/>
      <c r="AF47" s="79"/>
      <c r="AG47" s="284"/>
      <c r="AH47" s="284"/>
      <c r="AI47" s="284"/>
      <c r="AJ47" s="22"/>
      <c r="AK47" s="106"/>
      <c r="AL47" s="106"/>
      <c r="AM47" s="106"/>
      <c r="AN47" s="106" t="s">
        <v>409</v>
      </c>
      <c r="AO47" s="106" t="s">
        <v>410</v>
      </c>
      <c r="AP47" s="106"/>
      <c r="AQ47" s="106"/>
      <c r="AR47" s="106">
        <v>1</v>
      </c>
      <c r="AS47" s="106"/>
      <c r="AT47" s="106"/>
      <c r="AU47" s="106"/>
    </row>
    <row r="48" spans="1:47">
      <c r="A48" s="107"/>
      <c r="B48" s="587"/>
      <c r="C48" s="238" t="str">
        <f ca="1">AuxData!$H$145</f>
        <v>UPNREN</v>
      </c>
      <c r="D48" s="238"/>
      <c r="E48" s="238"/>
      <c r="F48" s="289">
        <f ca="1">-IEAData!$H$148</f>
        <v>0</v>
      </c>
      <c r="G48" s="31"/>
      <c r="H48" s="285">
        <f t="shared" si="4"/>
        <v>0</v>
      </c>
      <c r="I48" s="284"/>
      <c r="J48" s="284"/>
      <c r="K48" s="556"/>
      <c r="L48" s="289">
        <f ca="1">-AuxData!$H$148</f>
        <v>0</v>
      </c>
      <c r="M48" s="31"/>
      <c r="N48" s="285">
        <f t="shared" si="5"/>
        <v>0</v>
      </c>
      <c r="O48" s="284"/>
      <c r="P48" s="284"/>
      <c r="Q48" s="556"/>
      <c r="R48" s="284"/>
      <c r="S48" s="31"/>
      <c r="T48" s="31"/>
      <c r="U48" s="31"/>
      <c r="V48" s="284"/>
      <c r="W48" s="573"/>
      <c r="X48" s="573"/>
      <c r="Y48" s="284"/>
      <c r="Z48" s="284"/>
      <c r="AA48" s="284"/>
      <c r="AB48" s="284"/>
      <c r="AC48" s="284"/>
      <c r="AD48" s="284"/>
      <c r="AE48" s="79"/>
      <c r="AF48" s="79"/>
      <c r="AG48" s="284"/>
      <c r="AH48" s="284"/>
      <c r="AI48" s="284"/>
      <c r="AJ48" s="22"/>
      <c r="AK48" s="565" t="s">
        <v>1001</v>
      </c>
      <c r="AL48" s="329" t="s">
        <v>1002</v>
      </c>
      <c r="AM48" s="329" t="s">
        <v>175</v>
      </c>
      <c r="AN48" s="329"/>
      <c r="AO48" s="329"/>
      <c r="AP48" s="329" t="str">
        <f>$AM$2</f>
        <v>EUR00</v>
      </c>
      <c r="AQ48" s="329">
        <v>1</v>
      </c>
      <c r="AR48" s="329"/>
      <c r="AS48" s="329">
        <v>1</v>
      </c>
      <c r="AT48" s="329">
        <v>50</v>
      </c>
      <c r="AU48" s="576">
        <v>1.5</v>
      </c>
    </row>
    <row r="49" spans="1:47">
      <c r="A49" s="107"/>
      <c r="B49" s="587"/>
      <c r="C49" s="238" t="str">
        <f ca="1">AuxData!$I$145</f>
        <v>UPNELC</v>
      </c>
      <c r="D49" s="238"/>
      <c r="E49" s="238"/>
      <c r="F49" s="289">
        <f ca="1">-IEAData!$I$148</f>
        <v>0</v>
      </c>
      <c r="G49" s="31"/>
      <c r="H49" s="285">
        <f t="shared" si="4"/>
        <v>0</v>
      </c>
      <c r="I49" s="284"/>
      <c r="J49" s="284"/>
      <c r="K49" s="556"/>
      <c r="L49" s="289">
        <f ca="1">-AuxData!$I$148</f>
        <v>0</v>
      </c>
      <c r="M49" s="31"/>
      <c r="N49" s="285">
        <f t="shared" si="5"/>
        <v>0</v>
      </c>
      <c r="O49" s="284"/>
      <c r="P49" s="284"/>
      <c r="Q49" s="556"/>
      <c r="R49" s="284"/>
      <c r="S49" s="31"/>
      <c r="T49" s="31"/>
      <c r="U49" s="31"/>
      <c r="V49" s="284"/>
      <c r="W49" s="573"/>
      <c r="X49" s="573"/>
      <c r="Y49" s="284"/>
      <c r="Z49" s="284"/>
      <c r="AA49" s="284"/>
      <c r="AB49" s="284"/>
      <c r="AC49" s="284"/>
      <c r="AD49" s="284"/>
      <c r="AE49" s="79"/>
      <c r="AF49" s="79"/>
      <c r="AG49" s="284"/>
      <c r="AH49" s="284"/>
      <c r="AI49" s="284"/>
      <c r="AJ49" s="22"/>
      <c r="AK49" s="106"/>
      <c r="AL49" s="106"/>
      <c r="AM49" s="106"/>
      <c r="AN49" s="106" t="s">
        <v>286</v>
      </c>
      <c r="AO49" s="106" t="s">
        <v>411</v>
      </c>
      <c r="AP49" s="106"/>
      <c r="AQ49" s="106"/>
      <c r="AR49" s="106">
        <v>1</v>
      </c>
      <c r="AS49" s="106"/>
      <c r="AT49" s="106"/>
      <c r="AU49" s="106"/>
    </row>
    <row r="50" spans="1:47">
      <c r="A50" s="107"/>
      <c r="B50" s="587"/>
      <c r="C50" s="238" t="str">
        <f ca="1">AuxData!$J$145</f>
        <v>UPNSTM</v>
      </c>
      <c r="D50" s="238"/>
      <c r="E50" s="238"/>
      <c r="F50" s="289">
        <f ca="1">-IEAData!$J$148</f>
        <v>0</v>
      </c>
      <c r="G50" s="31"/>
      <c r="H50" s="285">
        <f t="shared" si="4"/>
        <v>0</v>
      </c>
      <c r="I50" s="284"/>
      <c r="J50" s="284"/>
      <c r="K50" s="556"/>
      <c r="L50" s="289">
        <f ca="1">-AuxData!$J$148</f>
        <v>0</v>
      </c>
      <c r="M50" s="31"/>
      <c r="N50" s="285">
        <f t="shared" si="5"/>
        <v>0</v>
      </c>
      <c r="O50" s="284"/>
      <c r="P50" s="284"/>
      <c r="Q50" s="556"/>
      <c r="R50" s="284"/>
      <c r="S50" s="31"/>
      <c r="T50" s="31"/>
      <c r="U50" s="31"/>
      <c r="V50" s="284"/>
      <c r="W50" s="573"/>
      <c r="X50" s="573"/>
      <c r="Y50" s="284"/>
      <c r="Z50" s="284"/>
      <c r="AA50" s="284"/>
      <c r="AB50" s="284"/>
      <c r="AC50" s="284"/>
      <c r="AD50" s="284"/>
      <c r="AE50" s="79"/>
      <c r="AF50" s="79"/>
      <c r="AG50" s="284"/>
      <c r="AH50" s="284"/>
      <c r="AI50" s="284"/>
      <c r="AJ50" s="590"/>
      <c r="AK50" s="565" t="s">
        <v>1003</v>
      </c>
      <c r="AL50" s="329" t="s">
        <v>1004</v>
      </c>
      <c r="AM50" s="329" t="s">
        <v>176</v>
      </c>
      <c r="AN50" s="329"/>
      <c r="AO50" s="329"/>
      <c r="AP50" s="329" t="str">
        <f>$AM$2</f>
        <v>EUR00</v>
      </c>
      <c r="AQ50" s="329">
        <v>1</v>
      </c>
      <c r="AR50" s="329"/>
      <c r="AS50" s="329">
        <v>1</v>
      </c>
      <c r="AT50" s="329">
        <v>50</v>
      </c>
      <c r="AU50" s="576">
        <v>1.25</v>
      </c>
    </row>
    <row r="51" spans="1:47">
      <c r="A51" s="107"/>
      <c r="B51" s="587"/>
      <c r="C51" s="238"/>
      <c r="D51" s="238" t="str">
        <f ca="1">AuxData!$D$97</f>
        <v>CONBCO</v>
      </c>
      <c r="E51" s="238"/>
      <c r="F51" s="81"/>
      <c r="G51" s="592">
        <f ca="1">IEAData!D98+IEAData!D101</f>
        <v>75.497717375999997</v>
      </c>
      <c r="H51" s="31"/>
      <c r="I51" s="285">
        <f>IF(G51=0,1,G51/G51)</f>
        <v>1</v>
      </c>
      <c r="J51" s="284"/>
      <c r="K51" s="556"/>
      <c r="L51" s="81"/>
      <c r="M51" s="592">
        <f ca="1">AuxData!D98+AuxData!D101</f>
        <v>30.603201099999996</v>
      </c>
      <c r="N51" s="31"/>
      <c r="O51" s="285">
        <f>IF(M51=0,1,M51/M51)</f>
        <v>1</v>
      </c>
      <c r="P51" s="284"/>
      <c r="Q51" s="556"/>
      <c r="R51" s="285"/>
      <c r="S51" s="31"/>
      <c r="T51" s="31"/>
      <c r="U51" s="31"/>
      <c r="V51" s="284"/>
      <c r="W51" s="573"/>
      <c r="X51" s="573"/>
      <c r="Y51" s="284"/>
      <c r="Z51" s="284"/>
      <c r="AA51" s="284"/>
      <c r="AB51" s="284"/>
      <c r="AC51" s="284"/>
      <c r="AD51" s="284"/>
      <c r="AE51" s="79"/>
      <c r="AF51" s="79"/>
      <c r="AG51" s="284"/>
      <c r="AH51" s="284"/>
      <c r="AI51" s="284"/>
      <c r="AJ51" s="22"/>
      <c r="AK51" s="106"/>
      <c r="AL51" s="106"/>
      <c r="AM51" s="106"/>
      <c r="AN51" s="106" t="s">
        <v>274</v>
      </c>
      <c r="AO51" s="106" t="s">
        <v>404</v>
      </c>
      <c r="AP51" s="106"/>
      <c r="AQ51" s="106"/>
      <c r="AR51" s="106">
        <v>1</v>
      </c>
      <c r="AS51" s="106"/>
      <c r="AT51" s="106"/>
      <c r="AU51" s="106"/>
    </row>
    <row r="52" spans="1:47">
      <c r="A52" s="107"/>
      <c r="B52" s="587"/>
      <c r="C52" s="238"/>
      <c r="D52" s="572" t="str">
        <f>D28</f>
        <v>UPNCH4P</v>
      </c>
      <c r="E52" s="238"/>
      <c r="F52" s="81"/>
      <c r="G52" s="31"/>
      <c r="H52" s="31"/>
      <c r="I52" s="31">
        <f>I28</f>
        <v>1</v>
      </c>
      <c r="J52" s="284"/>
      <c r="K52" s="556"/>
      <c r="L52" s="81"/>
      <c r="M52" s="31"/>
      <c r="N52" s="31"/>
      <c r="O52" s="31">
        <f>O28</f>
        <v>1</v>
      </c>
      <c r="P52" s="284"/>
      <c r="Q52" s="556"/>
      <c r="R52" s="285"/>
      <c r="S52" s="31"/>
      <c r="T52" s="31"/>
      <c r="U52" s="31"/>
      <c r="V52" s="284"/>
      <c r="W52" s="573"/>
      <c r="X52" s="573"/>
      <c r="Y52" s="284"/>
      <c r="Z52" s="284"/>
      <c r="AA52" s="284"/>
      <c r="AB52" s="284"/>
      <c r="AC52" s="284"/>
      <c r="AD52" s="284"/>
      <c r="AE52" s="79"/>
      <c r="AF52" s="79"/>
      <c r="AG52" s="284"/>
      <c r="AH52" s="284"/>
      <c r="AI52" s="284"/>
      <c r="AJ52" s="22"/>
      <c r="AK52" s="565" t="s">
        <v>1005</v>
      </c>
      <c r="AL52" s="329" t="s">
        <v>1006</v>
      </c>
      <c r="AM52" s="329" t="s">
        <v>177</v>
      </c>
      <c r="AN52" s="329"/>
      <c r="AO52" s="329"/>
      <c r="AP52" s="329" t="str">
        <f>$AM$2</f>
        <v>EUR00</v>
      </c>
      <c r="AQ52" s="329">
        <v>1</v>
      </c>
      <c r="AR52" s="329"/>
      <c r="AS52" s="329">
        <v>1</v>
      </c>
      <c r="AT52" s="329">
        <v>50</v>
      </c>
      <c r="AU52" s="576">
        <v>0</v>
      </c>
    </row>
    <row r="53" spans="1:47">
      <c r="A53" s="106"/>
      <c r="B53" s="336"/>
      <c r="C53" s="242"/>
      <c r="D53" s="242" t="s">
        <v>809</v>
      </c>
      <c r="E53" s="242"/>
      <c r="F53" s="292"/>
      <c r="G53" s="595">
        <f ca="1">IEAData!C92*-1</f>
        <v>0</v>
      </c>
      <c r="H53" s="46"/>
      <c r="I53" s="244">
        <f>IF(G51=0,0,G53/G51)</f>
        <v>0</v>
      </c>
      <c r="J53" s="293"/>
      <c r="K53" s="578"/>
      <c r="L53" s="292"/>
      <c r="M53" s="595">
        <f ca="1">AuxData!C92*-1</f>
        <v>0</v>
      </c>
      <c r="N53" s="46"/>
      <c r="O53" s="244">
        <f>IF(M51=0,0,M53/M51)</f>
        <v>0</v>
      </c>
      <c r="P53" s="293"/>
      <c r="Q53" s="578"/>
      <c r="R53" s="244"/>
      <c r="S53" s="46"/>
      <c r="T53" s="46"/>
      <c r="U53" s="46"/>
      <c r="V53" s="293"/>
      <c r="W53" s="579"/>
      <c r="X53" s="579"/>
      <c r="Y53" s="293"/>
      <c r="Z53" s="293"/>
      <c r="AA53" s="293"/>
      <c r="AB53" s="293"/>
      <c r="AC53" s="293"/>
      <c r="AD53" s="293"/>
      <c r="AE53" s="87"/>
      <c r="AF53" s="87"/>
      <c r="AG53" s="293"/>
      <c r="AH53" s="293"/>
      <c r="AI53" s="293"/>
      <c r="AJ53" s="22"/>
      <c r="AK53" s="106"/>
      <c r="AL53" s="106"/>
      <c r="AM53" s="106"/>
      <c r="AN53" s="106" t="s">
        <v>287</v>
      </c>
      <c r="AO53" s="106" t="s">
        <v>406</v>
      </c>
      <c r="AP53" s="106"/>
      <c r="AQ53" s="106"/>
      <c r="AR53" s="106">
        <v>1</v>
      </c>
      <c r="AS53" s="106"/>
      <c r="AT53" s="106"/>
      <c r="AU53" s="106"/>
    </row>
    <row r="54" spans="1:47">
      <c r="A54" s="237" t="s">
        <v>1007</v>
      </c>
      <c r="B54" s="330" t="s">
        <v>1008</v>
      </c>
      <c r="C54" s="30" t="str">
        <f ca="1">MIN!C15</f>
        <v>OILADD</v>
      </c>
      <c r="D54" s="281"/>
      <c r="E54" s="281"/>
      <c r="F54" s="283">
        <f ca="1">G55</f>
        <v>1.7835768000000001</v>
      </c>
      <c r="G54" s="284"/>
      <c r="H54" s="258">
        <f>IF(G55=0,1,F54/G55)</f>
        <v>1</v>
      </c>
      <c r="I54" s="284"/>
      <c r="J54" s="80">
        <f>G55</f>
        <v>1.7835768000000001</v>
      </c>
      <c r="K54" s="562"/>
      <c r="L54" s="283">
        <f ca="1">M55</f>
        <v>0</v>
      </c>
      <c r="M54" s="284"/>
      <c r="N54" s="258">
        <f>IF(M55=0,1,L54/M55)</f>
        <v>1</v>
      </c>
      <c r="O54" s="284"/>
      <c r="P54" s="80">
        <f>M55</f>
        <v>0</v>
      </c>
      <c r="Q54" s="562"/>
      <c r="R54" s="284"/>
      <c r="S54" s="239"/>
      <c r="T54" s="239">
        <v>50</v>
      </c>
      <c r="U54" s="239"/>
      <c r="V54" s="286"/>
      <c r="W54" s="583">
        <v>10</v>
      </c>
      <c r="X54" s="583">
        <v>10</v>
      </c>
      <c r="Y54" s="80"/>
      <c r="Z54" s="80">
        <f>P54*5+100</f>
        <v>100</v>
      </c>
      <c r="AA54" s="80"/>
      <c r="AB54" s="80"/>
      <c r="AC54" s="80"/>
      <c r="AD54" s="80"/>
      <c r="AE54" s="31">
        <f>J54</f>
        <v>1.7835768000000001</v>
      </c>
      <c r="AF54" s="31">
        <f>MAX(P54,AE54*0.67)</f>
        <v>1.1949964560000002</v>
      </c>
      <c r="AG54" s="286">
        <f>IF(AF54&gt;0,0,"")</f>
        <v>0</v>
      </c>
      <c r="AH54" s="239">
        <v>4</v>
      </c>
      <c r="AI54" s="597"/>
      <c r="AJ54" s="22"/>
      <c r="AK54" s="565" t="s">
        <v>1009</v>
      </c>
      <c r="AL54" s="329" t="s">
        <v>1010</v>
      </c>
      <c r="AM54" s="329" t="s">
        <v>178</v>
      </c>
      <c r="AN54" s="329"/>
      <c r="AO54" s="329"/>
      <c r="AP54" s="329" t="str">
        <f>$AM$2</f>
        <v>EUR00</v>
      </c>
      <c r="AQ54" s="329">
        <v>1</v>
      </c>
      <c r="AR54" s="329"/>
      <c r="AS54" s="329">
        <v>1</v>
      </c>
      <c r="AT54" s="329">
        <v>50</v>
      </c>
      <c r="AU54" s="576">
        <v>0.25</v>
      </c>
    </row>
    <row r="55" spans="1:47">
      <c r="A55" s="349"/>
      <c r="B55" s="603"/>
      <c r="C55" s="242"/>
      <c r="D55" s="243" t="s">
        <v>166</v>
      </c>
      <c r="E55" s="601" t="s">
        <v>754</v>
      </c>
      <c r="F55" s="292"/>
      <c r="G55" s="46">
        <f ca="1">IEAData!X98+IEAData!X101</f>
        <v>1.7835768000000001</v>
      </c>
      <c r="H55" s="46"/>
      <c r="I55" s="46">
        <v>1</v>
      </c>
      <c r="J55" s="293"/>
      <c r="K55" s="578"/>
      <c r="L55" s="292"/>
      <c r="M55" s="46">
        <f ca="1">AuxData!X98+AuxData!X101</f>
        <v>0</v>
      </c>
      <c r="N55" s="46"/>
      <c r="O55" s="46">
        <v>1</v>
      </c>
      <c r="P55" s="293"/>
      <c r="Q55" s="578"/>
      <c r="R55" s="46"/>
      <c r="S55" s="46"/>
      <c r="T55" s="46"/>
      <c r="U55" s="46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  <c r="AI55" s="293"/>
      <c r="AJ55" s="22"/>
      <c r="AK55" s="106"/>
      <c r="AL55" s="106"/>
      <c r="AM55" s="106"/>
      <c r="AN55" s="106" t="s">
        <v>278</v>
      </c>
      <c r="AO55" s="106" t="s">
        <v>413</v>
      </c>
      <c r="AP55" s="106"/>
      <c r="AQ55" s="106"/>
      <c r="AR55" s="106">
        <v>1</v>
      </c>
      <c r="AS55" s="106"/>
      <c r="AT55" s="106"/>
      <c r="AU55" s="106"/>
    </row>
    <row r="56" spans="1:47">
      <c r="A56" s="237" t="s">
        <v>1011</v>
      </c>
      <c r="B56" s="330" t="s">
        <v>1012</v>
      </c>
      <c r="C56" s="238" t="s">
        <v>343</v>
      </c>
      <c r="D56" s="294" t="s">
        <v>330</v>
      </c>
      <c r="E56" s="601" t="s">
        <v>354</v>
      </c>
      <c r="F56" s="81"/>
      <c r="G56" s="31"/>
      <c r="H56" s="31"/>
      <c r="I56" s="31"/>
      <c r="J56" s="284"/>
      <c r="K56" s="556"/>
      <c r="L56" s="81"/>
      <c r="M56" s="31"/>
      <c r="N56" s="31">
        <v>1</v>
      </c>
      <c r="O56" s="31"/>
      <c r="P56" s="284"/>
      <c r="Q56" s="556"/>
      <c r="R56" s="31"/>
      <c r="S56" s="31"/>
      <c r="T56" s="31"/>
      <c r="U56" s="31"/>
      <c r="V56" s="284"/>
      <c r="W56" s="573">
        <v>0.5</v>
      </c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284"/>
      <c r="AI56" s="284"/>
      <c r="AJ56" s="22"/>
      <c r="AK56" s="565" t="s">
        <v>1013</v>
      </c>
      <c r="AL56" s="329" t="s">
        <v>1014</v>
      </c>
      <c r="AM56" s="329" t="s">
        <v>179</v>
      </c>
      <c r="AN56" s="329"/>
      <c r="AO56" s="329"/>
      <c r="AP56" s="329" t="str">
        <f>$AM$2</f>
        <v>EUR00</v>
      </c>
      <c r="AQ56" s="329">
        <v>1</v>
      </c>
      <c r="AR56" s="329"/>
      <c r="AS56" s="329">
        <v>1</v>
      </c>
      <c r="AT56" s="329">
        <v>50</v>
      </c>
      <c r="AU56" s="576">
        <v>1.75</v>
      </c>
    </row>
    <row r="57" spans="1:47">
      <c r="A57" s="237" t="s">
        <v>572</v>
      </c>
      <c r="B57" s="330" t="s">
        <v>1015</v>
      </c>
      <c r="C57" s="238" t="s">
        <v>229</v>
      </c>
      <c r="D57" s="281"/>
      <c r="E57" s="281"/>
      <c r="F57" s="283">
        <f ca="1">MAX(-0.0005*IEAData!$L$140,-IEAData!C140)</f>
        <v>0.35721484524000002</v>
      </c>
      <c r="G57" s="284"/>
      <c r="H57" s="285"/>
      <c r="I57" s="284"/>
      <c r="J57" s="31"/>
      <c r="K57" s="604"/>
      <c r="L57" s="283">
        <f ca="1">MAX(-0.0023*AuxData!$L$140,-AuxData!C140)</f>
        <v>0.16265852493999999</v>
      </c>
      <c r="M57" s="284"/>
      <c r="N57" s="285"/>
      <c r="O57" s="284"/>
      <c r="P57" s="31"/>
      <c r="Q57" s="604"/>
      <c r="R57" s="284"/>
      <c r="S57" s="239"/>
      <c r="T57" s="239">
        <v>50</v>
      </c>
      <c r="U57" s="286"/>
      <c r="V57" s="286"/>
      <c r="W57" s="583">
        <v>1</v>
      </c>
      <c r="X57" s="286"/>
      <c r="Y57" s="31"/>
      <c r="Z57" s="31"/>
      <c r="AA57" s="31"/>
      <c r="AB57" s="31"/>
      <c r="AC57" s="31"/>
      <c r="AD57" s="31"/>
      <c r="AE57" s="31"/>
      <c r="AF57" s="31"/>
      <c r="AG57" s="286"/>
      <c r="AH57" s="239"/>
      <c r="AI57" s="31"/>
      <c r="AJ57" s="22"/>
      <c r="AK57" s="106"/>
      <c r="AL57" s="106"/>
      <c r="AM57" s="106"/>
      <c r="AN57" s="106" t="s">
        <v>752</v>
      </c>
      <c r="AO57" s="106" t="s">
        <v>753</v>
      </c>
      <c r="AP57" s="106"/>
      <c r="AQ57" s="106"/>
      <c r="AR57" s="106">
        <v>1</v>
      </c>
      <c r="AS57" s="106"/>
      <c r="AT57" s="106"/>
      <c r="AU57" s="106"/>
    </row>
    <row r="58" spans="1:47">
      <c r="A58" s="107"/>
      <c r="B58" s="330"/>
      <c r="C58" s="238" t="s">
        <v>274</v>
      </c>
      <c r="D58" s="281"/>
      <c r="E58" s="281"/>
      <c r="F58" s="283">
        <f ca="1">-IEAData!F140</f>
        <v>0</v>
      </c>
      <c r="G58" s="284"/>
      <c r="H58" s="31" t="str">
        <f>IF(F58&gt;0,F58/F$57,"")</f>
        <v/>
      </c>
      <c r="I58" s="284"/>
      <c r="J58" s="284"/>
      <c r="K58" s="556"/>
      <c r="L58" s="283">
        <f ca="1">-AuxData!F140</f>
        <v>0</v>
      </c>
      <c r="M58" s="284"/>
      <c r="N58" s="31" t="str">
        <f>IF(L58&gt;0,L58/L$57,"")</f>
        <v/>
      </c>
      <c r="O58" s="284"/>
      <c r="P58" s="284"/>
      <c r="Q58" s="556"/>
      <c r="R58" s="284">
        <f>IF(L58&gt;0,"",2)</f>
        <v>2</v>
      </c>
      <c r="S58" s="239"/>
      <c r="T58" s="239"/>
      <c r="U58" s="286"/>
      <c r="V58" s="286"/>
      <c r="W58" s="583"/>
      <c r="X58" s="286"/>
      <c r="Y58" s="284"/>
      <c r="Z58" s="284"/>
      <c r="AA58" s="284"/>
      <c r="AB58" s="284"/>
      <c r="AC58" s="284"/>
      <c r="AD58" s="284"/>
      <c r="AE58" s="79"/>
      <c r="AF58" s="79"/>
      <c r="AG58" s="284"/>
      <c r="AH58" s="284"/>
      <c r="AI58" s="284"/>
      <c r="AK58" s="565" t="s">
        <v>1016</v>
      </c>
      <c r="AL58" s="329" t="s">
        <v>1017</v>
      </c>
      <c r="AM58" s="329" t="s">
        <v>180</v>
      </c>
      <c r="AN58" s="329"/>
      <c r="AO58" s="329"/>
      <c r="AP58" s="329" t="str">
        <f>$AM$2</f>
        <v>EUR00</v>
      </c>
      <c r="AQ58" s="329">
        <v>1</v>
      </c>
      <c r="AR58" s="329"/>
      <c r="AS58" s="329">
        <v>1</v>
      </c>
      <c r="AT58" s="329">
        <v>50</v>
      </c>
      <c r="AU58" s="576">
        <v>1.75</v>
      </c>
    </row>
    <row r="59" spans="1:47">
      <c r="A59" s="106"/>
      <c r="B59" s="587"/>
      <c r="C59" s="238" t="str">
        <f ca="1">AuxData!$I$145</f>
        <v>UPNELC</v>
      </c>
      <c r="D59" s="238"/>
      <c r="E59" s="238"/>
      <c r="F59" s="289">
        <f ca="1">-IEAData!I140</f>
        <v>0</v>
      </c>
      <c r="G59" s="31"/>
      <c r="H59" s="31">
        <f>IF(F$57&gt;0,F59/F$57,0)</f>
        <v>0</v>
      </c>
      <c r="I59" s="284"/>
      <c r="J59" s="293"/>
      <c r="K59" s="578"/>
      <c r="L59" s="289">
        <f ca="1">-AuxData!I140</f>
        <v>0</v>
      </c>
      <c r="M59" s="31"/>
      <c r="N59" s="31">
        <f>IF(L$57&gt;0,L59/L$57,0)</f>
        <v>0</v>
      </c>
      <c r="O59" s="284"/>
      <c r="P59" s="293"/>
      <c r="Q59" s="578"/>
      <c r="R59" s="284"/>
      <c r="S59" s="31"/>
      <c r="T59" s="31"/>
      <c r="U59" s="31"/>
      <c r="V59" s="284"/>
      <c r="W59" s="284"/>
      <c r="X59" s="284"/>
      <c r="Y59" s="293"/>
      <c r="Z59" s="293"/>
      <c r="AA59" s="293"/>
      <c r="AB59" s="293"/>
      <c r="AC59" s="293"/>
      <c r="AD59" s="293"/>
      <c r="AE59" s="87"/>
      <c r="AF59" s="87"/>
      <c r="AG59" s="293"/>
      <c r="AH59" s="293"/>
      <c r="AI59" s="293"/>
      <c r="AJ59" s="22"/>
      <c r="AK59" s="106"/>
      <c r="AL59" s="106"/>
      <c r="AM59" s="106"/>
      <c r="AN59" s="106" t="s">
        <v>748</v>
      </c>
      <c r="AO59" s="106" t="s">
        <v>749</v>
      </c>
      <c r="AP59" s="106"/>
      <c r="AQ59" s="106"/>
      <c r="AR59" s="106">
        <v>1</v>
      </c>
      <c r="AS59" s="106"/>
      <c r="AT59" s="106"/>
      <c r="AU59" s="106"/>
    </row>
    <row r="60" spans="1:47">
      <c r="A60" s="107"/>
      <c r="B60" s="605"/>
      <c r="C60" s="242"/>
      <c r="D60" s="243" t="s">
        <v>524</v>
      </c>
      <c r="E60" s="242" t="s">
        <v>525</v>
      </c>
      <c r="F60" s="291"/>
      <c r="G60" s="46">
        <f ca="1">MAX(-INDEX(CalibData!$R$27:$R$32,RegIndex)*IEAData!L140,-IEAData!C139)</f>
        <v>8.8119949219077592E-2</v>
      </c>
      <c r="H60" s="244"/>
      <c r="I60" s="46">
        <f>IF(F$57&gt;0,G60/F$57,0)</f>
        <v>0.24668613411033607</v>
      </c>
      <c r="J60" s="284"/>
      <c r="K60" s="556"/>
      <c r="L60" s="291"/>
      <c r="M60" s="606">
        <f ca="1">MAX(-INDEX(CalibData!$R$27:$R$32,RegIndex)*AuxData!L140,-AuxData!C139)</f>
        <v>0.26933285500000004</v>
      </c>
      <c r="N60" s="244"/>
      <c r="O60" s="46">
        <f>IF(L$57&gt;0,M60/L$57,0)</f>
        <v>1.6558176406637717</v>
      </c>
      <c r="P60" s="284"/>
      <c r="Q60" s="556"/>
      <c r="R60" s="293"/>
      <c r="S60" s="46"/>
      <c r="T60" s="46"/>
      <c r="U60" s="46"/>
      <c r="V60" s="293"/>
      <c r="W60" s="293"/>
      <c r="X60" s="293"/>
      <c r="Y60" s="284"/>
      <c r="Z60" s="284"/>
      <c r="AA60" s="284"/>
      <c r="AB60" s="284"/>
      <c r="AC60" s="284"/>
      <c r="AD60" s="284"/>
      <c r="AE60" s="79"/>
      <c r="AF60" s="79"/>
      <c r="AG60" s="284"/>
      <c r="AH60" s="284"/>
      <c r="AI60" s="284"/>
      <c r="AJ60" s="22"/>
      <c r="AK60" s="565" t="s">
        <v>1018</v>
      </c>
      <c r="AL60" s="329" t="s">
        <v>1019</v>
      </c>
      <c r="AM60" s="329" t="s">
        <v>181</v>
      </c>
      <c r="AN60" s="329"/>
      <c r="AO60" s="329"/>
      <c r="AP60" s="329" t="str">
        <f>$AM$2</f>
        <v>EUR00</v>
      </c>
      <c r="AQ60" s="329">
        <v>1</v>
      </c>
      <c r="AR60" s="329"/>
      <c r="AS60" s="329">
        <v>1</v>
      </c>
      <c r="AT60" s="329">
        <v>50</v>
      </c>
      <c r="AU60" s="576">
        <v>0.25</v>
      </c>
    </row>
    <row r="61" spans="1:47">
      <c r="A61" s="237" t="s">
        <v>574</v>
      </c>
      <c r="B61" s="330" t="s">
        <v>1020</v>
      </c>
      <c r="C61" s="238" t="s">
        <v>524</v>
      </c>
      <c r="D61" s="294" t="s">
        <v>507</v>
      </c>
      <c r="E61" s="238"/>
      <c r="F61" s="283"/>
      <c r="G61" s="31"/>
      <c r="H61" s="285"/>
      <c r="I61" s="258">
        <v>20000</v>
      </c>
      <c r="J61" s="284"/>
      <c r="K61" s="556"/>
      <c r="L61" s="283"/>
      <c r="M61" s="31"/>
      <c r="N61" s="285"/>
      <c r="O61" s="258">
        <v>20000</v>
      </c>
      <c r="P61" s="284"/>
      <c r="Q61" s="556"/>
      <c r="R61" s="284"/>
      <c r="S61" s="31"/>
      <c r="T61" s="31"/>
      <c r="U61" s="31"/>
      <c r="V61" s="284"/>
      <c r="W61" s="284"/>
      <c r="X61" s="284"/>
      <c r="Y61" s="284"/>
      <c r="Z61" s="284"/>
      <c r="AA61" s="284"/>
      <c r="AB61" s="284"/>
      <c r="AC61" s="284"/>
      <c r="AD61" s="284"/>
      <c r="AE61" s="79"/>
      <c r="AF61" s="79"/>
      <c r="AG61" s="284"/>
      <c r="AH61" s="284"/>
      <c r="AI61" s="284"/>
      <c r="AJ61" s="22"/>
      <c r="AK61" s="106"/>
      <c r="AL61" s="106"/>
      <c r="AM61" s="106"/>
      <c r="AN61" s="106" t="s">
        <v>744</v>
      </c>
      <c r="AO61" s="106" t="s">
        <v>745</v>
      </c>
      <c r="AP61" s="106"/>
      <c r="AQ61" s="106"/>
      <c r="AR61" s="106">
        <v>1</v>
      </c>
      <c r="AS61" s="106"/>
      <c r="AT61" s="106"/>
      <c r="AU61" s="106"/>
    </row>
    <row r="62" spans="1:47">
      <c r="A62" s="107"/>
      <c r="B62" s="587"/>
      <c r="C62" s="238" t="s">
        <v>229</v>
      </c>
      <c r="D62" s="294"/>
      <c r="E62" s="238"/>
      <c r="F62" s="283"/>
      <c r="G62" s="31"/>
      <c r="H62" s="285">
        <v>1</v>
      </c>
      <c r="I62" s="31"/>
      <c r="J62" s="284"/>
      <c r="K62" s="556"/>
      <c r="L62" s="283"/>
      <c r="M62" s="31"/>
      <c r="N62" s="285">
        <v>1</v>
      </c>
      <c r="O62" s="31"/>
      <c r="P62" s="284"/>
      <c r="Q62" s="556"/>
      <c r="R62" s="284"/>
      <c r="S62" s="31"/>
      <c r="T62" s="31"/>
      <c r="U62" s="31"/>
      <c r="V62" s="284"/>
      <c r="W62" s="284"/>
      <c r="X62" s="284"/>
      <c r="Y62" s="284"/>
      <c r="Z62" s="284"/>
      <c r="AA62" s="284"/>
      <c r="AB62" s="284"/>
      <c r="AC62" s="284"/>
      <c r="AD62" s="284"/>
      <c r="AE62" s="79"/>
      <c r="AF62" s="79"/>
      <c r="AG62" s="284"/>
      <c r="AH62" s="284"/>
      <c r="AI62" s="284"/>
      <c r="AJ62" s="22"/>
      <c r="AK62" s="565" t="s">
        <v>1021</v>
      </c>
      <c r="AL62" s="329" t="s">
        <v>1022</v>
      </c>
      <c r="AM62" s="329" t="s">
        <v>182</v>
      </c>
      <c r="AN62" s="329"/>
      <c r="AO62" s="329"/>
      <c r="AP62" s="329" t="str">
        <f>$AM$2</f>
        <v>EUR00</v>
      </c>
      <c r="AQ62" s="329">
        <v>1</v>
      </c>
      <c r="AR62" s="329"/>
      <c r="AS62" s="329">
        <v>1</v>
      </c>
      <c r="AT62" s="329">
        <v>50</v>
      </c>
      <c r="AU62" s="576">
        <v>1.75</v>
      </c>
    </row>
    <row r="63" spans="1:47">
      <c r="F63" s="607"/>
      <c r="G63" s="22"/>
      <c r="H63" s="22"/>
      <c r="I63" s="22"/>
      <c r="J63" s="22"/>
      <c r="K63" s="608"/>
      <c r="L63" s="607"/>
      <c r="M63" s="22"/>
      <c r="N63" s="22"/>
      <c r="O63" s="22"/>
      <c r="P63" s="22"/>
      <c r="Q63" s="608"/>
      <c r="AJ63" s="22"/>
      <c r="AK63" s="106"/>
      <c r="AL63" s="106"/>
      <c r="AM63" s="106"/>
      <c r="AN63" s="106" t="s">
        <v>750</v>
      </c>
      <c r="AO63" s="106" t="s">
        <v>751</v>
      </c>
      <c r="AP63" s="106"/>
      <c r="AQ63" s="106"/>
      <c r="AR63" s="106">
        <v>1</v>
      </c>
      <c r="AS63" s="106"/>
      <c r="AT63" s="106"/>
      <c r="AU63" s="106"/>
    </row>
    <row r="64" spans="1:47">
      <c r="F64" s="607"/>
      <c r="G64" s="22"/>
      <c r="H64" s="22"/>
      <c r="I64" s="22"/>
      <c r="J64" s="22"/>
      <c r="K64" s="608"/>
      <c r="L64" s="607"/>
      <c r="M64" s="22"/>
      <c r="N64" s="22"/>
      <c r="O64" s="22"/>
      <c r="P64" s="22"/>
      <c r="Q64" s="608"/>
      <c r="AJ64" s="22"/>
      <c r="AK64" s="565" t="s">
        <v>1023</v>
      </c>
      <c r="AL64" s="329" t="s">
        <v>1024</v>
      </c>
      <c r="AM64" s="329" t="s">
        <v>183</v>
      </c>
      <c r="AN64" s="329"/>
      <c r="AO64" s="329"/>
      <c r="AP64" s="329" t="str">
        <f>$AM$2</f>
        <v>EUR00</v>
      </c>
      <c r="AQ64" s="329">
        <v>1</v>
      </c>
      <c r="AR64" s="329"/>
      <c r="AS64" s="329">
        <v>1</v>
      </c>
      <c r="AT64" s="329">
        <v>50</v>
      </c>
      <c r="AU64" s="576">
        <v>0</v>
      </c>
    </row>
    <row r="65" spans="1:47">
      <c r="F65" s="607"/>
      <c r="G65" s="22"/>
      <c r="H65" s="22"/>
      <c r="I65" s="22"/>
      <c r="J65" s="22"/>
      <c r="K65" s="608"/>
      <c r="L65" s="607"/>
      <c r="M65" s="22"/>
      <c r="N65" s="22"/>
      <c r="O65" s="22"/>
      <c r="P65" s="22"/>
      <c r="Q65" s="608"/>
      <c r="AJ65" s="22"/>
      <c r="AK65" s="106"/>
      <c r="AL65" s="106"/>
      <c r="AM65" s="106"/>
      <c r="AN65" s="106" t="s">
        <v>304</v>
      </c>
      <c r="AO65" s="106" t="s">
        <v>416</v>
      </c>
      <c r="AP65" s="106"/>
      <c r="AQ65" s="106"/>
      <c r="AR65" s="106">
        <v>1</v>
      </c>
      <c r="AS65" s="106"/>
      <c r="AT65" s="106"/>
      <c r="AU65" s="106"/>
    </row>
    <row r="66" spans="1:47">
      <c r="F66" s="607"/>
      <c r="G66" s="22"/>
      <c r="H66" s="22"/>
      <c r="I66" s="22"/>
      <c r="J66" s="22"/>
      <c r="K66" s="608"/>
      <c r="L66" s="607"/>
      <c r="M66" s="22"/>
      <c r="N66" s="22"/>
      <c r="O66" s="22"/>
      <c r="P66" s="22"/>
      <c r="Q66" s="608"/>
      <c r="AJ66" s="22"/>
      <c r="AK66" s="565" t="s">
        <v>1025</v>
      </c>
      <c r="AL66" s="329" t="s">
        <v>1026</v>
      </c>
      <c r="AM66" s="329" t="s">
        <v>184</v>
      </c>
      <c r="AN66" s="329"/>
      <c r="AO66" s="329"/>
      <c r="AP66" s="329" t="str">
        <f>$AM$2</f>
        <v>EUR00</v>
      </c>
      <c r="AQ66" s="329">
        <v>1</v>
      </c>
      <c r="AR66" s="329"/>
      <c r="AS66" s="329">
        <v>1</v>
      </c>
      <c r="AT66" s="329">
        <v>50</v>
      </c>
      <c r="AU66" s="576">
        <v>0.5</v>
      </c>
    </row>
    <row r="67" spans="1:47">
      <c r="F67" s="607"/>
      <c r="G67" s="22"/>
      <c r="H67" s="22"/>
      <c r="I67" s="22"/>
      <c r="J67" s="22"/>
      <c r="K67" s="608"/>
      <c r="L67" s="607"/>
      <c r="M67" s="22"/>
      <c r="N67" s="22"/>
      <c r="O67" s="22"/>
      <c r="P67" s="22"/>
      <c r="Q67" s="608"/>
      <c r="AJ67" s="22"/>
      <c r="AK67" s="106"/>
      <c r="AL67" s="106"/>
      <c r="AM67" s="106"/>
      <c r="AN67" s="106" t="s">
        <v>284</v>
      </c>
      <c r="AO67" s="106" t="s">
        <v>415</v>
      </c>
      <c r="AP67" s="106"/>
      <c r="AQ67" s="106"/>
      <c r="AR67" s="106">
        <v>1</v>
      </c>
      <c r="AS67" s="106"/>
      <c r="AT67" s="106"/>
      <c r="AU67" s="106"/>
    </row>
    <row r="68" spans="1:47">
      <c r="E68" s="228"/>
      <c r="F68" s="607"/>
      <c r="G68" s="22"/>
      <c r="H68" s="22"/>
      <c r="I68" s="22"/>
      <c r="J68" s="22"/>
      <c r="K68" s="608"/>
      <c r="L68" s="607"/>
      <c r="M68" s="22"/>
      <c r="N68" s="22"/>
      <c r="O68" s="22"/>
      <c r="P68" s="22"/>
      <c r="Q68" s="608"/>
      <c r="AJ68" s="22"/>
      <c r="AK68" s="609"/>
      <c r="AL68" s="609"/>
      <c r="AM68" s="609"/>
      <c r="AN68" s="609"/>
      <c r="AO68" s="610"/>
      <c r="AP68" s="609"/>
      <c r="AQ68" s="609"/>
      <c r="AR68" s="609"/>
      <c r="AS68" s="609"/>
      <c r="AT68" s="609"/>
      <c r="AU68" s="609"/>
    </row>
    <row r="69" spans="1:47">
      <c r="AJ69" s="22"/>
      <c r="AK69" s="611"/>
      <c r="AL69" s="612"/>
      <c r="AM69" s="613"/>
      <c r="AN69" s="613"/>
      <c r="AO69" s="613"/>
      <c r="AP69" s="613"/>
      <c r="AQ69" s="613"/>
      <c r="AR69" s="613"/>
      <c r="AS69" s="613"/>
      <c r="AT69" s="613"/>
      <c r="AU69" s="613"/>
    </row>
    <row r="70" spans="1:47">
      <c r="AJ70" s="22"/>
    </row>
    <row r="72" spans="1:47">
      <c r="AJ72" s="22"/>
      <c r="AK72" s="22"/>
    </row>
    <row r="73" spans="1:47" ht="18">
      <c r="A73" s="15" t="s">
        <v>576</v>
      </c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22"/>
    </row>
    <row r="74" spans="1:47">
      <c r="A74" s="11"/>
      <c r="B74" s="295"/>
      <c r="D74" s="295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47">
      <c r="A75" s="295"/>
      <c r="B75" s="295"/>
      <c r="C75" s="295"/>
      <c r="F75" s="232" t="str">
        <f>"~FI_T: "&amp;Region</f>
        <v>~FI_T: FIN</v>
      </c>
      <c r="Z75" s="11"/>
      <c r="AA75" s="11"/>
      <c r="AB75" s="11"/>
      <c r="AC75" s="11"/>
    </row>
    <row r="76" spans="1:47" ht="34.5" thickBot="1">
      <c r="A76" s="614" t="s">
        <v>529</v>
      </c>
      <c r="B76" s="614" t="s">
        <v>530</v>
      </c>
      <c r="C76" s="298" t="s">
        <v>531</v>
      </c>
      <c r="D76" s="298" t="s">
        <v>532</v>
      </c>
      <c r="E76" s="298" t="s">
        <v>323</v>
      </c>
      <c r="F76" s="298" t="s">
        <v>533</v>
      </c>
      <c r="G76" s="615" t="s">
        <v>1027</v>
      </c>
      <c r="H76" s="615" t="s">
        <v>1028</v>
      </c>
      <c r="I76" s="615" t="s">
        <v>534</v>
      </c>
      <c r="J76" s="615" t="s">
        <v>577</v>
      </c>
      <c r="K76" s="615" t="s">
        <v>578</v>
      </c>
      <c r="L76" s="615" t="s">
        <v>536</v>
      </c>
      <c r="M76" s="615" t="s">
        <v>569</v>
      </c>
      <c r="N76" s="615" t="s">
        <v>537</v>
      </c>
      <c r="O76" s="615" t="s">
        <v>538</v>
      </c>
      <c r="P76" s="615" t="s">
        <v>579</v>
      </c>
      <c r="Q76" s="615" t="s">
        <v>539</v>
      </c>
      <c r="R76" s="615" t="s">
        <v>570</v>
      </c>
      <c r="S76" s="615" t="s">
        <v>540</v>
      </c>
      <c r="T76" s="615" t="s">
        <v>571</v>
      </c>
      <c r="U76" s="235" t="s">
        <v>590</v>
      </c>
      <c r="V76" s="235" t="s">
        <v>547</v>
      </c>
      <c r="W76" s="615" t="s">
        <v>580</v>
      </c>
      <c r="X76" s="615" t="s">
        <v>581</v>
      </c>
      <c r="Y76" s="615" t="s">
        <v>582</v>
      </c>
      <c r="Z76" s="235"/>
      <c r="AK76" s="11"/>
    </row>
    <row r="77" spans="1:47">
      <c r="A77" s="107" t="s">
        <v>583</v>
      </c>
      <c r="B77" s="107" t="s">
        <v>584</v>
      </c>
      <c r="C77" s="238" t="s">
        <v>229</v>
      </c>
      <c r="D77" s="238"/>
      <c r="E77" s="242"/>
      <c r="F77" s="300" t="s">
        <v>585</v>
      </c>
      <c r="G77" s="31"/>
      <c r="H77" s="79"/>
      <c r="I77" s="79">
        <v>1</v>
      </c>
      <c r="J77" s="616">
        <f xml:space="preserve"> 1/0.94</f>
        <v>1.0638297872340425</v>
      </c>
      <c r="K77" s="79"/>
      <c r="L77" s="617">
        <f xml:space="preserve"> 8000/8760</f>
        <v>0.91324200913242004</v>
      </c>
      <c r="M77" s="79"/>
      <c r="N77" s="79">
        <v>50</v>
      </c>
      <c r="O77" s="303">
        <v>4.95</v>
      </c>
      <c r="P77" s="79"/>
      <c r="Q77" s="618">
        <f xml:space="preserve"> 0.035*4.95</f>
        <v>0.17325000000000002</v>
      </c>
      <c r="R77" s="79"/>
      <c r="S77" s="303">
        <v>0</v>
      </c>
      <c r="T77" s="303"/>
      <c r="U77" s="79"/>
      <c r="V77" s="79"/>
      <c r="W77" s="79"/>
      <c r="X77" s="79"/>
      <c r="Y77" s="79"/>
      <c r="Z77" s="79"/>
      <c r="AK77" s="11"/>
    </row>
    <row r="78" spans="1:47">
      <c r="A78" s="305"/>
      <c r="B78" s="305"/>
      <c r="C78" s="242"/>
      <c r="D78" s="242" t="s">
        <v>383</v>
      </c>
      <c r="E78" s="242" t="s">
        <v>384</v>
      </c>
      <c r="F78" s="46"/>
      <c r="G78" s="46"/>
      <c r="H78" s="87"/>
      <c r="I78" s="87"/>
      <c r="J78" s="87"/>
      <c r="K78" s="87">
        <v>1</v>
      </c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79"/>
    </row>
    <row r="79" spans="1:47">
      <c r="A79" s="107" t="s">
        <v>586</v>
      </c>
      <c r="B79" s="107" t="s">
        <v>587</v>
      </c>
      <c r="C79" s="238" t="s">
        <v>383</v>
      </c>
      <c r="D79" s="238"/>
      <c r="E79" s="242"/>
      <c r="F79" s="300" t="s">
        <v>585</v>
      </c>
      <c r="G79" s="31"/>
      <c r="H79" s="79"/>
      <c r="I79" s="79">
        <v>1</v>
      </c>
      <c r="J79" s="616">
        <f xml:space="preserve"> 1/0.98</f>
        <v>1.0204081632653061</v>
      </c>
      <c r="K79" s="79"/>
      <c r="L79" s="79"/>
      <c r="M79" s="79"/>
      <c r="N79" s="79">
        <v>50</v>
      </c>
      <c r="O79" s="79"/>
      <c r="P79" s="79"/>
      <c r="Q79" s="79"/>
      <c r="R79" s="79"/>
      <c r="S79" s="79">
        <v>1</v>
      </c>
      <c r="T79" s="79">
        <v>1</v>
      </c>
      <c r="U79" s="79"/>
      <c r="V79" s="79"/>
      <c r="W79" s="79"/>
      <c r="X79" s="79"/>
      <c r="Y79" s="79"/>
      <c r="Z79" s="79"/>
    </row>
    <row r="80" spans="1:47">
      <c r="A80" s="106"/>
      <c r="B80" s="306"/>
      <c r="C80" s="242"/>
      <c r="D80" s="242" t="s">
        <v>229</v>
      </c>
      <c r="E80" s="242"/>
      <c r="F80" s="46"/>
      <c r="G80" s="46"/>
      <c r="H80" s="87"/>
      <c r="I80" s="87"/>
      <c r="J80" s="87"/>
      <c r="K80" s="87">
        <v>1</v>
      </c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7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150"/>
  <sheetViews>
    <sheetView tabSelected="1" topLeftCell="H67" zoomScale="75" workbookViewId="0">
      <selection activeCell="AF96" sqref="AF96"/>
    </sheetView>
  </sheetViews>
  <sheetFormatPr defaultColWidth="9.140625" defaultRowHeight="12.75"/>
  <cols>
    <col min="1" max="1" width="12.28515625" customWidth="1"/>
    <col min="2" max="2" width="29.140625" customWidth="1"/>
    <col min="3" max="4" width="9.140625" customWidth="1"/>
    <col min="5" max="5" width="22.42578125" customWidth="1"/>
    <col min="8" max="8" width="10.7109375" customWidth="1"/>
  </cols>
  <sheetData>
    <row r="1" spans="1:50">
      <c r="C1" s="314"/>
      <c r="E1" t="s">
        <v>1029</v>
      </c>
      <c r="F1" s="57"/>
      <c r="G1" s="57"/>
      <c r="H1" s="57"/>
      <c r="I1" s="57"/>
      <c r="J1" s="57"/>
      <c r="K1" s="48"/>
      <c r="L1" s="48"/>
      <c r="M1" s="48"/>
      <c r="N1" s="48"/>
      <c r="O1" s="48"/>
      <c r="P1" s="48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48"/>
    </row>
    <row r="2" spans="1:50">
      <c r="A2" s="38"/>
      <c r="B2" s="318"/>
      <c r="C2" s="319"/>
      <c r="D2" s="396"/>
      <c r="E2" s="227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</row>
    <row r="3" spans="1:50">
      <c r="A3" s="38"/>
      <c r="B3" s="318"/>
      <c r="C3" s="319"/>
      <c r="E3" s="22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</row>
    <row r="4" spans="1:50" ht="18">
      <c r="A4" s="15" t="s">
        <v>663</v>
      </c>
      <c r="B4" s="318"/>
      <c r="C4" s="225"/>
      <c r="D4" s="225"/>
      <c r="E4" s="228"/>
      <c r="F4" s="226"/>
      <c r="G4" s="34"/>
      <c r="H4" s="226"/>
      <c r="I4" s="225"/>
      <c r="J4" s="226"/>
      <c r="K4" s="226"/>
      <c r="L4" s="226"/>
      <c r="M4" s="226"/>
      <c r="N4" s="55"/>
      <c r="O4" s="55"/>
      <c r="P4" s="55"/>
      <c r="Q4" s="55"/>
      <c r="R4" s="55"/>
      <c r="S4" s="55"/>
      <c r="AW4" s="55"/>
    </row>
    <row r="5" spans="1:50">
      <c r="A5" s="90"/>
      <c r="C5" s="314"/>
      <c r="E5" s="228"/>
      <c r="F5" s="57"/>
      <c r="G5" s="57"/>
      <c r="H5" s="57"/>
      <c r="I5" s="57"/>
      <c r="J5" s="48"/>
      <c r="K5" s="48"/>
      <c r="L5" s="48"/>
      <c r="M5" s="48"/>
      <c r="N5" s="57"/>
      <c r="O5" s="57"/>
      <c r="P5" s="57"/>
      <c r="Q5" s="57"/>
      <c r="R5" s="57"/>
      <c r="S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88"/>
      <c r="AV5" s="88"/>
      <c r="AW5" s="57"/>
      <c r="AX5" s="57"/>
    </row>
    <row r="6" spans="1:50">
      <c r="E6" s="228"/>
      <c r="F6" s="57"/>
      <c r="G6" s="57"/>
      <c r="H6" s="57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34"/>
      <c r="AE6" s="34"/>
      <c r="AF6" s="34"/>
      <c r="AG6" s="34"/>
      <c r="AH6" s="34"/>
      <c r="AI6" s="6"/>
      <c r="AJ6" s="6"/>
      <c r="AK6" s="48"/>
      <c r="AL6" s="48"/>
      <c r="AM6" s="48"/>
      <c r="AN6" s="48"/>
      <c r="AO6" s="48"/>
      <c r="AP6" s="48"/>
      <c r="AQ6" s="48"/>
      <c r="AR6" s="48"/>
      <c r="AS6" s="48"/>
    </row>
    <row r="7" spans="1:50" ht="18">
      <c r="A7" s="47" t="s">
        <v>1030</v>
      </c>
      <c r="B7" s="221"/>
      <c r="C7" s="222"/>
      <c r="D7" s="223"/>
      <c r="E7" s="232" t="str">
        <f>"~FI_T: "&amp;Region&amp;"~EUR00"</f>
        <v>~FI_T: FIN~EUR00</v>
      </c>
      <c r="F7" s="57"/>
      <c r="G7" s="57"/>
      <c r="H7" s="57"/>
      <c r="I7" s="57"/>
      <c r="J7" s="57"/>
      <c r="L7" s="55"/>
      <c r="M7" s="48"/>
      <c r="N7" s="48"/>
      <c r="O7" s="48"/>
      <c r="P7" s="48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H7" s="57"/>
      <c r="AI7" s="57"/>
      <c r="AJ7" s="57"/>
      <c r="AK7" s="57"/>
      <c r="AL7" s="57"/>
      <c r="AN7" s="57"/>
      <c r="AO7" s="57"/>
      <c r="AP7" s="57"/>
      <c r="AQ7" s="57"/>
      <c r="AR7" s="57"/>
      <c r="AS7" s="48"/>
    </row>
    <row r="8" spans="1:50" ht="34.5" thickBot="1">
      <c r="A8" s="619" t="s">
        <v>529</v>
      </c>
      <c r="B8" s="233" t="s">
        <v>530</v>
      </c>
      <c r="C8" s="234" t="s">
        <v>531</v>
      </c>
      <c r="D8" s="234" t="s">
        <v>532</v>
      </c>
      <c r="E8" s="233" t="s">
        <v>323</v>
      </c>
      <c r="F8" s="280" t="s">
        <v>1031</v>
      </c>
      <c r="G8" s="235" t="s">
        <v>1032</v>
      </c>
      <c r="H8" s="280" t="s">
        <v>1031</v>
      </c>
      <c r="I8" s="620" t="s">
        <v>1032</v>
      </c>
      <c r="J8" s="235" t="str">
        <f>"EFF"</f>
        <v>EFF</v>
      </c>
      <c r="K8" s="235" t="str">
        <f>"INPUT"</f>
        <v>INPUT</v>
      </c>
      <c r="L8" s="235" t="str">
        <f ca="1">"EFF~"&amp;Auxyear</f>
        <v>EFF~2017</v>
      </c>
      <c r="M8" s="235" t="str">
        <f ca="1">"INPUT~"&amp;Auxyear</f>
        <v>INPUT~2017</v>
      </c>
      <c r="N8" s="324" t="str">
        <f ca="1">"Share~FX~"&amp;BaseYear</f>
        <v>Share~FX~2010</v>
      </c>
      <c r="O8" s="235" t="str">
        <f ca="1">"Output~"&amp;BaseYear</f>
        <v>Output~2010</v>
      </c>
      <c r="P8" s="324" t="str">
        <f ca="1">"Share~FX~"&amp;Auxyear</f>
        <v>Share~FX~2017</v>
      </c>
      <c r="Q8" s="235" t="str">
        <f ca="1">"Output~"&amp;Auxyear</f>
        <v>Output~2017</v>
      </c>
      <c r="R8" s="549" t="str">
        <f ca="1">"ACT_BND~LO~"&amp;BaseYear</f>
        <v>ACT_BND~LO~2010</v>
      </c>
      <c r="S8" s="549" t="str">
        <f ca="1">"ACT_BND~LO~"&amp;Auxyear</f>
        <v>ACT_BND~LO~2017</v>
      </c>
      <c r="T8" s="549" t="str">
        <f ca="1">"ACT_BND~LO~"&amp;BaseYear+20</f>
        <v>ACT_BND~LO~2030</v>
      </c>
      <c r="U8" s="549" t="s">
        <v>1033</v>
      </c>
      <c r="V8" s="235" t="s">
        <v>580</v>
      </c>
      <c r="W8" s="235" t="str">
        <f ca="1">"RESID~"&amp;Auxyear</f>
        <v>RESID~2017</v>
      </c>
      <c r="X8" s="549" t="s">
        <v>590</v>
      </c>
      <c r="Y8" s="621" t="s">
        <v>547</v>
      </c>
      <c r="Z8" s="235" t="s">
        <v>536</v>
      </c>
      <c r="AA8" s="235" t="s">
        <v>534</v>
      </c>
      <c r="AB8" s="235" t="s">
        <v>1034</v>
      </c>
      <c r="AC8" s="235" t="s">
        <v>537</v>
      </c>
      <c r="AD8" s="235" t="s">
        <v>539</v>
      </c>
      <c r="AE8" s="235" t="s">
        <v>540</v>
      </c>
      <c r="AF8" s="621" t="s">
        <v>549</v>
      </c>
      <c r="AK8" s="248"/>
      <c r="AL8" s="248"/>
    </row>
    <row r="9" spans="1:50" ht="13.5" thickBot="1">
      <c r="A9" s="600" t="s">
        <v>1035</v>
      </c>
      <c r="B9" s="330" t="s">
        <v>1036</v>
      </c>
      <c r="C9" s="622" t="s">
        <v>301</v>
      </c>
      <c r="D9" s="281"/>
      <c r="E9" s="587"/>
      <c r="F9" s="623">
        <f ca="1">-IEAData!B71</f>
        <v>35.013496644</v>
      </c>
      <c r="G9" s="624"/>
      <c r="H9" s="623">
        <f ca="1">-AuxData!B71</f>
        <v>34.779098599999998</v>
      </c>
      <c r="I9" s="624"/>
      <c r="J9" s="625">
        <f>IF(G10&gt;0,G10/SUM(F9:F20),0.75)</f>
        <v>0.65567660160693175</v>
      </c>
      <c r="K9" s="239"/>
      <c r="L9" s="625">
        <f>IF(I10&gt;0,I10/SUM(H9:H20),0.75)</f>
        <v>0.66574457328409675</v>
      </c>
      <c r="M9" s="239"/>
      <c r="N9" s="285"/>
      <c r="O9" s="79"/>
      <c r="P9" s="285"/>
      <c r="Q9" s="79"/>
      <c r="R9" s="31">
        <f>G10+G11*0</f>
        <v>24.231105000000003</v>
      </c>
      <c r="S9" s="31">
        <f>I10+I11*0</f>
        <v>25.315201499999997</v>
      </c>
      <c r="T9" s="53">
        <f>S9*0.5</f>
        <v>12.657600749999999</v>
      </c>
      <c r="U9" s="53">
        <f>S9*0</f>
        <v>0</v>
      </c>
      <c r="V9" s="31">
        <f>R9*1.05</f>
        <v>25.442660250000003</v>
      </c>
      <c r="W9" s="31">
        <f>S9*1.05</f>
        <v>26.580961574999996</v>
      </c>
      <c r="X9" s="53">
        <f>S9*1.1</f>
        <v>27.846721649999999</v>
      </c>
      <c r="Y9" s="626">
        <f>X9*4</f>
        <v>111.3868866</v>
      </c>
      <c r="Z9" s="239">
        <v>1</v>
      </c>
      <c r="AA9" s="79">
        <v>1</v>
      </c>
      <c r="AB9" s="239"/>
      <c r="AC9" s="239">
        <v>50</v>
      </c>
      <c r="AD9" s="239"/>
      <c r="AE9" s="239">
        <v>2</v>
      </c>
      <c r="AF9" s="239">
        <v>5</v>
      </c>
      <c r="AK9" s="22"/>
      <c r="AL9" s="22"/>
    </row>
    <row r="10" spans="1:50">
      <c r="A10" s="627"/>
      <c r="B10" s="587"/>
      <c r="C10" s="281"/>
      <c r="D10" s="628" t="str">
        <f ca="1">AuxData!E113</f>
        <v>CONOVC</v>
      </c>
      <c r="E10" s="629" t="s">
        <v>796</v>
      </c>
      <c r="F10" s="289"/>
      <c r="G10" s="630">
        <f ca="1">IEAData!D71</f>
        <v>24.231105000000003</v>
      </c>
      <c r="H10" s="289"/>
      <c r="I10" s="630">
        <f ca="1">AuxData!D71</f>
        <v>25.315201499999997</v>
      </c>
      <c r="J10" s="631"/>
      <c r="K10" s="79"/>
      <c r="L10" s="631"/>
      <c r="M10" s="79"/>
      <c r="N10" s="285"/>
      <c r="O10" s="285"/>
      <c r="P10" s="285"/>
      <c r="Q10" s="285"/>
      <c r="R10" s="284"/>
      <c r="S10" s="284"/>
      <c r="T10" s="79"/>
      <c r="U10" s="79"/>
      <c r="V10" s="79"/>
      <c r="W10" s="79"/>
      <c r="X10" s="284"/>
      <c r="Y10" s="79"/>
      <c r="Z10" s="79"/>
      <c r="AA10" s="284"/>
      <c r="AB10" s="79"/>
      <c r="AC10" s="79"/>
      <c r="AD10" s="79"/>
      <c r="AE10" s="79"/>
      <c r="AF10" s="284"/>
      <c r="AK10" s="22"/>
      <c r="AL10" s="22"/>
    </row>
    <row r="11" spans="1:50">
      <c r="A11" s="627"/>
      <c r="B11" s="587"/>
      <c r="C11" s="281"/>
      <c r="D11" s="628" t="str">
        <f ca="1">AuxData!H113</f>
        <v>GANCOG</v>
      </c>
      <c r="E11" s="629" t="s">
        <v>735</v>
      </c>
      <c r="F11" s="289"/>
      <c r="G11" s="630">
        <f ca="1">IEAData!G71</f>
        <v>6.9901138080000003</v>
      </c>
      <c r="H11" s="289"/>
      <c r="I11" s="630">
        <f ca="1">AuxData!G71</f>
        <v>7.3773006999999993</v>
      </c>
      <c r="J11" s="631"/>
      <c r="K11" s="79"/>
      <c r="L11" s="631"/>
      <c r="M11" s="79"/>
      <c r="N11" s="285"/>
      <c r="O11" s="285">
        <f>IF(G10,G11/G10,0.22)</f>
        <v>0.28847688984881209</v>
      </c>
      <c r="P11" s="285"/>
      <c r="Q11" s="285">
        <f>IF(I10,I11/I10,0.22)</f>
        <v>0.29141781470710398</v>
      </c>
      <c r="R11" s="284"/>
      <c r="S11" s="284"/>
      <c r="T11" s="79"/>
      <c r="U11" s="79"/>
      <c r="V11" s="79"/>
      <c r="W11" s="79"/>
      <c r="X11" s="284"/>
      <c r="Y11" s="79"/>
      <c r="Z11" s="79"/>
      <c r="AA11" s="284"/>
      <c r="AB11" s="79"/>
      <c r="AC11" s="79"/>
      <c r="AD11" s="79"/>
      <c r="AE11" s="79"/>
      <c r="AF11" s="284"/>
      <c r="AK11" s="22"/>
      <c r="AL11" s="22"/>
    </row>
    <row r="12" spans="1:50">
      <c r="A12" s="632"/>
      <c r="B12" s="632"/>
      <c r="C12" s="628" t="str">
        <f ca="1">AuxData!AM113</f>
        <v>OINPTC</v>
      </c>
      <c r="D12" s="633"/>
      <c r="E12" s="632"/>
      <c r="F12" s="623">
        <f ca="1">-IEAData!AL71</f>
        <v>0</v>
      </c>
      <c r="G12" s="624"/>
      <c r="H12" s="623">
        <f ca="1">-AuxData!AL71</f>
        <v>0</v>
      </c>
      <c r="I12" s="624"/>
      <c r="J12" s="79"/>
      <c r="K12" s="285">
        <f t="shared" ref="K12:K20" si="0">IF(G$10&gt;0,F12/$G$10,0)</f>
        <v>0</v>
      </c>
      <c r="L12" s="79"/>
      <c r="M12" s="285">
        <f t="shared" ref="M12:M20" si="1">IF(I$10&gt;0,H12/$I$10,0)</f>
        <v>0</v>
      </c>
      <c r="N12" s="285"/>
      <c r="O12" s="79"/>
      <c r="P12" s="285"/>
      <c r="Q12" s="79"/>
      <c r="R12" s="634"/>
      <c r="S12" s="634"/>
      <c r="T12" s="79"/>
      <c r="U12" s="79"/>
      <c r="V12" s="79"/>
      <c r="W12" s="79"/>
      <c r="X12" s="634"/>
      <c r="Y12" s="79"/>
      <c r="Z12" s="79"/>
      <c r="AA12" s="634"/>
      <c r="AB12" s="343">
        <v>0</v>
      </c>
      <c r="AC12" s="79"/>
      <c r="AD12" s="79"/>
      <c r="AE12" s="79"/>
      <c r="AF12" s="634"/>
      <c r="AK12" s="22"/>
      <c r="AL12" s="22"/>
    </row>
    <row r="13" spans="1:50">
      <c r="A13" s="635"/>
      <c r="B13" s="635"/>
      <c r="C13" s="572" t="str">
        <f ca="1">AuxData!$C$130</f>
        <v>UPNNGA</v>
      </c>
      <c r="D13" s="636"/>
      <c r="E13" s="635"/>
      <c r="F13" s="637">
        <f ca="1">-IEAData!C134</f>
        <v>0</v>
      </c>
      <c r="G13" s="638"/>
      <c r="H13" s="637">
        <f ca="1">-AuxData!C134</f>
        <v>0</v>
      </c>
      <c r="I13" s="638"/>
      <c r="J13" s="103"/>
      <c r="K13" s="285">
        <f t="shared" si="0"/>
        <v>0</v>
      </c>
      <c r="L13" s="103"/>
      <c r="M13" s="285">
        <f t="shared" si="1"/>
        <v>0</v>
      </c>
      <c r="N13" s="285"/>
      <c r="O13" s="103"/>
      <c r="P13" s="285"/>
      <c r="Q13" s="103"/>
      <c r="R13" s="639"/>
      <c r="S13" s="639"/>
      <c r="T13" s="639"/>
      <c r="U13" s="639"/>
      <c r="V13" s="639"/>
      <c r="W13" s="639"/>
      <c r="X13" s="639"/>
      <c r="Y13" s="639"/>
      <c r="Z13" s="639"/>
      <c r="AA13" s="639"/>
      <c r="AB13" s="640">
        <v>0</v>
      </c>
      <c r="AC13" s="103"/>
      <c r="AD13" s="639"/>
      <c r="AE13" s="639"/>
      <c r="AF13" s="639"/>
      <c r="AK13" s="22"/>
      <c r="AL13" s="22"/>
    </row>
    <row r="14" spans="1:50">
      <c r="A14" s="635"/>
      <c r="B14" s="635"/>
      <c r="C14" s="572" t="str">
        <f ca="1">AuxData!$D$130</f>
        <v>UPNCOA</v>
      </c>
      <c r="D14" s="636"/>
      <c r="E14" s="635"/>
      <c r="F14" s="637">
        <f ca="1">-IEAData!D134</f>
        <v>1.9423821240000001</v>
      </c>
      <c r="G14" s="638"/>
      <c r="H14" s="637">
        <f ca="1">-AuxData!D134</f>
        <v>3.2462980999999997</v>
      </c>
      <c r="I14" s="638"/>
      <c r="J14" s="103"/>
      <c r="K14" s="285">
        <f t="shared" si="0"/>
        <v>8.0160691144708418E-2</v>
      </c>
      <c r="L14" s="103"/>
      <c r="M14" s="285">
        <f t="shared" si="1"/>
        <v>0.12823512781440827</v>
      </c>
      <c r="N14" s="285"/>
      <c r="O14" s="639"/>
      <c r="P14" s="285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40">
        <v>0</v>
      </c>
      <c r="AC14" s="639"/>
      <c r="AD14" s="639"/>
      <c r="AE14" s="639"/>
      <c r="AF14" s="639"/>
      <c r="AK14" s="22"/>
      <c r="AL14" s="22"/>
    </row>
    <row r="15" spans="1:50">
      <c r="A15" s="635"/>
      <c r="B15" s="635"/>
      <c r="C15" s="572" t="str">
        <f ca="1">AuxData!$E$130</f>
        <v>UPNCRD</v>
      </c>
      <c r="D15" s="636"/>
      <c r="E15" s="635"/>
      <c r="F15" s="637">
        <f ca="1">-IEAData!E134</f>
        <v>0</v>
      </c>
      <c r="G15" s="638"/>
      <c r="H15" s="637">
        <f ca="1">-AuxData!E134</f>
        <v>0</v>
      </c>
      <c r="I15" s="638"/>
      <c r="J15" s="103"/>
      <c r="K15" s="285">
        <f t="shared" si="0"/>
        <v>0</v>
      </c>
      <c r="L15" s="103"/>
      <c r="M15" s="285">
        <f t="shared" si="1"/>
        <v>0</v>
      </c>
      <c r="N15" s="285"/>
      <c r="O15" s="639"/>
      <c r="P15" s="285"/>
      <c r="Q15" s="639"/>
      <c r="R15" s="639"/>
      <c r="S15" s="639"/>
      <c r="T15" s="639"/>
      <c r="U15" s="639"/>
      <c r="V15" s="639"/>
      <c r="W15" s="639"/>
      <c r="X15" s="639"/>
      <c r="Y15" s="639"/>
      <c r="Z15" s="639"/>
      <c r="AA15" s="639"/>
      <c r="AB15" s="640">
        <v>0</v>
      </c>
      <c r="AC15" s="639"/>
      <c r="AD15" s="639"/>
      <c r="AE15" s="639"/>
      <c r="AF15" s="639"/>
      <c r="AK15" s="22"/>
      <c r="AL15" s="22"/>
    </row>
    <row r="16" spans="1:50">
      <c r="A16" s="635"/>
      <c r="B16" s="635"/>
      <c r="C16" s="572" t="str">
        <f ca="1">AuxData!$F$130</f>
        <v>UPNRPP</v>
      </c>
      <c r="D16" s="636"/>
      <c r="E16" s="635"/>
      <c r="F16" s="637">
        <f ca="1">-IEAData!F134</f>
        <v>0</v>
      </c>
      <c r="G16" s="638"/>
      <c r="H16" s="637">
        <f ca="1">-AuxData!F134</f>
        <v>0</v>
      </c>
      <c r="I16" s="638"/>
      <c r="J16" s="103"/>
      <c r="K16" s="285">
        <f t="shared" si="0"/>
        <v>0</v>
      </c>
      <c r="L16" s="103"/>
      <c r="M16" s="285">
        <f t="shared" si="1"/>
        <v>0</v>
      </c>
      <c r="N16" s="285"/>
      <c r="O16" s="639"/>
      <c r="P16" s="285"/>
      <c r="Q16" s="639"/>
      <c r="R16" s="639"/>
      <c r="S16" s="639"/>
      <c r="T16" s="639"/>
      <c r="U16" s="639"/>
      <c r="V16" s="639"/>
      <c r="W16" s="639"/>
      <c r="X16" s="639"/>
      <c r="Y16" s="639"/>
      <c r="Z16" s="639"/>
      <c r="AA16" s="639"/>
      <c r="AB16" s="640">
        <v>0</v>
      </c>
      <c r="AC16" s="639"/>
      <c r="AD16" s="639"/>
      <c r="AE16" s="639"/>
      <c r="AF16" s="639"/>
      <c r="AK16" s="22"/>
      <c r="AL16" s="22"/>
    </row>
    <row r="17" spans="1:38">
      <c r="A17" s="635"/>
      <c r="B17" s="635"/>
      <c r="C17" s="572" t="str">
        <f ca="1">AuxData!$G$130</f>
        <v>UPNRPG</v>
      </c>
      <c r="D17" s="636"/>
      <c r="E17" s="635"/>
      <c r="F17" s="637">
        <f ca="1">-IEAData!G134</f>
        <v>0</v>
      </c>
      <c r="G17" s="638"/>
      <c r="H17" s="637">
        <f ca="1">-AuxData!G134</f>
        <v>0</v>
      </c>
      <c r="I17" s="638"/>
      <c r="J17" s="103"/>
      <c r="K17" s="285">
        <f t="shared" si="0"/>
        <v>0</v>
      </c>
      <c r="L17" s="103"/>
      <c r="M17" s="285">
        <f t="shared" si="1"/>
        <v>0</v>
      </c>
      <c r="N17" s="285"/>
      <c r="O17" s="639"/>
      <c r="P17" s="285"/>
      <c r="Q17" s="639"/>
      <c r="R17" s="639"/>
      <c r="S17" s="639"/>
      <c r="T17" s="639"/>
      <c r="U17" s="639"/>
      <c r="V17" s="639"/>
      <c r="W17" s="639"/>
      <c r="X17" s="639"/>
      <c r="Y17" s="639"/>
      <c r="Z17" s="639"/>
      <c r="AA17" s="639"/>
      <c r="AB17" s="640">
        <v>0</v>
      </c>
      <c r="AC17" s="639"/>
      <c r="AD17" s="639"/>
      <c r="AE17" s="639"/>
      <c r="AF17" s="639"/>
      <c r="AK17" s="22"/>
      <c r="AL17" s="22"/>
    </row>
    <row r="18" spans="1:38">
      <c r="A18" s="635"/>
      <c r="B18" s="635"/>
      <c r="C18" s="572" t="str">
        <f ca="1">AuxData!$H$130</f>
        <v>UPNREN</v>
      </c>
      <c r="D18" s="636"/>
      <c r="E18" s="635"/>
      <c r="F18" s="637">
        <f ca="1">-IEAData!H134</f>
        <v>0</v>
      </c>
      <c r="G18" s="638"/>
      <c r="H18" s="637">
        <f ca="1">-AuxData!H134</f>
        <v>0</v>
      </c>
      <c r="I18" s="638"/>
      <c r="J18" s="103"/>
      <c r="K18" s="285">
        <f t="shared" si="0"/>
        <v>0</v>
      </c>
      <c r="L18" s="103"/>
      <c r="M18" s="285">
        <f t="shared" si="1"/>
        <v>0</v>
      </c>
      <c r="N18" s="285"/>
      <c r="O18" s="639"/>
      <c r="P18" s="285"/>
      <c r="Q18" s="639"/>
      <c r="R18" s="639"/>
      <c r="S18" s="639"/>
      <c r="T18" s="639"/>
      <c r="U18" s="639"/>
      <c r="V18" s="639"/>
      <c r="W18" s="639"/>
      <c r="X18" s="639"/>
      <c r="Y18" s="639"/>
      <c r="Z18" s="639"/>
      <c r="AA18" s="639"/>
      <c r="AB18" s="640">
        <v>0</v>
      </c>
      <c r="AC18" s="639"/>
      <c r="AD18" s="639"/>
      <c r="AE18" s="639"/>
      <c r="AF18" s="639"/>
      <c r="AK18" s="22"/>
      <c r="AL18" s="22"/>
    </row>
    <row r="19" spans="1:38">
      <c r="A19" s="635"/>
      <c r="B19" s="635"/>
      <c r="C19" s="572" t="str">
        <f ca="1">AuxData!$I$130</f>
        <v>UPNELC</v>
      </c>
      <c r="D19" s="636"/>
      <c r="E19" s="635"/>
      <c r="F19" s="637">
        <f ca="1">-IEAData!I134</f>
        <v>0</v>
      </c>
      <c r="G19" s="638"/>
      <c r="H19" s="637">
        <f ca="1">-AuxData!I134</f>
        <v>0</v>
      </c>
      <c r="I19" s="638"/>
      <c r="J19" s="103"/>
      <c r="K19" s="285">
        <f t="shared" si="0"/>
        <v>0</v>
      </c>
      <c r="L19" s="103"/>
      <c r="M19" s="285">
        <f t="shared" si="1"/>
        <v>0</v>
      </c>
      <c r="N19" s="285"/>
      <c r="O19" s="639"/>
      <c r="P19" s="285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639"/>
      <c r="AB19" s="640">
        <v>0</v>
      </c>
      <c r="AC19" s="639"/>
      <c r="AD19" s="639"/>
      <c r="AE19" s="639"/>
      <c r="AF19" s="639"/>
      <c r="AK19" s="22"/>
      <c r="AL19" s="22"/>
    </row>
    <row r="20" spans="1:38">
      <c r="A20" s="635"/>
      <c r="B20" s="635"/>
      <c r="C20" s="572" t="str">
        <f ca="1">AuxData!$J$130</f>
        <v>UPNSTM</v>
      </c>
      <c r="D20" s="636"/>
      <c r="E20" s="635"/>
      <c r="F20" s="637">
        <f ca="1">-IEAData!J134</f>
        <v>0</v>
      </c>
      <c r="G20" s="638"/>
      <c r="H20" s="637">
        <f ca="1">-AuxData!J134</f>
        <v>0</v>
      </c>
      <c r="I20" s="638"/>
      <c r="J20" s="103"/>
      <c r="K20" s="285">
        <f t="shared" si="0"/>
        <v>0</v>
      </c>
      <c r="L20" s="103"/>
      <c r="M20" s="285">
        <f t="shared" si="1"/>
        <v>0</v>
      </c>
      <c r="N20" s="285"/>
      <c r="O20" s="639"/>
      <c r="P20" s="285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39"/>
      <c r="AB20" s="640">
        <v>0</v>
      </c>
      <c r="AC20" s="639"/>
      <c r="AD20" s="639"/>
      <c r="AE20" s="639"/>
      <c r="AF20" s="639"/>
      <c r="AK20" s="22"/>
      <c r="AL20" s="22"/>
    </row>
    <row r="21" spans="1:38">
      <c r="A21" s="600" t="s">
        <v>1037</v>
      </c>
      <c r="B21" s="330" t="s">
        <v>1038</v>
      </c>
      <c r="C21" s="622" t="s">
        <v>301</v>
      </c>
      <c r="D21" s="281"/>
      <c r="E21" s="587"/>
      <c r="F21" s="623">
        <f ca="1">-IEAData!B72</f>
        <v>0</v>
      </c>
      <c r="G21" s="624"/>
      <c r="H21" s="623">
        <f ca="1">-AuxData!B72</f>
        <v>0</v>
      </c>
      <c r="I21" s="624"/>
      <c r="J21" s="79">
        <f>IF(SUM(F21:F40)*SUM(G24:G25)=0,0.5,SUM(G24:G25)/SUM(F21:F40)*IF(G39&lt;=0,0.995,1))</f>
        <v>0.5</v>
      </c>
      <c r="K21" s="44" t="str">
        <f>IF(OR(C21=G$40,C21=I$40),"",IF(G$25&gt;0,F21/$G$25,0))</f>
        <v/>
      </c>
      <c r="L21" s="79">
        <f>IF(SUM(H21:H40)*SUM(I24:I25)=0,0.5,SUM(I24:I25)/SUM(H21:H40))</f>
        <v>0.5</v>
      </c>
      <c r="M21" s="44" t="str">
        <f>IF(OR($C21=I$40,$C21=G$40),"",IF(I$25&gt;0,H21/$I$25,0))</f>
        <v/>
      </c>
      <c r="N21" s="285"/>
      <c r="O21" s="79"/>
      <c r="P21" s="285"/>
      <c r="Q21" s="79"/>
      <c r="R21" s="31">
        <f>G24*0+G25</f>
        <v>0</v>
      </c>
      <c r="S21" s="31">
        <f>I24*0+I25</f>
        <v>0</v>
      </c>
      <c r="T21" s="53">
        <f>S21*0.5</f>
        <v>0</v>
      </c>
      <c r="U21" s="53">
        <f>S21*0</f>
        <v>0</v>
      </c>
      <c r="V21" s="31">
        <f>R21</f>
        <v>0</v>
      </c>
      <c r="W21" s="31">
        <f>S21*1.05</f>
        <v>0</v>
      </c>
      <c r="X21" s="53">
        <f>S21*1.5</f>
        <v>0</v>
      </c>
      <c r="Y21" s="53"/>
      <c r="Z21" s="239">
        <v>1</v>
      </c>
      <c r="AA21" s="79">
        <v>1</v>
      </c>
      <c r="AB21" s="641" t="str">
        <f>IF(ISNUMBER(M21),0,"")</f>
        <v/>
      </c>
      <c r="AC21" s="239">
        <v>50</v>
      </c>
      <c r="AD21" s="239"/>
      <c r="AE21" s="239">
        <v>5</v>
      </c>
      <c r="AF21" s="239">
        <v>5</v>
      </c>
      <c r="AK21" s="22"/>
      <c r="AL21" s="22"/>
    </row>
    <row r="22" spans="1:38">
      <c r="A22" s="330"/>
      <c r="B22" s="587"/>
      <c r="C22" s="628" t="str">
        <f ca="1">AuxData!D113</f>
        <v>CONBCO</v>
      </c>
      <c r="D22" s="281"/>
      <c r="E22" s="587"/>
      <c r="F22" s="623">
        <f ca="1">-IEAData!C72</f>
        <v>0</v>
      </c>
      <c r="G22" s="624"/>
      <c r="H22" s="623">
        <f ca="1">-AuxData!C72</f>
        <v>0</v>
      </c>
      <c r="I22" s="624"/>
      <c r="J22" s="79"/>
      <c r="K22" s="40">
        <f>IF(OR(C22=G$40,C22=I$40),"",IF(G$25&gt;0,F22/$G$25,0))</f>
        <v>0</v>
      </c>
      <c r="L22" s="79"/>
      <c r="M22" s="40">
        <f>IF(OR($C22=I$40,$C22=G$40),"",IF(I$25&gt;0,H22/$I$25,0))</f>
        <v>0</v>
      </c>
      <c r="N22" s="285"/>
      <c r="O22" s="79"/>
      <c r="P22" s="285"/>
      <c r="Q22" s="79"/>
      <c r="R22" s="284"/>
      <c r="S22" s="284"/>
      <c r="T22" s="79"/>
      <c r="U22" s="79"/>
      <c r="V22" s="79"/>
      <c r="W22" s="79"/>
      <c r="X22" s="284"/>
      <c r="Y22" s="79"/>
      <c r="Z22" s="79"/>
      <c r="AA22" s="284"/>
      <c r="AB22" s="641">
        <f>IF(ISNUMBER(M22),0,"")</f>
        <v>0</v>
      </c>
      <c r="AC22" s="79"/>
      <c r="AD22" s="79"/>
      <c r="AE22" s="79"/>
      <c r="AF22" s="284"/>
      <c r="AK22" s="22"/>
      <c r="AL22" s="22"/>
    </row>
    <row r="23" spans="1:38">
      <c r="A23" s="330"/>
      <c r="B23" s="587"/>
      <c r="C23" s="628" t="str">
        <f ca="1">AuxData!E113</f>
        <v>CONOVC</v>
      </c>
      <c r="D23" s="281"/>
      <c r="E23" s="587"/>
      <c r="F23" s="623">
        <f ca="1">-IEAData!D72</f>
        <v>0</v>
      </c>
      <c r="G23" s="624"/>
      <c r="H23" s="623">
        <f ca="1">-AuxData!D72</f>
        <v>0</v>
      </c>
      <c r="I23" s="624"/>
      <c r="J23" s="79"/>
      <c r="K23" s="40">
        <f>IF(OR(C23=G$40,C23=I$40),"",IF(G$25&gt;0,F23/$G$25,0))</f>
        <v>0</v>
      </c>
      <c r="L23" s="79"/>
      <c r="M23" s="40">
        <f>IF(OR($C23=I$40,$C23=G$40),"",IF(I$25&gt;0,H23/$I$25,0))</f>
        <v>0</v>
      </c>
      <c r="N23" s="285"/>
      <c r="O23" s="79"/>
      <c r="P23" s="285"/>
      <c r="Q23" s="79"/>
      <c r="R23" s="284"/>
      <c r="S23" s="284"/>
      <c r="T23" s="79"/>
      <c r="U23" s="79"/>
      <c r="V23" s="79"/>
      <c r="W23" s="79"/>
      <c r="X23" s="284"/>
      <c r="Y23" s="79"/>
      <c r="Z23" s="79"/>
      <c r="AA23" s="284"/>
      <c r="AB23" s="641">
        <f>IF(ISNUMBER(M23),0,"")</f>
        <v>0</v>
      </c>
      <c r="AC23" s="79"/>
      <c r="AD23" s="79"/>
      <c r="AE23" s="79"/>
      <c r="AF23" s="284"/>
      <c r="AK23" s="22"/>
      <c r="AL23" s="22"/>
    </row>
    <row r="24" spans="1:38">
      <c r="A24" s="627"/>
      <c r="B24" s="627"/>
      <c r="C24" s="281"/>
      <c r="D24" s="628" t="str">
        <f ca="1">AuxData!F113</f>
        <v>CONGSC</v>
      </c>
      <c r="E24" s="629" t="s">
        <v>792</v>
      </c>
      <c r="F24" s="289"/>
      <c r="G24" s="630">
        <f ca="1">IEAData!E72</f>
        <v>0</v>
      </c>
      <c r="H24" s="289"/>
      <c r="I24" s="630">
        <f ca="1">AuxData!E72</f>
        <v>0</v>
      </c>
      <c r="J24" s="631"/>
      <c r="K24" s="79"/>
      <c r="L24" s="631"/>
      <c r="M24" s="79"/>
      <c r="N24" s="285"/>
      <c r="O24" s="285">
        <f>IF(G$25&gt;0,G24/G$25,0)</f>
        <v>0</v>
      </c>
      <c r="P24" s="285"/>
      <c r="Q24" s="285">
        <f>IF(I$25&gt;0,I24/I$25,0)</f>
        <v>0</v>
      </c>
      <c r="R24" s="284"/>
      <c r="S24" s="284"/>
      <c r="T24" s="79"/>
      <c r="U24" s="79"/>
      <c r="V24" s="79"/>
      <c r="W24" s="79"/>
      <c r="X24" s="284"/>
      <c r="Y24" s="79"/>
      <c r="Z24" s="79"/>
      <c r="AA24" s="284"/>
      <c r="AB24" s="641"/>
      <c r="AC24" s="79"/>
      <c r="AD24" s="79"/>
      <c r="AE24" s="284"/>
      <c r="AF24" s="284"/>
      <c r="AK24" s="22"/>
      <c r="AL24" s="22"/>
    </row>
    <row r="25" spans="1:38">
      <c r="A25" s="627"/>
      <c r="B25" s="587"/>
      <c r="C25" s="281"/>
      <c r="D25" s="628" t="str">
        <f ca="1">AuxData!G113</f>
        <v>GANGWG</v>
      </c>
      <c r="E25" s="642" t="s">
        <v>736</v>
      </c>
      <c r="F25" s="289"/>
      <c r="G25" s="630">
        <f ca="1">IEAData!F72</f>
        <v>0</v>
      </c>
      <c r="H25" s="289"/>
      <c r="I25" s="630">
        <f ca="1">AuxData!F72</f>
        <v>0</v>
      </c>
      <c r="J25" s="631"/>
      <c r="K25" s="79"/>
      <c r="L25" s="631"/>
      <c r="M25" s="79"/>
      <c r="N25" s="285"/>
      <c r="O25" s="285"/>
      <c r="P25" s="285"/>
      <c r="Q25" s="285"/>
      <c r="R25" s="284"/>
      <c r="S25" s="284"/>
      <c r="T25" s="79"/>
      <c r="U25" s="79"/>
      <c r="V25" s="79"/>
      <c r="W25" s="79"/>
      <c r="X25" s="284"/>
      <c r="Y25" s="79"/>
      <c r="Z25" s="79"/>
      <c r="AA25" s="284"/>
      <c r="AB25" s="641"/>
      <c r="AC25" s="79"/>
      <c r="AD25" s="79"/>
      <c r="AE25" s="284"/>
      <c r="AF25" s="284"/>
      <c r="AK25" s="22"/>
      <c r="AL25" s="22"/>
    </row>
    <row r="26" spans="1:38">
      <c r="A26" s="330"/>
      <c r="B26" s="587"/>
      <c r="C26" s="628" t="str">
        <f ca="1">AuxData!H113</f>
        <v>GANCOG</v>
      </c>
      <c r="D26" s="281"/>
      <c r="E26" s="587"/>
      <c r="F26" s="623">
        <f ca="1">-IEAData!G72</f>
        <v>0</v>
      </c>
      <c r="G26" s="624"/>
      <c r="H26" s="623">
        <f ca="1">-AuxData!G72</f>
        <v>0</v>
      </c>
      <c r="I26" s="624"/>
      <c r="J26" s="79"/>
      <c r="K26" s="285">
        <f t="shared" ref="K26:K40" si="2">IF(OR(C26=G$40,C26=I$40),"",IF(G$25&gt;0,F26/$G$25,0))</f>
        <v>0</v>
      </c>
      <c r="L26" s="79"/>
      <c r="M26" s="285">
        <f t="shared" ref="M26:M40" si="3">IF(OR($C26=I$40,$C26=G$40),"",IF(I$25&gt;0,H26/$I$25,0))</f>
        <v>0</v>
      </c>
      <c r="N26" s="285"/>
      <c r="O26" s="79"/>
      <c r="P26" s="285"/>
      <c r="Q26" s="79"/>
      <c r="R26" s="284"/>
      <c r="S26" s="284"/>
      <c r="T26" s="79"/>
      <c r="U26" s="79"/>
      <c r="V26" s="79"/>
      <c r="W26" s="79"/>
      <c r="X26" s="284"/>
      <c r="Y26" s="79"/>
      <c r="Z26" s="79"/>
      <c r="AA26" s="284"/>
      <c r="AB26" s="641">
        <f t="shared" ref="AB26:AB40" si="4">IF(ISNUMBER(M26),0,"")</f>
        <v>0</v>
      </c>
      <c r="AC26" s="79"/>
      <c r="AD26" s="79"/>
      <c r="AE26" s="284"/>
      <c r="AF26" s="284"/>
      <c r="AK26" s="22"/>
      <c r="AL26" s="22"/>
    </row>
    <row r="27" spans="1:38">
      <c r="A27" s="330"/>
      <c r="B27" s="587"/>
      <c r="C27" s="628" t="str">
        <f ca="1">IF(OPEC,AuxData!$R$113,"GASNGA")</f>
        <v>GASNGA</v>
      </c>
      <c r="D27" s="281"/>
      <c r="E27" s="587"/>
      <c r="F27" s="623">
        <f ca="1">-IEAData!Q72</f>
        <v>0</v>
      </c>
      <c r="G27" s="624"/>
      <c r="H27" s="623">
        <f ca="1">-AuxData!Q72</f>
        <v>0</v>
      </c>
      <c r="I27" s="624"/>
      <c r="J27" s="79"/>
      <c r="K27" s="285">
        <f t="shared" si="2"/>
        <v>0</v>
      </c>
      <c r="L27" s="79"/>
      <c r="M27" s="285">
        <f t="shared" si="3"/>
        <v>0</v>
      </c>
      <c r="N27" s="285"/>
      <c r="O27" s="79"/>
      <c r="P27" s="285"/>
      <c r="Q27" s="79"/>
      <c r="R27" s="284"/>
      <c r="S27" s="284"/>
      <c r="T27" s="79"/>
      <c r="U27" s="79"/>
      <c r="V27" s="79"/>
      <c r="W27" s="79"/>
      <c r="X27" s="284"/>
      <c r="Y27" s="79"/>
      <c r="Z27" s="79"/>
      <c r="AA27" s="284"/>
      <c r="AB27" s="641">
        <f t="shared" si="4"/>
        <v>0</v>
      </c>
      <c r="AC27" s="79"/>
      <c r="AD27" s="79"/>
      <c r="AE27" s="284"/>
      <c r="AF27" s="284"/>
      <c r="AK27" s="22"/>
      <c r="AL27" s="22"/>
    </row>
    <row r="28" spans="1:38">
      <c r="A28" s="330"/>
      <c r="B28" s="587"/>
      <c r="C28" s="628" t="str">
        <f ca="1">AuxData!T113</f>
        <v>OINNGL</v>
      </c>
      <c r="D28" s="281"/>
      <c r="E28" s="587"/>
      <c r="F28" s="623">
        <f ca="1">-IEAData!S72</f>
        <v>0</v>
      </c>
      <c r="G28" s="624"/>
      <c r="H28" s="623">
        <f ca="1">-AuxData!S72</f>
        <v>0</v>
      </c>
      <c r="I28" s="624"/>
      <c r="J28" s="79"/>
      <c r="K28" s="285">
        <f t="shared" si="2"/>
        <v>0</v>
      </c>
      <c r="L28" s="79"/>
      <c r="M28" s="285">
        <f t="shared" si="3"/>
        <v>0</v>
      </c>
      <c r="N28" s="285"/>
      <c r="O28" s="79"/>
      <c r="P28" s="285"/>
      <c r="Q28" s="79"/>
      <c r="R28" s="284"/>
      <c r="S28" s="284"/>
      <c r="T28" s="79"/>
      <c r="U28" s="79"/>
      <c r="V28" s="79"/>
      <c r="W28" s="79"/>
      <c r="X28" s="284"/>
      <c r="Y28" s="79"/>
      <c r="Z28" s="79"/>
      <c r="AA28" s="284"/>
      <c r="AB28" s="641">
        <f t="shared" si="4"/>
        <v>0</v>
      </c>
      <c r="AC28" s="79"/>
      <c r="AD28" s="79"/>
      <c r="AE28" s="284"/>
      <c r="AF28" s="284"/>
      <c r="AK28" s="22"/>
      <c r="AL28" s="22"/>
    </row>
    <row r="29" spans="1:38">
      <c r="A29" s="330"/>
      <c r="B29" s="587"/>
      <c r="C29" s="628" t="str">
        <f ca="1">AuxData!X113</f>
        <v>GANRFG</v>
      </c>
      <c r="D29" s="281"/>
      <c r="E29" s="587"/>
      <c r="F29" s="623">
        <f ca="1">-IEAData!W72</f>
        <v>0</v>
      </c>
      <c r="G29" s="624"/>
      <c r="H29" s="623">
        <f ca="1">-AuxData!W72</f>
        <v>0</v>
      </c>
      <c r="I29" s="624"/>
      <c r="J29" s="79"/>
      <c r="K29" s="285">
        <f t="shared" si="2"/>
        <v>0</v>
      </c>
      <c r="L29" s="79"/>
      <c r="M29" s="285">
        <f t="shared" si="3"/>
        <v>0</v>
      </c>
      <c r="N29" s="285"/>
      <c r="O29" s="79"/>
      <c r="P29" s="285"/>
      <c r="Q29" s="79"/>
      <c r="R29" s="284"/>
      <c r="S29" s="284"/>
      <c r="T29" s="79"/>
      <c r="U29" s="79"/>
      <c r="V29" s="79"/>
      <c r="W29" s="79"/>
      <c r="X29" s="284"/>
      <c r="Y29" s="79"/>
      <c r="Z29" s="79"/>
      <c r="AA29" s="284"/>
      <c r="AB29" s="641">
        <f t="shared" si="4"/>
        <v>0</v>
      </c>
      <c r="AC29" s="79"/>
      <c r="AD29" s="79"/>
      <c r="AE29" s="284"/>
      <c r="AF29" s="284"/>
      <c r="AK29" s="22"/>
      <c r="AL29" s="22"/>
    </row>
    <row r="30" spans="1:38">
      <c r="A30" s="330"/>
      <c r="B30" s="587"/>
      <c r="C30" s="628" t="str">
        <f ca="1">AuxData!Z113</f>
        <v>OINLPG</v>
      </c>
      <c r="D30" s="281"/>
      <c r="E30" s="587"/>
      <c r="F30" s="623">
        <f ca="1">-IEAData!Y72</f>
        <v>0</v>
      </c>
      <c r="G30" s="624"/>
      <c r="H30" s="623">
        <f ca="1">-AuxData!Y72</f>
        <v>0</v>
      </c>
      <c r="I30" s="624"/>
      <c r="J30" s="79"/>
      <c r="K30" s="285">
        <f t="shared" si="2"/>
        <v>0</v>
      </c>
      <c r="L30" s="79"/>
      <c r="M30" s="285">
        <f t="shared" si="3"/>
        <v>0</v>
      </c>
      <c r="N30" s="285"/>
      <c r="O30" s="79"/>
      <c r="P30" s="285"/>
      <c r="Q30" s="79"/>
      <c r="R30" s="284"/>
      <c r="S30" s="284"/>
      <c r="T30" s="79"/>
      <c r="U30" s="79"/>
      <c r="V30" s="79"/>
      <c r="W30" s="79"/>
      <c r="X30" s="284"/>
      <c r="Y30" s="79"/>
      <c r="Z30" s="79"/>
      <c r="AA30" s="284"/>
      <c r="AB30" s="641">
        <f t="shared" si="4"/>
        <v>0</v>
      </c>
      <c r="AC30" s="79"/>
      <c r="AD30" s="79"/>
      <c r="AE30" s="284"/>
      <c r="AF30" s="284"/>
      <c r="AK30" s="22"/>
      <c r="AL30" s="22"/>
    </row>
    <row r="31" spans="1:38">
      <c r="A31" s="330"/>
      <c r="B31" s="587"/>
      <c r="C31" s="628" t="str">
        <f ca="1">AuxData!AG113</f>
        <v>OINHFO</v>
      </c>
      <c r="D31" s="281"/>
      <c r="E31" s="587"/>
      <c r="F31" s="623">
        <f ca="1">-IEAData!AF72</f>
        <v>0</v>
      </c>
      <c r="G31" s="624"/>
      <c r="H31" s="623">
        <f ca="1">-AuxData!AF72</f>
        <v>0</v>
      </c>
      <c r="I31" s="624"/>
      <c r="J31" s="79"/>
      <c r="K31" s="285">
        <f t="shared" si="2"/>
        <v>0</v>
      </c>
      <c r="L31" s="79"/>
      <c r="M31" s="285">
        <f t="shared" si="3"/>
        <v>0</v>
      </c>
      <c r="N31" s="285"/>
      <c r="O31" s="79"/>
      <c r="P31" s="285"/>
      <c r="Q31" s="79"/>
      <c r="R31" s="284"/>
      <c r="S31" s="284"/>
      <c r="T31" s="79"/>
      <c r="U31" s="79"/>
      <c r="V31" s="79"/>
      <c r="W31" s="79"/>
      <c r="X31" s="284"/>
      <c r="Y31" s="79"/>
      <c r="Z31" s="79"/>
      <c r="AA31" s="284"/>
      <c r="AB31" s="641">
        <f t="shared" si="4"/>
        <v>0</v>
      </c>
      <c r="AC31" s="79"/>
      <c r="AD31" s="79"/>
      <c r="AE31" s="284"/>
      <c r="AF31" s="284"/>
      <c r="AK31" s="22"/>
      <c r="AL31" s="22"/>
    </row>
    <row r="32" spans="1:38">
      <c r="A32" s="330"/>
      <c r="B32" s="587"/>
      <c r="C32" s="628" t="str">
        <f ca="1">AuxData!AF113</f>
        <v>OINDST</v>
      </c>
      <c r="D32" s="281"/>
      <c r="E32" s="587"/>
      <c r="F32" s="623">
        <f ca="1">-IEAData!AG72</f>
        <v>0</v>
      </c>
      <c r="G32" s="624"/>
      <c r="H32" s="623">
        <f ca="1">-AuxData!AG72</f>
        <v>0</v>
      </c>
      <c r="I32" s="624"/>
      <c r="J32" s="79"/>
      <c r="K32" s="285">
        <f t="shared" si="2"/>
        <v>0</v>
      </c>
      <c r="L32" s="79"/>
      <c r="M32" s="285">
        <f t="shared" si="3"/>
        <v>0</v>
      </c>
      <c r="N32" s="285"/>
      <c r="O32" s="79"/>
      <c r="P32" s="285"/>
      <c r="Q32" s="79"/>
      <c r="R32" s="284"/>
      <c r="S32" s="284"/>
      <c r="T32" s="79"/>
      <c r="U32" s="79"/>
      <c r="V32" s="79"/>
      <c r="W32" s="79"/>
      <c r="X32" s="284"/>
      <c r="Y32" s="79"/>
      <c r="Z32" s="79"/>
      <c r="AA32" s="284"/>
      <c r="AB32" s="641">
        <f t="shared" si="4"/>
        <v>0</v>
      </c>
      <c r="AC32" s="79"/>
      <c r="AD32" s="79"/>
      <c r="AE32" s="284"/>
      <c r="AF32" s="284"/>
      <c r="AK32" s="22"/>
      <c r="AL32" s="22"/>
    </row>
    <row r="33" spans="1:38">
      <c r="A33" s="635"/>
      <c r="B33" s="635"/>
      <c r="C33" s="572" t="str">
        <f ca="1">AuxData!$C$130</f>
        <v>UPNNGA</v>
      </c>
      <c r="D33" s="636"/>
      <c r="E33" s="635"/>
      <c r="F33" s="637">
        <f ca="1">-IEAData!C135</f>
        <v>0</v>
      </c>
      <c r="G33" s="638"/>
      <c r="H33" s="637">
        <f ca="1">-AuxData!C135</f>
        <v>0</v>
      </c>
      <c r="I33" s="638"/>
      <c r="J33" s="103"/>
      <c r="K33" s="285">
        <f t="shared" si="2"/>
        <v>0</v>
      </c>
      <c r="L33" s="103"/>
      <c r="M33" s="285">
        <f t="shared" si="3"/>
        <v>0</v>
      </c>
      <c r="N33" s="285"/>
      <c r="O33" s="639"/>
      <c r="P33" s="285"/>
      <c r="Q33" s="639"/>
      <c r="R33" s="639"/>
      <c r="S33" s="639"/>
      <c r="T33" s="639"/>
      <c r="U33" s="639"/>
      <c r="V33" s="639"/>
      <c r="W33" s="639"/>
      <c r="X33" s="639"/>
      <c r="Y33" s="639"/>
      <c r="Z33" s="639"/>
      <c r="AA33" s="639"/>
      <c r="AB33" s="643">
        <f t="shared" si="4"/>
        <v>0</v>
      </c>
      <c r="AC33" s="639"/>
      <c r="AD33" s="639"/>
      <c r="AE33" s="639"/>
      <c r="AF33" s="639"/>
      <c r="AK33" s="22"/>
      <c r="AL33" s="22"/>
    </row>
    <row r="34" spans="1:38">
      <c r="A34" s="635"/>
      <c r="B34" s="635"/>
      <c r="C34" s="572" t="str">
        <f ca="1">AuxData!$D$130</f>
        <v>UPNCOA</v>
      </c>
      <c r="D34" s="636"/>
      <c r="E34" s="635"/>
      <c r="F34" s="637">
        <f ca="1">-IEAData!D135</f>
        <v>0</v>
      </c>
      <c r="G34" s="638"/>
      <c r="H34" s="637">
        <f ca="1">-AuxData!D135</f>
        <v>0</v>
      </c>
      <c r="I34" s="638"/>
      <c r="J34" s="103"/>
      <c r="K34" s="285">
        <f t="shared" si="2"/>
        <v>0</v>
      </c>
      <c r="L34" s="103"/>
      <c r="M34" s="285">
        <f t="shared" si="3"/>
        <v>0</v>
      </c>
      <c r="N34" s="285"/>
      <c r="O34" s="639"/>
      <c r="P34" s="285"/>
      <c r="Q34" s="639"/>
      <c r="R34" s="639"/>
      <c r="S34" s="639"/>
      <c r="T34" s="639"/>
      <c r="U34" s="639"/>
      <c r="V34" s="639"/>
      <c r="W34" s="639"/>
      <c r="X34" s="639"/>
      <c r="Y34" s="639"/>
      <c r="Z34" s="639"/>
      <c r="AA34" s="639"/>
      <c r="AB34" s="643">
        <f t="shared" si="4"/>
        <v>0</v>
      </c>
      <c r="AC34" s="639"/>
      <c r="AD34" s="639"/>
      <c r="AE34" s="639"/>
      <c r="AF34" s="639"/>
      <c r="AK34" s="22"/>
      <c r="AL34" s="22"/>
    </row>
    <row r="35" spans="1:38">
      <c r="A35" s="635"/>
      <c r="B35" s="635"/>
      <c r="C35" s="572" t="str">
        <f ca="1">AuxData!$E$130</f>
        <v>UPNCRD</v>
      </c>
      <c r="D35" s="636"/>
      <c r="E35" s="635"/>
      <c r="F35" s="637">
        <f ca="1">-IEAData!E135</f>
        <v>0</v>
      </c>
      <c r="G35" s="638"/>
      <c r="H35" s="637">
        <f ca="1">-AuxData!E135</f>
        <v>0</v>
      </c>
      <c r="I35" s="638"/>
      <c r="J35" s="103"/>
      <c r="K35" s="285">
        <f t="shared" si="2"/>
        <v>0</v>
      </c>
      <c r="L35" s="103"/>
      <c r="M35" s="285">
        <f t="shared" si="3"/>
        <v>0</v>
      </c>
      <c r="N35" s="285"/>
      <c r="O35" s="639"/>
      <c r="P35" s="285"/>
      <c r="Q35" s="639"/>
      <c r="R35" s="639"/>
      <c r="S35" s="639"/>
      <c r="T35" s="639"/>
      <c r="U35" s="639"/>
      <c r="V35" s="639"/>
      <c r="W35" s="639"/>
      <c r="X35" s="639"/>
      <c r="Y35" s="639"/>
      <c r="Z35" s="639"/>
      <c r="AA35" s="639"/>
      <c r="AB35" s="643">
        <f t="shared" si="4"/>
        <v>0</v>
      </c>
      <c r="AC35" s="639"/>
      <c r="AD35" s="639"/>
      <c r="AE35" s="639"/>
      <c r="AF35" s="639"/>
      <c r="AK35" s="22"/>
      <c r="AL35" s="22"/>
    </row>
    <row r="36" spans="1:38">
      <c r="A36" s="635"/>
      <c r="B36" s="635"/>
      <c r="C36" s="572" t="str">
        <f ca="1">AuxData!$F$130</f>
        <v>UPNRPP</v>
      </c>
      <c r="D36" s="636"/>
      <c r="E36" s="635"/>
      <c r="F36" s="637">
        <f ca="1">-IEAData!F135</f>
        <v>0</v>
      </c>
      <c r="G36" s="638"/>
      <c r="H36" s="637">
        <f ca="1">-AuxData!F135</f>
        <v>0</v>
      </c>
      <c r="I36" s="638"/>
      <c r="J36" s="103"/>
      <c r="K36" s="285">
        <f t="shared" si="2"/>
        <v>0</v>
      </c>
      <c r="L36" s="103"/>
      <c r="M36" s="285">
        <f t="shared" si="3"/>
        <v>0</v>
      </c>
      <c r="N36" s="285"/>
      <c r="O36" s="639"/>
      <c r="P36" s="285"/>
      <c r="Q36" s="639"/>
      <c r="R36" s="639"/>
      <c r="S36" s="639"/>
      <c r="T36" s="639"/>
      <c r="U36" s="639"/>
      <c r="V36" s="639"/>
      <c r="W36" s="639"/>
      <c r="X36" s="639"/>
      <c r="Y36" s="639"/>
      <c r="Z36" s="639"/>
      <c r="AA36" s="639"/>
      <c r="AB36" s="643">
        <f t="shared" si="4"/>
        <v>0</v>
      </c>
      <c r="AC36" s="639"/>
      <c r="AD36" s="639"/>
      <c r="AE36" s="639"/>
      <c r="AF36" s="639"/>
      <c r="AK36" s="22"/>
      <c r="AL36" s="22"/>
    </row>
    <row r="37" spans="1:38">
      <c r="A37" s="635"/>
      <c r="B37" s="635"/>
      <c r="C37" s="572" t="str">
        <f ca="1">AuxData!$G$130</f>
        <v>UPNRPG</v>
      </c>
      <c r="D37" s="636"/>
      <c r="E37" s="635"/>
      <c r="F37" s="637">
        <f ca="1">-IEAData!G135</f>
        <v>0</v>
      </c>
      <c r="G37" s="638"/>
      <c r="H37" s="637">
        <f ca="1">-AuxData!G135</f>
        <v>0</v>
      </c>
      <c r="I37" s="638"/>
      <c r="J37" s="103"/>
      <c r="K37" s="285">
        <f t="shared" si="2"/>
        <v>0</v>
      </c>
      <c r="L37" s="103"/>
      <c r="M37" s="285">
        <f t="shared" si="3"/>
        <v>0</v>
      </c>
      <c r="N37" s="285"/>
      <c r="O37" s="639"/>
      <c r="P37" s="285"/>
      <c r="Q37" s="639"/>
      <c r="R37" s="639"/>
      <c r="S37" s="639"/>
      <c r="T37" s="639"/>
      <c r="U37" s="639"/>
      <c r="V37" s="639"/>
      <c r="W37" s="639"/>
      <c r="X37" s="639"/>
      <c r="Y37" s="639"/>
      <c r="Z37" s="639"/>
      <c r="AA37" s="639"/>
      <c r="AB37" s="643">
        <f t="shared" si="4"/>
        <v>0</v>
      </c>
      <c r="AC37" s="639"/>
      <c r="AD37" s="639"/>
      <c r="AE37" s="639"/>
      <c r="AF37" s="639"/>
      <c r="AK37" s="22"/>
      <c r="AL37" s="22"/>
    </row>
    <row r="38" spans="1:38">
      <c r="A38" s="635"/>
      <c r="B38" s="635"/>
      <c r="C38" s="572" t="str">
        <f ca="1">AuxData!$H$130</f>
        <v>UPNREN</v>
      </c>
      <c r="D38" s="636"/>
      <c r="E38" s="635"/>
      <c r="F38" s="637">
        <f ca="1">-IEAData!H135</f>
        <v>0</v>
      </c>
      <c r="G38" s="638"/>
      <c r="H38" s="637">
        <f ca="1">-AuxData!H135</f>
        <v>0</v>
      </c>
      <c r="I38" s="638"/>
      <c r="J38" s="103"/>
      <c r="K38" s="285">
        <f t="shared" si="2"/>
        <v>0</v>
      </c>
      <c r="L38" s="103"/>
      <c r="M38" s="285">
        <f t="shared" si="3"/>
        <v>0</v>
      </c>
      <c r="N38" s="285"/>
      <c r="O38" s="639"/>
      <c r="P38" s="285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639"/>
      <c r="AB38" s="643">
        <f t="shared" si="4"/>
        <v>0</v>
      </c>
      <c r="AC38" s="639"/>
      <c r="AD38" s="639"/>
      <c r="AE38" s="639"/>
      <c r="AF38" s="639"/>
      <c r="AK38" s="22"/>
      <c r="AL38" s="22"/>
    </row>
    <row r="39" spans="1:38">
      <c r="A39" s="635"/>
      <c r="B39" s="635"/>
      <c r="C39" s="572" t="str">
        <f ca="1">AuxData!$I$130</f>
        <v>UPNELC</v>
      </c>
      <c r="D39" s="636"/>
      <c r="E39" s="635"/>
      <c r="F39" s="637">
        <f ca="1">-IEAData!I135</f>
        <v>0</v>
      </c>
      <c r="G39" s="644">
        <f ca="1">VLOOKUP(G40,C21:G38,4,0)</f>
        <v>0</v>
      </c>
      <c r="H39" s="637">
        <f ca="1">-AuxData!I135</f>
        <v>0</v>
      </c>
      <c r="I39" s="644">
        <f ca="1">MAX(H21:H38)</f>
        <v>0</v>
      </c>
      <c r="J39" s="103"/>
      <c r="K39" s="285">
        <f t="shared" si="2"/>
        <v>0</v>
      </c>
      <c r="L39" s="103"/>
      <c r="M39" s="285">
        <f t="shared" si="3"/>
        <v>0</v>
      </c>
      <c r="N39" s="285"/>
      <c r="O39" s="639"/>
      <c r="P39" s="285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39"/>
      <c r="AB39" s="643">
        <f t="shared" si="4"/>
        <v>0</v>
      </c>
      <c r="AC39" s="639"/>
      <c r="AD39" s="639"/>
      <c r="AE39" s="639"/>
      <c r="AF39" s="639"/>
      <c r="AK39" s="22"/>
      <c r="AL39" s="22"/>
    </row>
    <row r="40" spans="1:38">
      <c r="A40" s="635"/>
      <c r="B40" s="635"/>
      <c r="C40" s="572" t="str">
        <f ca="1">AuxData!$J$130</f>
        <v>UPNSTM</v>
      </c>
      <c r="D40" s="636"/>
      <c r="E40" s="635"/>
      <c r="F40" s="637">
        <f ca="1">-IEAData!J135</f>
        <v>0</v>
      </c>
      <c r="G40" s="645" t="str">
        <f ca="1">I40</f>
        <v>COAHCO</v>
      </c>
      <c r="H40" s="637">
        <f ca="1">-AuxData!J135</f>
        <v>0</v>
      </c>
      <c r="I40" s="645" t="str">
        <f ca="1">INDEX($C$21:$C$40,MATCH(I39,$H$21:$H$40,0))</f>
        <v>COAHCO</v>
      </c>
      <c r="J40" s="103"/>
      <c r="K40" s="285">
        <f t="shared" si="2"/>
        <v>0</v>
      </c>
      <c r="L40" s="103"/>
      <c r="M40" s="285">
        <f t="shared" si="3"/>
        <v>0</v>
      </c>
      <c r="N40" s="285"/>
      <c r="O40" s="639"/>
      <c r="P40" s="285"/>
      <c r="Q40" s="639"/>
      <c r="R40" s="639"/>
      <c r="S40" s="639"/>
      <c r="T40" s="639"/>
      <c r="U40" s="639"/>
      <c r="V40" s="639"/>
      <c r="W40" s="639"/>
      <c r="X40" s="639"/>
      <c r="Y40" s="639"/>
      <c r="Z40" s="639"/>
      <c r="AA40" s="639"/>
      <c r="AB40" s="643">
        <f t="shared" si="4"/>
        <v>0</v>
      </c>
      <c r="AC40" s="639"/>
      <c r="AD40" s="639"/>
      <c r="AE40" s="639"/>
      <c r="AF40" s="639"/>
      <c r="AK40" s="22"/>
      <c r="AL40" s="22"/>
    </row>
    <row r="41" spans="1:38">
      <c r="A41" s="600" t="s">
        <v>1039</v>
      </c>
      <c r="B41" s="330" t="s">
        <v>1040</v>
      </c>
      <c r="C41" s="622" t="s">
        <v>301</v>
      </c>
      <c r="D41" s="646"/>
      <c r="E41" s="646"/>
      <c r="F41" s="623">
        <f ca="1">-IEAData!B73</f>
        <v>0</v>
      </c>
      <c r="G41" s="624"/>
      <c r="H41" s="623">
        <f ca="1">-AuxData!B73</f>
        <v>9.0688181000000014</v>
      </c>
      <c r="I41" s="624"/>
      <c r="J41" s="79">
        <f>IF(SUM(F41:F50)=0,"",SUM(G44:G45)/SUM(F41:F50))</f>
        <v>0.31463854691731374</v>
      </c>
      <c r="K41" s="239"/>
      <c r="L41" s="40">
        <f>IF(SUM(H41:H50)=0,"",SUM(I44:I45)/SUM(H41:H50))</f>
        <v>0.36432785593514022</v>
      </c>
      <c r="M41" s="239"/>
      <c r="N41" s="285">
        <f>IF($J$41="","",F41/SUM($F$41:$F$50))</f>
        <v>0</v>
      </c>
      <c r="O41" s="79"/>
      <c r="P41" s="285">
        <f>IF($L$41="","",H41/SUM($H$41:$H$50))</f>
        <v>0.26581038248099698</v>
      </c>
      <c r="Q41" s="79"/>
      <c r="R41" s="31">
        <f>G44+G45</f>
        <v>10</v>
      </c>
      <c r="S41" s="31">
        <f>I44+I45</f>
        <v>12.43</v>
      </c>
      <c r="T41" s="53">
        <f>S41*0.6</f>
        <v>7.4579999999999993</v>
      </c>
      <c r="U41" s="53">
        <f>S41*0.2</f>
        <v>2.4860000000000002</v>
      </c>
      <c r="V41" s="31">
        <f>G44+G45</f>
        <v>10</v>
      </c>
      <c r="W41" s="31">
        <f>I44+I45</f>
        <v>12.43</v>
      </c>
      <c r="X41" s="53">
        <f>S41*1.5</f>
        <v>18.645</v>
      </c>
      <c r="Y41" s="53"/>
      <c r="Z41" s="239">
        <v>1</v>
      </c>
      <c r="AA41" s="79">
        <v>1</v>
      </c>
      <c r="AB41" s="239"/>
      <c r="AC41" s="239">
        <v>50</v>
      </c>
      <c r="AD41" s="239"/>
      <c r="AE41" s="239">
        <v>2</v>
      </c>
      <c r="AF41" s="239">
        <v>5</v>
      </c>
      <c r="AK41" s="22"/>
      <c r="AL41" s="22"/>
    </row>
    <row r="42" spans="1:38">
      <c r="A42" s="330"/>
      <c r="B42" s="587"/>
      <c r="C42" s="628" t="str">
        <f ca="1">AuxData!E113</f>
        <v>CONOVC</v>
      </c>
      <c r="D42" s="281"/>
      <c r="E42" s="587"/>
      <c r="F42" s="623">
        <f ca="1">-IEAData!D73</f>
        <v>24.055301268000004</v>
      </c>
      <c r="G42" s="624"/>
      <c r="H42" s="623">
        <f ca="1">-SUM(AuxData!E119)</f>
        <v>24.2311008</v>
      </c>
      <c r="I42" s="624"/>
      <c r="J42" s="79"/>
      <c r="K42" s="79"/>
      <c r="L42" s="79"/>
      <c r="M42" s="79"/>
      <c r="N42" s="285">
        <f>IF($J$41="","",F42/SUM($F$41:$F$50))</f>
        <v>0.75687250366217362</v>
      </c>
      <c r="O42" s="79"/>
      <c r="P42" s="285">
        <f>IF($L$41="","",H42/SUM($H$41:$H$50))</f>
        <v>0.7102224458095141</v>
      </c>
      <c r="Q42" s="79"/>
      <c r="R42" s="284"/>
      <c r="S42" s="284"/>
      <c r="T42" s="79"/>
      <c r="U42" s="79"/>
      <c r="V42" s="79"/>
      <c r="W42" s="79"/>
      <c r="X42" s="284"/>
      <c r="Y42" s="79"/>
      <c r="Z42" s="79"/>
      <c r="AA42" s="284"/>
      <c r="AB42" s="79"/>
      <c r="AC42" s="79"/>
      <c r="AD42" s="79"/>
      <c r="AE42" s="284"/>
      <c r="AF42" s="284"/>
      <c r="AK42" s="22"/>
      <c r="AL42" s="22"/>
    </row>
    <row r="43" spans="1:38">
      <c r="A43" s="330"/>
      <c r="B43" s="587"/>
      <c r="C43" s="628" t="str">
        <f ca="1">AuxData!H113</f>
        <v>GANCOG</v>
      </c>
      <c r="D43" s="281"/>
      <c r="E43" s="587"/>
      <c r="F43" s="623">
        <f ca="1">-IEAData!G73</f>
        <v>7.2012960000000003E-3</v>
      </c>
      <c r="G43" s="624"/>
      <c r="H43" s="623">
        <f ca="1">-AuxData!H119</f>
        <v>0.81770290000000001</v>
      </c>
      <c r="I43" s="624"/>
      <c r="J43" s="79"/>
      <c r="K43" s="79"/>
      <c r="L43" s="79"/>
      <c r="M43" s="79"/>
      <c r="N43" s="285">
        <f>IF($J$41="","",F43/SUM($F$41:$F$50))</f>
        <v>2.2658053093614641E-4</v>
      </c>
      <c r="O43" s="79"/>
      <c r="P43" s="285">
        <f>IF($L$41="","",H43/SUM($H$41:$H$50))</f>
        <v>2.3967171709488849E-2</v>
      </c>
      <c r="Q43" s="79"/>
      <c r="R43" s="284"/>
      <c r="S43" s="284"/>
      <c r="T43" s="79"/>
      <c r="U43" s="79"/>
      <c r="V43" s="79"/>
      <c r="W43" s="79"/>
      <c r="X43" s="284"/>
      <c r="Y43" s="79"/>
      <c r="Z43" s="79"/>
      <c r="AA43" s="284"/>
      <c r="AB43" s="79"/>
      <c r="AC43" s="79"/>
      <c r="AD43" s="79"/>
      <c r="AE43" s="284"/>
      <c r="AF43" s="284"/>
      <c r="AK43" s="22"/>
      <c r="AL43" s="22"/>
    </row>
    <row r="44" spans="1:38">
      <c r="A44" s="627"/>
      <c r="B44" s="627"/>
      <c r="C44" s="281"/>
      <c r="D44" s="628" t="str">
        <f ca="1">AuxData!I113</f>
        <v>GANBFG</v>
      </c>
      <c r="E44" s="629" t="s">
        <v>734</v>
      </c>
      <c r="F44" s="289"/>
      <c r="G44" s="630">
        <f ca="1">MAX(IEAData!H73,IF(Region="FIN",12.7-2.7))</f>
        <v>10</v>
      </c>
      <c r="H44" s="289"/>
      <c r="I44" s="630">
        <f ca="1">MAX(AuxData!H73,IF(Region="FIN",12.43-I45))</f>
        <v>9.0199978999999999</v>
      </c>
      <c r="J44" s="631"/>
      <c r="K44" s="79"/>
      <c r="L44" s="631"/>
      <c r="M44" s="79"/>
      <c r="N44" s="647">
        <f>IF(G44+G45=0,"",G44/(G44+G45))</f>
        <v>1</v>
      </c>
      <c r="O44" s="285"/>
      <c r="P44" s="647">
        <f>IF(I44+I45=0,"",I44/(I44+I45))</f>
        <v>0.7256635478680612</v>
      </c>
      <c r="Q44" s="285"/>
      <c r="R44" s="284"/>
      <c r="S44" s="284"/>
      <c r="T44" s="79"/>
      <c r="U44" s="79"/>
      <c r="V44" s="79"/>
      <c r="W44" s="79"/>
      <c r="X44" s="284"/>
      <c r="Y44" s="79"/>
      <c r="Z44" s="79"/>
      <c r="AA44" s="284"/>
      <c r="AB44" s="79"/>
      <c r="AC44" s="79"/>
      <c r="AD44" s="79"/>
      <c r="AE44" s="284"/>
      <c r="AF44" s="284"/>
      <c r="AK44" s="22"/>
      <c r="AL44" s="22"/>
    </row>
    <row r="45" spans="1:38">
      <c r="A45" s="330"/>
      <c r="B45" s="587"/>
      <c r="C45" s="281"/>
      <c r="D45" s="628" t="str">
        <f ca="1">AuxData!J113</f>
        <v>GANOXY</v>
      </c>
      <c r="E45" s="629" t="s">
        <v>739</v>
      </c>
      <c r="F45" s="289"/>
      <c r="G45" s="630">
        <f ca="1">IEAData!I73</f>
        <v>0</v>
      </c>
      <c r="H45" s="289"/>
      <c r="I45" s="630">
        <f ca="1">SUM(AuxData!J119)</f>
        <v>3.4100021000000003</v>
      </c>
      <c r="J45" s="631"/>
      <c r="K45" s="79"/>
      <c r="L45" s="631"/>
      <c r="M45" s="79"/>
      <c r="N45" s="647">
        <f>IF(G44+G45=0,"",G45/(G44+G45))</f>
        <v>0</v>
      </c>
      <c r="O45" s="285"/>
      <c r="P45" s="647">
        <f>IF(I44+I45=0,"",I45/(I44+I45))</f>
        <v>0.27433645213193886</v>
      </c>
      <c r="Q45" s="285"/>
      <c r="R45" s="284"/>
      <c r="S45" s="284"/>
      <c r="T45" s="79"/>
      <c r="U45" s="79"/>
      <c r="V45" s="79"/>
      <c r="W45" s="79"/>
      <c r="X45" s="284"/>
      <c r="Y45" s="79"/>
      <c r="Z45" s="79"/>
      <c r="AA45" s="284"/>
      <c r="AB45" s="79"/>
      <c r="AC45" s="79"/>
      <c r="AD45" s="79"/>
      <c r="AE45" s="284"/>
      <c r="AF45" s="284"/>
      <c r="AK45" s="22"/>
      <c r="AL45" s="22"/>
    </row>
    <row r="46" spans="1:38">
      <c r="A46" s="330"/>
      <c r="B46" s="587"/>
      <c r="C46" s="628" t="str">
        <f ca="1">IF(OPEC,AuxData!$R$113,"GASNGA")</f>
        <v>GASNGA</v>
      </c>
      <c r="D46" s="281"/>
      <c r="E46" s="587"/>
      <c r="F46" s="623">
        <f ca="1">-IEAData!Q73</f>
        <v>0</v>
      </c>
      <c r="G46" s="624"/>
      <c r="H46" s="623">
        <f ca="1">-AuxData!Q73</f>
        <v>0</v>
      </c>
      <c r="I46" s="624"/>
      <c r="J46" s="79"/>
      <c r="K46" s="79"/>
      <c r="L46" s="79"/>
      <c r="M46" s="79"/>
      <c r="N46" s="285">
        <f>IF($J$41="","",F46/SUM($F$41:$F$50))</f>
        <v>0</v>
      </c>
      <c r="O46" s="79"/>
      <c r="P46" s="285">
        <f>IF($L$41="","",H46/SUM($H$41:$H$50))</f>
        <v>0</v>
      </c>
      <c r="Q46" s="79"/>
      <c r="R46" s="284"/>
      <c r="S46" s="284"/>
      <c r="T46" s="79"/>
      <c r="U46" s="79"/>
      <c r="V46" s="79"/>
      <c r="W46" s="79"/>
      <c r="X46" s="284"/>
      <c r="Y46" s="79"/>
      <c r="Z46" s="79"/>
      <c r="AA46" s="284"/>
      <c r="AB46" s="79"/>
      <c r="AC46" s="79"/>
      <c r="AD46" s="79"/>
      <c r="AE46" s="284"/>
      <c r="AF46" s="284"/>
      <c r="AK46" s="22"/>
      <c r="AL46" s="22"/>
    </row>
    <row r="47" spans="1:38">
      <c r="A47" s="330"/>
      <c r="B47" s="587"/>
      <c r="C47" s="628" t="str">
        <f ca="1">AuxData!Z113</f>
        <v>OINLPG</v>
      </c>
      <c r="D47" s="281"/>
      <c r="E47" s="587"/>
      <c r="F47" s="623">
        <f ca="1">-IEAData!Y73</f>
        <v>0</v>
      </c>
      <c r="G47" s="624"/>
      <c r="H47" s="623">
        <f ca="1">-AuxData!Y73</f>
        <v>0</v>
      </c>
      <c r="I47" s="624"/>
      <c r="J47" s="79"/>
      <c r="K47" s="79"/>
      <c r="L47" s="79"/>
      <c r="M47" s="79"/>
      <c r="N47" s="285">
        <f>IF($J$41="","",F47/SUM($F$41:$F$50))</f>
        <v>0</v>
      </c>
      <c r="O47" s="79"/>
      <c r="P47" s="285">
        <f>IF($L$41="","",H47/SUM($H$41:$H$50))</f>
        <v>0</v>
      </c>
      <c r="Q47" s="79"/>
      <c r="R47" s="284"/>
      <c r="S47" s="284"/>
      <c r="T47" s="79"/>
      <c r="U47" s="79"/>
      <c r="V47" s="79"/>
      <c r="W47" s="79"/>
      <c r="X47" s="284"/>
      <c r="Y47" s="79"/>
      <c r="Z47" s="79"/>
      <c r="AA47" s="284"/>
      <c r="AB47" s="79"/>
      <c r="AC47" s="79"/>
      <c r="AD47" s="79"/>
      <c r="AE47" s="284"/>
      <c r="AF47" s="284"/>
      <c r="AK47" s="22"/>
      <c r="AL47" s="22"/>
    </row>
    <row r="48" spans="1:38">
      <c r="A48" s="330"/>
      <c r="B48" s="587"/>
      <c r="C48" s="628" t="str">
        <f ca="1">AuxData!AF113</f>
        <v>OINDST</v>
      </c>
      <c r="D48" s="281"/>
      <c r="E48" s="587"/>
      <c r="F48" s="623">
        <f ca="1">-IEAData!AE73</f>
        <v>0</v>
      </c>
      <c r="G48" s="624"/>
      <c r="H48" s="623">
        <f ca="1">-AuxData!AE73</f>
        <v>0</v>
      </c>
      <c r="I48" s="624"/>
      <c r="J48" s="79"/>
      <c r="K48" s="79"/>
      <c r="L48" s="79"/>
      <c r="M48" s="79"/>
      <c r="N48" s="285">
        <f>IF($J$41="","",F48/SUM($F$41:$F$50))</f>
        <v>0</v>
      </c>
      <c r="O48" s="79"/>
      <c r="P48" s="285">
        <f>IF($L$41="","",H48/SUM($H$41:$H$50))</f>
        <v>0</v>
      </c>
      <c r="Q48" s="79"/>
      <c r="R48" s="284"/>
      <c r="S48" s="284"/>
      <c r="T48" s="79"/>
      <c r="U48" s="79"/>
      <c r="V48" s="79"/>
      <c r="W48" s="79"/>
      <c r="X48" s="284"/>
      <c r="Y48" s="79"/>
      <c r="Z48" s="79"/>
      <c r="AA48" s="284"/>
      <c r="AB48" s="79"/>
      <c r="AC48" s="79"/>
      <c r="AD48" s="79"/>
      <c r="AE48" s="284"/>
      <c r="AF48" s="284"/>
      <c r="AK48" s="22"/>
      <c r="AL48" s="22"/>
    </row>
    <row r="49" spans="1:38">
      <c r="A49" s="330"/>
      <c r="B49" s="587"/>
      <c r="C49" s="628" t="str">
        <f ca="1">AuxData!AG113</f>
        <v>OINHFO</v>
      </c>
      <c r="D49" s="281"/>
      <c r="E49" s="587"/>
      <c r="F49" s="623">
        <f ca="1">-IEAData!AF73</f>
        <v>7.719998652000001</v>
      </c>
      <c r="G49" s="624"/>
      <c r="H49" s="623">
        <f ca="1">-AuxData!AF73</f>
        <v>0</v>
      </c>
      <c r="I49" s="624"/>
      <c r="J49" s="79"/>
      <c r="K49" s="79"/>
      <c r="L49" s="79"/>
      <c r="M49" s="79"/>
      <c r="N49" s="285">
        <f>IF($J$41="","",F49/SUM($F$41:$F$50))</f>
        <v>0.24290091580689013</v>
      </c>
      <c r="O49" s="79"/>
      <c r="P49" s="285">
        <f>IF($L$41="","",H49/SUM($H$41:$H$50))</f>
        <v>0</v>
      </c>
      <c r="Q49" s="79"/>
      <c r="R49" s="284"/>
      <c r="S49" s="284"/>
      <c r="T49" s="79"/>
      <c r="U49" s="79"/>
      <c r="V49" s="79"/>
      <c r="W49" s="79"/>
      <c r="X49" s="284"/>
      <c r="Y49" s="79"/>
      <c r="Z49" s="79"/>
      <c r="AA49" s="284"/>
      <c r="AB49" s="79"/>
      <c r="AC49" s="79"/>
      <c r="AD49" s="79"/>
      <c r="AE49" s="284"/>
      <c r="AF49" s="284"/>
      <c r="AK49" s="22"/>
      <c r="AL49" s="22"/>
    </row>
    <row r="50" spans="1:38">
      <c r="A50" s="330"/>
      <c r="B50" s="587"/>
      <c r="C50" s="628" t="str">
        <f ca="1">AuxData!AM113</f>
        <v>OINPTC</v>
      </c>
      <c r="D50" s="281"/>
      <c r="E50" s="587"/>
      <c r="F50" s="623">
        <f ca="1">-IEAData!AL73</f>
        <v>0</v>
      </c>
      <c r="G50" s="624"/>
      <c r="H50" s="623">
        <f ca="1">-AuxData!AL73</f>
        <v>0</v>
      </c>
      <c r="I50" s="624"/>
      <c r="J50" s="79"/>
      <c r="K50" s="79"/>
      <c r="L50" s="79"/>
      <c r="M50" s="79"/>
      <c r="N50" s="285">
        <f>IF($J$41="","",F50/SUM($F$41:$F$50))</f>
        <v>0</v>
      </c>
      <c r="O50" s="79"/>
      <c r="P50" s="285">
        <f>IF($L$41="","",H50/SUM($H$41:$H$50))</f>
        <v>0</v>
      </c>
      <c r="Q50" s="79"/>
      <c r="R50" s="284"/>
      <c r="S50" s="284"/>
      <c r="T50" s="79"/>
      <c r="U50" s="79"/>
      <c r="V50" s="79"/>
      <c r="W50" s="79"/>
      <c r="X50" s="284"/>
      <c r="Y50" s="79"/>
      <c r="Z50" s="79"/>
      <c r="AA50" s="284"/>
      <c r="AB50" s="79"/>
      <c r="AC50" s="79"/>
      <c r="AD50" s="79"/>
      <c r="AE50" s="284"/>
      <c r="AF50" s="284"/>
      <c r="AK50" s="22"/>
      <c r="AL50" s="22"/>
    </row>
    <row r="51" spans="1:38">
      <c r="A51" s="627"/>
      <c r="B51" s="627"/>
      <c r="C51" s="628"/>
      <c r="D51" s="294" t="s">
        <v>508</v>
      </c>
      <c r="E51" s="238" t="s">
        <v>814</v>
      </c>
      <c r="F51" s="623"/>
      <c r="G51" s="624"/>
      <c r="H51" s="623"/>
      <c r="I51" s="624"/>
      <c r="J51" s="79"/>
      <c r="K51" s="79"/>
      <c r="L51" s="79"/>
      <c r="M51" s="79"/>
      <c r="N51" s="285"/>
      <c r="O51" s="79"/>
      <c r="P51" s="285"/>
      <c r="Q51" s="79"/>
      <c r="R51" s="284"/>
      <c r="S51" s="284"/>
      <c r="T51" s="79"/>
      <c r="U51" s="79"/>
      <c r="V51" s="79"/>
      <c r="W51" s="79"/>
      <c r="X51" s="284"/>
      <c r="Y51" s="79"/>
      <c r="Z51" s="79"/>
      <c r="AA51" s="284"/>
      <c r="AB51" s="79"/>
      <c r="AC51" s="79"/>
      <c r="AD51" s="79"/>
      <c r="AE51" s="284"/>
      <c r="AF51" s="648"/>
      <c r="AK51" s="22"/>
      <c r="AL51" s="22"/>
    </row>
    <row r="52" spans="1:38">
      <c r="A52" s="600" t="s">
        <v>1041</v>
      </c>
      <c r="B52" s="330" t="s">
        <v>1042</v>
      </c>
      <c r="C52" s="628" t="str">
        <f ca="1">AuxData!X113</f>
        <v>GANRFG</v>
      </c>
      <c r="D52" s="281"/>
      <c r="E52" s="587"/>
      <c r="F52" s="623">
        <f ca="1">-IEAData!W74</f>
        <v>2.574002772</v>
      </c>
      <c r="G52" s="624"/>
      <c r="H52" s="623">
        <f ca="1">-AuxData!W74</f>
        <v>1.9305000000000001</v>
      </c>
      <c r="I52" s="624"/>
      <c r="J52" s="79">
        <f ca="1">IF(SUM(G$62)&lt;=0,"",MAX(0.1,MIN(1,G$62/SUM(F52:F61,Tiny))))</f>
        <v>0.91339109555120745</v>
      </c>
      <c r="K52" s="239"/>
      <c r="L52" s="79">
        <f ca="1">IF(SUM(I$62)&lt;=0,"",MAX(0.1,MIN(1,I$62/SUM(H52:H61,Tiny))))</f>
        <v>0.93772064412296896</v>
      </c>
      <c r="M52" s="239"/>
      <c r="N52" s="285"/>
      <c r="O52" s="79"/>
      <c r="P52" s="285"/>
      <c r="Q52" s="79"/>
      <c r="R52" s="31">
        <f>G62+G63*0</f>
        <v>6.6293791200000003</v>
      </c>
      <c r="S52" s="31">
        <f>I62+I63*0</f>
        <v>8.6275000999999989</v>
      </c>
      <c r="T52" s="53">
        <f>S52*0.75</f>
        <v>6.4706250749999992</v>
      </c>
      <c r="U52" s="53">
        <f>S52*0.5</f>
        <v>4.3137500499999994</v>
      </c>
      <c r="V52" s="31">
        <f>R52</f>
        <v>6.6293791200000003</v>
      </c>
      <c r="W52" s="31">
        <f>S52</f>
        <v>8.6275000999999989</v>
      </c>
      <c r="X52" s="53">
        <f>S52*1.5</f>
        <v>12.941250149999998</v>
      </c>
      <c r="Y52" s="53">
        <f>X52*2</f>
        <v>25.882500299999997</v>
      </c>
      <c r="Z52" s="239">
        <v>1</v>
      </c>
      <c r="AA52" s="284">
        <v>1</v>
      </c>
      <c r="AB52" s="239"/>
      <c r="AC52" s="239">
        <v>50</v>
      </c>
      <c r="AD52" s="239"/>
      <c r="AE52" s="239"/>
      <c r="AF52" s="239">
        <v>5</v>
      </c>
      <c r="AK52" s="22"/>
      <c r="AL52" s="22"/>
    </row>
    <row r="53" spans="1:38">
      <c r="A53" s="330"/>
      <c r="B53" s="587"/>
      <c r="C53" s="628" t="str">
        <f ca="1">AuxData!Y113</f>
        <v>GANETH</v>
      </c>
      <c r="D53" s="281"/>
      <c r="E53" s="587"/>
      <c r="F53" s="623">
        <f ca="1">-IEAData!X74</f>
        <v>0</v>
      </c>
      <c r="G53" s="624"/>
      <c r="H53" s="623">
        <f ca="1">-AuxData!X74</f>
        <v>0</v>
      </c>
      <c r="I53" s="624"/>
      <c r="J53" s="79"/>
      <c r="K53" s="285">
        <f t="shared" ref="K53:K61" si="5">IF($G$62=0,"",F53/SUM($G$62))</f>
        <v>0</v>
      </c>
      <c r="L53" s="79"/>
      <c r="M53" s="285">
        <f t="shared" ref="M53:M61" si="6">IF($I$62=0,"",H53/SUM($I$62))</f>
        <v>0</v>
      </c>
      <c r="N53" s="285"/>
      <c r="O53" s="79"/>
      <c r="P53" s="285"/>
      <c r="Q53" s="79"/>
      <c r="R53" s="284"/>
      <c r="S53" s="284"/>
      <c r="T53" s="79"/>
      <c r="U53" s="79"/>
      <c r="V53" s="79"/>
      <c r="W53" s="79"/>
      <c r="X53" s="284"/>
      <c r="Y53" s="79"/>
      <c r="Z53" s="79"/>
      <c r="AA53" s="284"/>
      <c r="AB53" s="343">
        <f t="shared" ref="AB53:AB61" si="7">IF(ISNUMBER(M53),0,"")</f>
        <v>0</v>
      </c>
      <c r="AC53" s="79"/>
      <c r="AD53" s="79"/>
      <c r="AE53" s="284"/>
      <c r="AF53" s="284"/>
      <c r="AK53" s="22"/>
      <c r="AL53" s="22"/>
    </row>
    <row r="54" spans="1:38">
      <c r="A54" s="330"/>
      <c r="B54" s="587"/>
      <c r="C54" s="628" t="str">
        <f ca="1">AuxData!Z113</f>
        <v>OINLPG</v>
      </c>
      <c r="D54" s="281"/>
      <c r="E54" s="587"/>
      <c r="F54" s="623">
        <f ca="1">-IEAData!Y74</f>
        <v>2.4839865720000001</v>
      </c>
      <c r="G54" s="624"/>
      <c r="H54" s="623">
        <f ca="1">-AuxData!Y74</f>
        <v>1.2420017000000001</v>
      </c>
      <c r="I54" s="624"/>
      <c r="J54" s="79"/>
      <c r="K54" s="285">
        <f t="shared" si="5"/>
        <v>0.37469369710749018</v>
      </c>
      <c r="L54" s="79"/>
      <c r="M54" s="285">
        <f t="shared" si="6"/>
        <v>0.14395846834009313</v>
      </c>
      <c r="N54" s="285"/>
      <c r="O54" s="79"/>
      <c r="P54" s="285"/>
      <c r="Q54" s="79"/>
      <c r="R54" s="284"/>
      <c r="S54" s="284"/>
      <c r="T54" s="79"/>
      <c r="U54" s="79"/>
      <c r="V54" s="79"/>
      <c r="W54" s="79"/>
      <c r="X54" s="284"/>
      <c r="Y54" s="79"/>
      <c r="Z54" s="79"/>
      <c r="AA54" s="284"/>
      <c r="AB54" s="343">
        <f t="shared" si="7"/>
        <v>0</v>
      </c>
      <c r="AC54" s="79"/>
      <c r="AD54" s="79"/>
      <c r="AE54" s="284"/>
      <c r="AF54" s="284"/>
      <c r="AK54" s="22"/>
      <c r="AL54" s="22"/>
    </row>
    <row r="55" spans="1:38">
      <c r="A55" s="330"/>
      <c r="B55" s="587"/>
      <c r="C55" s="628" t="str">
        <f ca="1">AuxData!AA113</f>
        <v>OINGSL</v>
      </c>
      <c r="D55" s="281"/>
      <c r="E55" s="587"/>
      <c r="F55" s="623">
        <f ca="1">-IEAData!Z74</f>
        <v>0</v>
      </c>
      <c r="G55" s="624"/>
      <c r="H55" s="623">
        <f ca="1">-AuxData!Z74</f>
        <v>0</v>
      </c>
      <c r="I55" s="624"/>
      <c r="J55" s="79"/>
      <c r="K55" s="285">
        <f t="shared" si="5"/>
        <v>0</v>
      </c>
      <c r="L55" s="79"/>
      <c r="M55" s="285">
        <f t="shared" si="6"/>
        <v>0</v>
      </c>
      <c r="N55" s="285"/>
      <c r="O55" s="79"/>
      <c r="P55" s="285"/>
      <c r="Q55" s="79"/>
      <c r="R55" s="284"/>
      <c r="S55" s="284"/>
      <c r="T55" s="79"/>
      <c r="U55" s="79"/>
      <c r="V55" s="79"/>
      <c r="W55" s="79"/>
      <c r="X55" s="284"/>
      <c r="Y55" s="79"/>
      <c r="Z55" s="79"/>
      <c r="AA55" s="284"/>
      <c r="AB55" s="343">
        <f t="shared" si="7"/>
        <v>0</v>
      </c>
      <c r="AC55" s="79"/>
      <c r="AD55" s="79"/>
      <c r="AE55" s="284"/>
      <c r="AF55" s="284"/>
      <c r="AK55" s="22"/>
      <c r="AL55" s="22"/>
    </row>
    <row r="56" spans="1:38">
      <c r="A56" s="330"/>
      <c r="B56" s="587"/>
      <c r="C56" s="628" t="str">
        <f ca="1">AuxData!AE113</f>
        <v>OINKER</v>
      </c>
      <c r="D56" s="281"/>
      <c r="E56" s="587"/>
      <c r="F56" s="623">
        <f ca="1">-IEAData!AD74</f>
        <v>0</v>
      </c>
      <c r="G56" s="624"/>
      <c r="H56" s="623">
        <f ca="1">-AuxData!AD74</f>
        <v>0</v>
      </c>
      <c r="I56" s="624"/>
      <c r="J56" s="79"/>
      <c r="K56" s="285">
        <f t="shared" si="5"/>
        <v>0</v>
      </c>
      <c r="L56" s="79"/>
      <c r="M56" s="285">
        <f t="shared" si="6"/>
        <v>0</v>
      </c>
      <c r="N56" s="285"/>
      <c r="O56" s="79"/>
      <c r="P56" s="285"/>
      <c r="Q56" s="79"/>
      <c r="R56" s="284"/>
      <c r="S56" s="284"/>
      <c r="T56" s="79"/>
      <c r="U56" s="79"/>
      <c r="V56" s="79"/>
      <c r="W56" s="79"/>
      <c r="X56" s="284"/>
      <c r="Y56" s="79"/>
      <c r="Z56" s="79"/>
      <c r="AA56" s="284"/>
      <c r="AB56" s="343">
        <f t="shared" si="7"/>
        <v>0</v>
      </c>
      <c r="AC56" s="79"/>
      <c r="AD56" s="79"/>
      <c r="AE56" s="284"/>
      <c r="AF56" s="284"/>
      <c r="AK56" s="22"/>
      <c r="AL56" s="22"/>
    </row>
    <row r="57" spans="1:38">
      <c r="A57" s="330"/>
      <c r="B57" s="587"/>
      <c r="C57" s="628" t="str">
        <f ca="1">AuxData!AF113</f>
        <v>OINDST</v>
      </c>
      <c r="D57" s="281"/>
      <c r="E57" s="587"/>
      <c r="F57" s="623">
        <f ca="1">-IEAData!AE74</f>
        <v>0</v>
      </c>
      <c r="G57" s="624"/>
      <c r="H57" s="623">
        <f ca="1">-AuxData!AE74</f>
        <v>0</v>
      </c>
      <c r="I57" s="624"/>
      <c r="J57" s="79"/>
      <c r="K57" s="285">
        <f t="shared" si="5"/>
        <v>0</v>
      </c>
      <c r="L57" s="79"/>
      <c r="M57" s="285">
        <f t="shared" si="6"/>
        <v>0</v>
      </c>
      <c r="N57" s="285"/>
      <c r="O57" s="79"/>
      <c r="P57" s="285"/>
      <c r="Q57" s="79"/>
      <c r="R57" s="284"/>
      <c r="S57" s="284"/>
      <c r="T57" s="79"/>
      <c r="U57" s="79"/>
      <c r="V57" s="79"/>
      <c r="W57" s="79"/>
      <c r="X57" s="284"/>
      <c r="Y57" s="79"/>
      <c r="Z57" s="79"/>
      <c r="AA57" s="284"/>
      <c r="AB57" s="343">
        <f t="shared" si="7"/>
        <v>0</v>
      </c>
      <c r="AC57" s="79"/>
      <c r="AD57" s="79"/>
      <c r="AE57" s="284"/>
      <c r="AF57" s="284"/>
      <c r="AK57" s="22"/>
      <c r="AL57" s="22"/>
    </row>
    <row r="58" spans="1:38">
      <c r="A58" s="330"/>
      <c r="B58" s="587"/>
      <c r="C58" s="628" t="str">
        <f ca="1">AuxData!AG113</f>
        <v>OINHFO</v>
      </c>
      <c r="D58" s="281"/>
      <c r="E58" s="587"/>
      <c r="F58" s="623">
        <f ca="1">-IEAData!AF74</f>
        <v>0</v>
      </c>
      <c r="G58" s="624"/>
      <c r="H58" s="623">
        <f ca="1">-AuxData!AF74</f>
        <v>0</v>
      </c>
      <c r="I58" s="624"/>
      <c r="J58" s="79"/>
      <c r="K58" s="285">
        <f t="shared" si="5"/>
        <v>0</v>
      </c>
      <c r="L58" s="79"/>
      <c r="M58" s="285">
        <f t="shared" si="6"/>
        <v>0</v>
      </c>
      <c r="N58" s="285"/>
      <c r="O58" s="79"/>
      <c r="P58" s="285"/>
      <c r="Q58" s="79"/>
      <c r="R58" s="284"/>
      <c r="S58" s="284"/>
      <c r="T58" s="79"/>
      <c r="U58" s="79"/>
      <c r="V58" s="79"/>
      <c r="W58" s="79"/>
      <c r="X58" s="284"/>
      <c r="Y58" s="79"/>
      <c r="Z58" s="79"/>
      <c r="AA58" s="284"/>
      <c r="AB58" s="343">
        <f t="shared" si="7"/>
        <v>0</v>
      </c>
      <c r="AC58" s="79"/>
      <c r="AD58" s="79"/>
      <c r="AE58" s="284"/>
      <c r="AF58" s="284"/>
      <c r="AK58" s="22"/>
      <c r="AL58" s="22"/>
    </row>
    <row r="59" spans="1:38">
      <c r="A59" s="330"/>
      <c r="B59" s="587"/>
      <c r="C59" s="628" t="str">
        <f ca="1">AuxData!AH113</f>
        <v>OINNAP</v>
      </c>
      <c r="D59" s="281"/>
      <c r="E59" s="587"/>
      <c r="F59" s="623">
        <f ca="1">-IEAData!AG74</f>
        <v>2.1999959280000003</v>
      </c>
      <c r="G59" s="624"/>
      <c r="H59" s="623">
        <f ca="1">-AuxData!AG74</f>
        <v>6.0279997000000005</v>
      </c>
      <c r="I59" s="624"/>
      <c r="J59" s="79"/>
      <c r="K59" s="285">
        <f t="shared" si="5"/>
        <v>0.33185550082101811</v>
      </c>
      <c r="L59" s="79"/>
      <c r="M59" s="285">
        <f t="shared" si="6"/>
        <v>0.69869598726518722</v>
      </c>
      <c r="N59" s="285"/>
      <c r="O59" s="79"/>
      <c r="P59" s="285"/>
      <c r="Q59" s="79"/>
      <c r="R59" s="284"/>
      <c r="S59" s="284"/>
      <c r="T59" s="79"/>
      <c r="U59" s="79"/>
      <c r="V59" s="79"/>
      <c r="W59" s="79"/>
      <c r="X59" s="284"/>
      <c r="Y59" s="79"/>
      <c r="Z59" s="79"/>
      <c r="AA59" s="284"/>
      <c r="AB59" s="343">
        <f t="shared" si="7"/>
        <v>0</v>
      </c>
      <c r="AC59" s="79"/>
      <c r="AD59" s="79"/>
      <c r="AE59" s="284"/>
      <c r="AF59" s="284"/>
      <c r="AK59" s="22"/>
      <c r="AL59" s="22"/>
    </row>
    <row r="60" spans="1:38">
      <c r="A60" s="330"/>
      <c r="B60" s="587"/>
      <c r="C60" s="628" t="str">
        <f ca="1">AuxData!AM113</f>
        <v>OINPTC</v>
      </c>
      <c r="D60" s="281"/>
      <c r="E60" s="587"/>
      <c r="F60" s="623">
        <f ca="1">-IEAData!AL74</f>
        <v>0</v>
      </c>
      <c r="G60" s="624"/>
      <c r="H60" s="623">
        <f ca="1">-AuxData!AL74</f>
        <v>0</v>
      </c>
      <c r="I60" s="624"/>
      <c r="J60" s="79"/>
      <c r="K60" s="285">
        <f t="shared" si="5"/>
        <v>0</v>
      </c>
      <c r="L60" s="79"/>
      <c r="M60" s="285">
        <f t="shared" si="6"/>
        <v>0</v>
      </c>
      <c r="N60" s="285"/>
      <c r="O60" s="79"/>
      <c r="P60" s="285"/>
      <c r="Q60" s="79"/>
      <c r="R60" s="284"/>
      <c r="S60" s="284"/>
      <c r="T60" s="79"/>
      <c r="U60" s="79"/>
      <c r="V60" s="79"/>
      <c r="W60" s="79"/>
      <c r="X60" s="284"/>
      <c r="Y60" s="79"/>
      <c r="Z60" s="79"/>
      <c r="AA60" s="284"/>
      <c r="AB60" s="343">
        <f t="shared" si="7"/>
        <v>0</v>
      </c>
      <c r="AC60" s="79"/>
      <c r="AD60" s="79"/>
      <c r="AE60" s="284"/>
      <c r="AF60" s="284"/>
      <c r="AK60" s="22"/>
      <c r="AL60" s="22"/>
    </row>
    <row r="61" spans="1:38">
      <c r="A61" s="330"/>
      <c r="B61" s="587"/>
      <c r="C61" s="628" t="str">
        <f ca="1">AuxData!AN113</f>
        <v>OINNSP</v>
      </c>
      <c r="D61" s="281"/>
      <c r="E61" s="587"/>
      <c r="F61" s="623">
        <f ca="1">-IEAData!AM74</f>
        <v>0</v>
      </c>
      <c r="G61" s="624"/>
      <c r="H61" s="623">
        <f ca="1">-AuxData!AM74</f>
        <v>0</v>
      </c>
      <c r="I61" s="624"/>
      <c r="J61" s="79"/>
      <c r="K61" s="285">
        <f t="shared" si="5"/>
        <v>0</v>
      </c>
      <c r="L61" s="79"/>
      <c r="M61" s="285">
        <f t="shared" si="6"/>
        <v>0</v>
      </c>
      <c r="N61" s="285"/>
      <c r="O61" s="79"/>
      <c r="P61" s="285"/>
      <c r="Q61" s="79"/>
      <c r="R61" s="284"/>
      <c r="S61" s="284"/>
      <c r="T61" s="79"/>
      <c r="U61" s="79"/>
      <c r="V61" s="79"/>
      <c r="W61" s="79"/>
      <c r="X61" s="284"/>
      <c r="Y61" s="79"/>
      <c r="Z61" s="79"/>
      <c r="AA61" s="284"/>
      <c r="AB61" s="343">
        <f t="shared" si="7"/>
        <v>0</v>
      </c>
      <c r="AC61" s="79"/>
      <c r="AD61" s="79"/>
      <c r="AE61" s="284"/>
      <c r="AF61" s="284"/>
      <c r="AK61" s="22"/>
      <c r="AL61" s="22"/>
    </row>
    <row r="62" spans="1:38">
      <c r="A62" s="627"/>
      <c r="B62" s="627"/>
      <c r="C62" s="330"/>
      <c r="D62" s="628" t="str">
        <f ca="1">AuxData!U113</f>
        <v>OINFEE</v>
      </c>
      <c r="E62" s="330" t="s">
        <v>760</v>
      </c>
      <c r="F62" s="289"/>
      <c r="G62" s="630">
        <f ca="1">IEAData!T74</f>
        <v>6.6293791200000003</v>
      </c>
      <c r="H62" s="289"/>
      <c r="I62" s="630">
        <f ca="1">AuxData!T74</f>
        <v>8.6275000999999989</v>
      </c>
      <c r="J62" s="79"/>
      <c r="K62" s="79"/>
      <c r="L62" s="79"/>
      <c r="M62" s="79"/>
      <c r="N62" s="79"/>
      <c r="O62" s="285"/>
      <c r="P62" s="79"/>
      <c r="Q62" s="285"/>
      <c r="R62" s="284"/>
      <c r="S62" s="284"/>
      <c r="T62" s="79"/>
      <c r="U62" s="79"/>
      <c r="V62" s="79"/>
      <c r="W62" s="79"/>
      <c r="X62" s="284"/>
      <c r="Y62" s="79"/>
      <c r="Z62" s="79"/>
      <c r="AA62" s="79"/>
      <c r="AB62" s="79"/>
      <c r="AC62" s="79"/>
      <c r="AD62" s="79"/>
      <c r="AE62" s="284"/>
      <c r="AF62" s="284"/>
      <c r="AK62" s="22"/>
      <c r="AL62" s="22"/>
    </row>
    <row r="63" spans="1:38">
      <c r="A63" s="627"/>
      <c r="B63" s="627"/>
      <c r="C63" s="238"/>
      <c r="D63" s="238" t="s">
        <v>809</v>
      </c>
      <c r="E63" s="238" t="s">
        <v>1043</v>
      </c>
      <c r="F63" s="649"/>
      <c r="G63" s="624">
        <f ca="1">IEAData!W110</f>
        <v>0</v>
      </c>
      <c r="H63" s="649"/>
      <c r="I63" s="624">
        <f ca="1">AuxData!W110</f>
        <v>0</v>
      </c>
      <c r="J63" s="31"/>
      <c r="K63" s="31"/>
      <c r="L63" s="31"/>
      <c r="M63" s="31"/>
      <c r="N63" s="31"/>
      <c r="O63" s="650">
        <f>IF($G$62&lt;=0,0,G63/SUM($G$62))</f>
        <v>0</v>
      </c>
      <c r="P63" s="31"/>
      <c r="Q63" s="650">
        <f>IF($I$62&lt;=0,0,I63/SUM($I$62))</f>
        <v>0</v>
      </c>
      <c r="R63" s="284"/>
      <c r="S63" s="284"/>
      <c r="T63" s="284"/>
      <c r="U63" s="284"/>
      <c r="V63" s="284"/>
      <c r="W63" s="284"/>
      <c r="X63" s="284"/>
      <c r="Y63" s="284"/>
      <c r="Z63" s="31"/>
      <c r="AA63" s="79"/>
      <c r="AB63" s="31"/>
      <c r="AC63" s="31"/>
      <c r="AD63" s="31"/>
      <c r="AE63" s="284"/>
      <c r="AF63" s="284"/>
      <c r="AK63" s="22"/>
      <c r="AL63" s="22"/>
    </row>
    <row r="64" spans="1:38">
      <c r="A64" s="600" t="s">
        <v>1044</v>
      </c>
      <c r="B64" s="330" t="s">
        <v>1045</v>
      </c>
      <c r="C64" s="628" t="str">
        <f ca="1">AuxData!C113</f>
        <v>CONHCO</v>
      </c>
      <c r="D64" s="281"/>
      <c r="E64" s="587"/>
      <c r="F64" s="623">
        <f ca="1">-IEAData!B77</f>
        <v>0</v>
      </c>
      <c r="G64" s="651">
        <f ca="1">SUM(G66:G67,G69:G71)</f>
        <v>0</v>
      </c>
      <c r="H64" s="623">
        <f ca="1">-AuxData!B77</f>
        <v>0</v>
      </c>
      <c r="I64" s="651">
        <f ca="1">SUM(I66:I67,I69:I71)</f>
        <v>0</v>
      </c>
      <c r="J64" s="79" t="str">
        <f>IF(SUM(F64:F71)=0,"",MIN(1,SUM(G66:G71)/SUM(F64:F71)))</f>
        <v/>
      </c>
      <c r="K64" s="239"/>
      <c r="L64" s="79" t="str">
        <f>IF(SUM(H64:H71)=0,"",MIN(1,SUM(I66:I71)/SUM(H64:H71)))</f>
        <v/>
      </c>
      <c r="M64" s="239"/>
      <c r="N64" s="285">
        <f>IF($J$64="",0,F64/SUM($F$64:$F$71))</f>
        <v>0</v>
      </c>
      <c r="O64" s="79"/>
      <c r="P64" s="285" t="str">
        <f>IF($L$64="","",H64/SUM($H$64:$H$71))</f>
        <v/>
      </c>
      <c r="Q64" s="79"/>
      <c r="R64" s="31">
        <f>G66+G67+G68+G69+G70+G71</f>
        <v>0</v>
      </c>
      <c r="S64" s="31">
        <f>I66+I67+I68+I69+I70+I71</f>
        <v>0</v>
      </c>
      <c r="T64" s="53">
        <f>S64*0.75</f>
        <v>0</v>
      </c>
      <c r="U64" s="53">
        <f>S64*0.5</f>
        <v>0</v>
      </c>
      <c r="V64" s="31">
        <f>G66+G67+G68+G69+G70+G71</f>
        <v>0</v>
      </c>
      <c r="W64" s="31">
        <f>I66+I67+I68+I69+I70+I71</f>
        <v>0</v>
      </c>
      <c r="X64" s="53">
        <f>S64*1.5</f>
        <v>0</v>
      </c>
      <c r="Y64" s="53"/>
      <c r="Z64" s="239">
        <v>1</v>
      </c>
      <c r="AA64" s="79">
        <v>1</v>
      </c>
      <c r="AB64" s="239"/>
      <c r="AC64" s="239">
        <v>50</v>
      </c>
      <c r="AD64" s="239"/>
      <c r="AE64" s="239">
        <v>50</v>
      </c>
      <c r="AF64" s="239">
        <v>5</v>
      </c>
      <c r="AK64" s="22"/>
      <c r="AL64" s="22"/>
    </row>
    <row r="65" spans="1:38">
      <c r="A65" s="587"/>
      <c r="B65" s="587"/>
      <c r="C65" s="628" t="str">
        <f ca="1">IF(OPEC,AuxData!$R$113,"GASNGA")</f>
        <v>GASNGA</v>
      </c>
      <c r="D65" s="281"/>
      <c r="E65" s="587"/>
      <c r="F65" s="623">
        <f ca="1">-IEAData!Q77</f>
        <v>0</v>
      </c>
      <c r="G65" s="624"/>
      <c r="H65" s="623">
        <f ca="1">-AuxData!Q77</f>
        <v>0</v>
      </c>
      <c r="I65" s="624"/>
      <c r="J65" s="79"/>
      <c r="K65" s="79"/>
      <c r="L65" s="79"/>
      <c r="M65" s="79"/>
      <c r="N65" s="285">
        <f>IF($J$64="",1,F65/SUM($F$64:$F$71))</f>
        <v>1</v>
      </c>
      <c r="O65" s="285"/>
      <c r="P65" s="285" t="str">
        <f>IF($L$64="","",H65/SUM($H$64:$H$71))</f>
        <v/>
      </c>
      <c r="Q65" s="285"/>
      <c r="R65" s="284"/>
      <c r="S65" s="284"/>
      <c r="T65" s="79"/>
      <c r="U65" s="79"/>
      <c r="V65" s="79"/>
      <c r="W65" s="79"/>
      <c r="X65" s="284"/>
      <c r="Y65" s="79"/>
      <c r="Z65" s="79"/>
      <c r="AA65" s="284"/>
      <c r="AB65" s="79"/>
      <c r="AC65" s="79"/>
      <c r="AD65" s="79"/>
      <c r="AE65" s="284"/>
      <c r="AF65" s="284"/>
      <c r="AK65" s="22"/>
      <c r="AL65" s="22"/>
    </row>
    <row r="66" spans="1:38">
      <c r="A66" s="627"/>
      <c r="B66" s="627"/>
      <c r="C66" s="281"/>
      <c r="D66" s="628" t="str">
        <f ca="1">AuxData!W113</f>
        <v>OINNCR</v>
      </c>
      <c r="E66" s="629" t="s">
        <v>1046</v>
      </c>
      <c r="F66" s="289"/>
      <c r="G66" s="630">
        <f ca="1">IEAData!V77</f>
        <v>0</v>
      </c>
      <c r="H66" s="289"/>
      <c r="I66" s="630">
        <f ca="1">AuxData!V77</f>
        <v>0</v>
      </c>
      <c r="J66" s="631"/>
      <c r="K66" s="79"/>
      <c r="L66" s="631"/>
      <c r="M66" s="79"/>
      <c r="N66" s="647" t="str">
        <f t="shared" ref="N66:N71" si="8">IF($J$64="","",G66/SUM($G$66:$G$71))</f>
        <v/>
      </c>
      <c r="O66" s="285"/>
      <c r="P66" s="647" t="str">
        <f t="shared" ref="P66:P71" si="9">IF($L$64="","",I66/SUM($I$66:$I$71))</f>
        <v/>
      </c>
      <c r="Q66" s="285"/>
      <c r="R66" s="284"/>
      <c r="S66" s="284"/>
      <c r="T66" s="79"/>
      <c r="U66" s="79"/>
      <c r="V66" s="79"/>
      <c r="W66" s="79"/>
      <c r="X66" s="284"/>
      <c r="Y66" s="79"/>
      <c r="Z66" s="79"/>
      <c r="AA66" s="284"/>
      <c r="AB66" s="79"/>
      <c r="AC66" s="79"/>
      <c r="AD66" s="79"/>
      <c r="AE66" s="284"/>
      <c r="AF66" s="284"/>
      <c r="AK66" s="22"/>
      <c r="AL66" s="22"/>
    </row>
    <row r="67" spans="1:38">
      <c r="A67" s="587"/>
      <c r="B67" s="587"/>
      <c r="C67" s="281"/>
      <c r="D67" s="628" t="str">
        <f ca="1">AuxData!Y113</f>
        <v>GANETH</v>
      </c>
      <c r="E67" s="652" t="s">
        <v>743</v>
      </c>
      <c r="F67" s="289"/>
      <c r="G67" s="630">
        <f ca="1">IEAData!X77</f>
        <v>0</v>
      </c>
      <c r="H67" s="289"/>
      <c r="I67" s="630">
        <f ca="1">AuxData!X77</f>
        <v>0</v>
      </c>
      <c r="J67" s="631"/>
      <c r="K67" s="79"/>
      <c r="L67" s="631"/>
      <c r="M67" s="79"/>
      <c r="N67" s="647" t="str">
        <f t="shared" si="8"/>
        <v/>
      </c>
      <c r="O67" s="285"/>
      <c r="P67" s="647" t="str">
        <f t="shared" si="9"/>
        <v/>
      </c>
      <c r="Q67" s="285"/>
      <c r="R67" s="284"/>
      <c r="S67" s="284"/>
      <c r="T67" s="79"/>
      <c r="U67" s="79"/>
      <c r="V67" s="79"/>
      <c r="W67" s="79"/>
      <c r="X67" s="284"/>
      <c r="Y67" s="79"/>
      <c r="Z67" s="79"/>
      <c r="AA67" s="284"/>
      <c r="AB67" s="79"/>
      <c r="AC67" s="79"/>
      <c r="AD67" s="79"/>
      <c r="AE67" s="284"/>
      <c r="AF67" s="284"/>
      <c r="AK67" s="22"/>
      <c r="AL67" s="22"/>
    </row>
    <row r="68" spans="1:38">
      <c r="A68" s="587"/>
      <c r="B68" s="587"/>
      <c r="C68" s="281"/>
      <c r="D68" s="628" t="s">
        <v>383</v>
      </c>
      <c r="E68" s="238" t="s">
        <v>384</v>
      </c>
      <c r="F68" s="289"/>
      <c r="G68" s="630">
        <f ca="1">IF(F65&gt;0,IF(G64&gt;0,0,MAX(F65*0.01,0.1)),0)</f>
        <v>0</v>
      </c>
      <c r="H68" s="289"/>
      <c r="I68" s="630">
        <f ca="1">IF(H65&gt;0,IF(I64&gt;0,0,MAX(H65*0.01,0.1)),0)</f>
        <v>0</v>
      </c>
      <c r="J68" s="631"/>
      <c r="K68" s="79"/>
      <c r="L68" s="631"/>
      <c r="M68" s="79"/>
      <c r="N68" s="647" t="str">
        <f t="shared" si="8"/>
        <v/>
      </c>
      <c r="O68" s="285"/>
      <c r="P68" s="647" t="str">
        <f t="shared" si="9"/>
        <v/>
      </c>
      <c r="Q68" s="285"/>
      <c r="R68" s="284"/>
      <c r="S68" s="284"/>
      <c r="T68" s="79"/>
      <c r="U68" s="79"/>
      <c r="V68" s="79"/>
      <c r="W68" s="79"/>
      <c r="X68" s="284"/>
      <c r="Y68" s="79"/>
      <c r="Z68" s="79"/>
      <c r="AA68" s="284"/>
      <c r="AB68" s="79"/>
      <c r="AC68" s="79"/>
      <c r="AD68" s="79"/>
      <c r="AE68" s="284"/>
      <c r="AF68" s="284"/>
      <c r="AK68" s="22"/>
      <c r="AL68" s="22"/>
    </row>
    <row r="69" spans="1:38">
      <c r="A69" s="587"/>
      <c r="B69" s="587"/>
      <c r="C69" s="281"/>
      <c r="D69" s="628" t="str">
        <f ca="1">AuxData!AE113</f>
        <v>OINKER</v>
      </c>
      <c r="E69" s="652" t="s">
        <v>767</v>
      </c>
      <c r="F69" s="289"/>
      <c r="G69" s="630">
        <f ca="1">IEAData!AD77</f>
        <v>0</v>
      </c>
      <c r="H69" s="289"/>
      <c r="I69" s="630">
        <f ca="1">AuxData!AD77</f>
        <v>0</v>
      </c>
      <c r="J69" s="631"/>
      <c r="K69" s="79"/>
      <c r="L69" s="631"/>
      <c r="M69" s="79"/>
      <c r="N69" s="647" t="str">
        <f t="shared" si="8"/>
        <v/>
      </c>
      <c r="O69" s="285"/>
      <c r="P69" s="647" t="str">
        <f t="shared" si="9"/>
        <v/>
      </c>
      <c r="Q69" s="285"/>
      <c r="R69" s="284"/>
      <c r="S69" s="284"/>
      <c r="T69" s="79"/>
      <c r="U69" s="79"/>
      <c r="V69" s="79"/>
      <c r="W69" s="79"/>
      <c r="X69" s="284"/>
      <c r="Y69" s="79"/>
      <c r="Z69" s="79"/>
      <c r="AA69" s="284"/>
      <c r="AB69" s="79"/>
      <c r="AC69" s="79"/>
      <c r="AD69" s="79"/>
      <c r="AE69" s="284"/>
      <c r="AF69" s="284"/>
      <c r="AK69" s="22"/>
      <c r="AL69" s="22"/>
    </row>
    <row r="70" spans="1:38">
      <c r="A70" s="587"/>
      <c r="B70" s="587"/>
      <c r="C70" s="281"/>
      <c r="D70" s="628" t="str">
        <f ca="1">AuxData!AF113</f>
        <v>OINDST</v>
      </c>
      <c r="E70" s="652" t="s">
        <v>759</v>
      </c>
      <c r="F70" s="289"/>
      <c r="G70" s="630">
        <f ca="1">IEAData!AE77</f>
        <v>0</v>
      </c>
      <c r="H70" s="289"/>
      <c r="I70" s="630">
        <f ca="1">AuxData!AE77</f>
        <v>0</v>
      </c>
      <c r="J70" s="631"/>
      <c r="K70" s="79"/>
      <c r="L70" s="631"/>
      <c r="M70" s="79"/>
      <c r="N70" s="647" t="str">
        <f t="shared" si="8"/>
        <v/>
      </c>
      <c r="O70" s="285"/>
      <c r="P70" s="647" t="str">
        <f t="shared" si="9"/>
        <v/>
      </c>
      <c r="Q70" s="285"/>
      <c r="R70" s="284"/>
      <c r="S70" s="284"/>
      <c r="T70" s="79"/>
      <c r="U70" s="79"/>
      <c r="V70" s="79"/>
      <c r="W70" s="79"/>
      <c r="X70" s="284"/>
      <c r="Y70" s="79"/>
      <c r="Z70" s="79"/>
      <c r="AA70" s="284"/>
      <c r="AB70" s="79"/>
      <c r="AC70" s="79"/>
      <c r="AD70" s="79"/>
      <c r="AE70" s="284"/>
      <c r="AF70" s="284"/>
      <c r="AK70" s="22"/>
      <c r="AL70" s="22"/>
    </row>
    <row r="71" spans="1:38">
      <c r="A71" s="587"/>
      <c r="B71" s="587"/>
      <c r="C71" s="281"/>
      <c r="D71" s="628" t="str">
        <f ca="1">AuxData!V113</f>
        <v>OINADD</v>
      </c>
      <c r="E71" s="652" t="s">
        <v>1047</v>
      </c>
      <c r="F71" s="289"/>
      <c r="G71" s="630">
        <f ca="1">IEAData!U77</f>
        <v>0</v>
      </c>
      <c r="H71" s="289"/>
      <c r="I71" s="630">
        <f ca="1">AuxData!U77</f>
        <v>0</v>
      </c>
      <c r="J71" s="631"/>
      <c r="K71" s="79"/>
      <c r="L71" s="631"/>
      <c r="M71" s="79"/>
      <c r="N71" s="647" t="str">
        <f t="shared" si="8"/>
        <v/>
      </c>
      <c r="O71" s="285"/>
      <c r="P71" s="647" t="str">
        <f t="shared" si="9"/>
        <v/>
      </c>
      <c r="Q71" s="285"/>
      <c r="R71" s="284"/>
      <c r="S71" s="284"/>
      <c r="T71" s="79"/>
      <c r="U71" s="79"/>
      <c r="V71" s="79"/>
      <c r="W71" s="79"/>
      <c r="X71" s="284"/>
      <c r="Y71" s="79"/>
      <c r="Z71" s="79"/>
      <c r="AA71" s="284"/>
      <c r="AB71" s="79"/>
      <c r="AC71" s="79"/>
      <c r="AD71" s="79"/>
      <c r="AE71" s="284"/>
      <c r="AF71" s="284"/>
      <c r="AK71" s="22"/>
      <c r="AL71" s="22"/>
    </row>
    <row r="72" spans="1:38">
      <c r="A72" s="600" t="s">
        <v>1048</v>
      </c>
      <c r="B72" s="330" t="s">
        <v>1049</v>
      </c>
      <c r="C72" s="628" t="str">
        <f ca="1">AuxData!L113</f>
        <v>BIOBSL</v>
      </c>
      <c r="D72" s="281"/>
      <c r="E72" s="587"/>
      <c r="F72" s="623">
        <f ca="1">-IEAData!K78</f>
        <v>0</v>
      </c>
      <c r="G72" s="630"/>
      <c r="H72" s="623">
        <f ca="1">-AuxData!K78</f>
        <v>0</v>
      </c>
      <c r="I72" s="630"/>
      <c r="J72" s="79"/>
      <c r="K72" s="79">
        <f>IF(G73&gt;0,F72/G73,1.5)</f>
        <v>1.5</v>
      </c>
      <c r="L72" s="79"/>
      <c r="M72" s="42">
        <f>IF(I73&gt;0,H72/I73,1.5)</f>
        <v>1.5</v>
      </c>
      <c r="N72" s="285"/>
      <c r="O72" s="79"/>
      <c r="P72" s="285"/>
      <c r="Q72" s="79"/>
      <c r="R72" s="653">
        <f>G73</f>
        <v>0</v>
      </c>
      <c r="S72" s="653">
        <f>I73</f>
        <v>0</v>
      </c>
      <c r="T72" s="53">
        <f>S72*0.6</f>
        <v>0</v>
      </c>
      <c r="U72" s="53">
        <f>S72*0.2</f>
        <v>0</v>
      </c>
      <c r="V72" s="31">
        <f>R72</f>
        <v>0</v>
      </c>
      <c r="W72" s="31">
        <f>S72</f>
        <v>0</v>
      </c>
      <c r="X72" s="53">
        <f>S72*1.2</f>
        <v>0</v>
      </c>
      <c r="Y72" s="53">
        <f>S72*3</f>
        <v>0</v>
      </c>
      <c r="Z72" s="239">
        <v>1</v>
      </c>
      <c r="AA72" s="79">
        <v>1</v>
      </c>
      <c r="AB72" s="239"/>
      <c r="AC72" s="239">
        <v>50</v>
      </c>
      <c r="AD72" s="239"/>
      <c r="AE72" s="239">
        <v>2</v>
      </c>
      <c r="AF72" s="239">
        <v>5</v>
      </c>
      <c r="AK72" s="22"/>
      <c r="AL72" s="22"/>
    </row>
    <row r="73" spans="1:38">
      <c r="A73" s="599"/>
      <c r="B73" s="330"/>
      <c r="C73" s="238"/>
      <c r="D73" s="628" t="str">
        <f ca="1">AuxData!K113</f>
        <v>BIOCHR</v>
      </c>
      <c r="E73" s="629" t="s">
        <v>340</v>
      </c>
      <c r="F73" s="289"/>
      <c r="G73" s="630">
        <f ca="1">IEAData!J78</f>
        <v>0</v>
      </c>
      <c r="H73" s="289"/>
      <c r="I73" s="630">
        <f ca="1">AuxData!J78</f>
        <v>0</v>
      </c>
      <c r="J73" s="79"/>
      <c r="K73" s="79"/>
      <c r="L73" s="79"/>
      <c r="M73" s="79"/>
      <c r="N73" s="285"/>
      <c r="O73" s="79"/>
      <c r="P73" s="285"/>
      <c r="Q73" s="79"/>
      <c r="R73" s="284"/>
      <c r="S73" s="284"/>
      <c r="T73" s="284"/>
      <c r="U73" s="284"/>
      <c r="V73" s="284"/>
      <c r="W73" s="284"/>
      <c r="X73" s="284"/>
      <c r="Y73" s="284"/>
      <c r="Z73" s="79"/>
      <c r="AA73" s="79"/>
      <c r="AB73" s="79"/>
      <c r="AC73" s="79"/>
      <c r="AD73" s="79"/>
      <c r="AE73" s="284"/>
      <c r="AF73" s="239"/>
      <c r="AK73" s="22"/>
      <c r="AL73" s="22"/>
    </row>
    <row r="74" spans="1:38">
      <c r="A74" s="600" t="s">
        <v>1050</v>
      </c>
      <c r="B74" s="330" t="s">
        <v>1051</v>
      </c>
      <c r="C74" s="628" t="str">
        <f ca="1">IF(OPEC,AuxData!$R$113,"GASNGA")</f>
        <v>GASNGA</v>
      </c>
      <c r="D74" s="281"/>
      <c r="E74" s="587"/>
      <c r="F74" s="623">
        <f ca="1">-IEAData!Q78*IF(G77&gt;0,1+IEAData!W123/IEAData!W126)</f>
        <v>0</v>
      </c>
      <c r="G74" s="624"/>
      <c r="H74" s="623">
        <f ca="1">-AuxData!Q78*IF(I77&gt;0,1+AuxData!W123/AuxData!W126)</f>
        <v>0</v>
      </c>
      <c r="I74" s="624"/>
      <c r="J74" s="79" t="str">
        <f>IF(SUM(F74:F85)*SUM(G75:G79)=0,"",SUM(G75:G79)/SUM(F74:F85))</f>
        <v/>
      </c>
      <c r="K74" s="285">
        <f>IF(R$74&gt;0,F74/R$74,0)</f>
        <v>0</v>
      </c>
      <c r="L74" s="79" t="str">
        <f>IF(SUM(H74:H85)*SUM(I75:I79)=0,"",SUM(I75:I79)/SUM(H74:H85))</f>
        <v/>
      </c>
      <c r="M74" s="285">
        <f>IF(S$74&gt;0,H74/S$74,0)</f>
        <v>0</v>
      </c>
      <c r="N74" s="285"/>
      <c r="O74" s="79"/>
      <c r="P74" s="285"/>
      <c r="Q74" s="31"/>
      <c r="R74" s="31">
        <f>MAX(SUM(F74:F85)*0.1,G77)</f>
        <v>0</v>
      </c>
      <c r="S74" s="31">
        <f>MAX(SUM(H74:H85)*0.1,I77)</f>
        <v>0</v>
      </c>
      <c r="T74" s="53">
        <f>S74*0.6</f>
        <v>0</v>
      </c>
      <c r="U74" s="53">
        <f>S74*0.2</f>
        <v>0</v>
      </c>
      <c r="V74" s="31">
        <f>R74</f>
        <v>0</v>
      </c>
      <c r="W74" s="31">
        <f>S74</f>
        <v>0</v>
      </c>
      <c r="X74" s="53">
        <f>S74*1.5</f>
        <v>0</v>
      </c>
      <c r="Y74" s="53">
        <f>S74*5</f>
        <v>0</v>
      </c>
      <c r="Z74" s="239">
        <v>1</v>
      </c>
      <c r="AA74" s="79">
        <v>1</v>
      </c>
      <c r="AB74" s="239"/>
      <c r="AC74" s="239">
        <v>50</v>
      </c>
      <c r="AD74" s="239"/>
      <c r="AE74" s="239">
        <v>5</v>
      </c>
      <c r="AF74" s="239">
        <v>5</v>
      </c>
      <c r="AK74" s="22"/>
      <c r="AL74" s="22"/>
    </row>
    <row r="75" spans="1:38">
      <c r="A75" s="587"/>
      <c r="B75" s="587"/>
      <c r="C75" s="628" t="str">
        <f ca="1">AuxData!Z113</f>
        <v>OINLPG</v>
      </c>
      <c r="D75" s="281"/>
      <c r="E75" s="587"/>
      <c r="F75" s="623">
        <f ca="1">-IEAData!Y78</f>
        <v>0</v>
      </c>
      <c r="G75" s="624"/>
      <c r="H75" s="623">
        <f ca="1">-AuxData!Y78</f>
        <v>0</v>
      </c>
      <c r="I75" s="624"/>
      <c r="J75" s="79"/>
      <c r="K75" s="285">
        <f>IF(R$74&gt;0,F75/R$74,0)</f>
        <v>0</v>
      </c>
      <c r="L75" s="79"/>
      <c r="M75" s="285">
        <f>IF(S$74&gt;0,H75/S$74,0)</f>
        <v>0</v>
      </c>
      <c r="N75" s="285"/>
      <c r="O75" s="79"/>
      <c r="P75" s="285"/>
      <c r="Q75" s="79"/>
      <c r="R75" s="284"/>
      <c r="S75" s="284"/>
      <c r="T75" s="79"/>
      <c r="U75" s="79"/>
      <c r="V75" s="79"/>
      <c r="W75" s="79"/>
      <c r="X75" s="284"/>
      <c r="Y75" s="79"/>
      <c r="Z75" s="79"/>
      <c r="AA75" s="284"/>
      <c r="AB75" s="79"/>
      <c r="AC75" s="79"/>
      <c r="AD75" s="79"/>
      <c r="AE75" s="284"/>
      <c r="AF75" s="284"/>
      <c r="AK75" s="22"/>
      <c r="AL75" s="22"/>
    </row>
    <row r="76" spans="1:38">
      <c r="A76" s="587"/>
      <c r="B76" s="587"/>
      <c r="C76" s="628" t="str">
        <f ca="1">AuxData!AG113</f>
        <v>OINHFO</v>
      </c>
      <c r="D76" s="281"/>
      <c r="E76" s="587"/>
      <c r="F76" s="623">
        <f ca="1">-IEAData!AF78</f>
        <v>0</v>
      </c>
      <c r="G76" s="624"/>
      <c r="H76" s="623">
        <f ca="1">-AuxData!AF78</f>
        <v>0</v>
      </c>
      <c r="I76" s="624"/>
      <c r="J76" s="79"/>
      <c r="K76" s="285">
        <f>IF(R$74&gt;0,F76/R$74,0)</f>
        <v>0</v>
      </c>
      <c r="L76" s="79"/>
      <c r="M76" s="285">
        <f>IF(S$74&gt;0,H76/S$74,0)</f>
        <v>0</v>
      </c>
      <c r="N76" s="285"/>
      <c r="O76" s="79"/>
      <c r="P76" s="285"/>
      <c r="Q76" s="79"/>
      <c r="R76" s="284"/>
      <c r="S76" s="284"/>
      <c r="T76" s="79"/>
      <c r="U76" s="79"/>
      <c r="V76" s="79"/>
      <c r="W76" s="79"/>
      <c r="X76" s="284"/>
      <c r="Y76" s="79"/>
      <c r="Z76" s="79"/>
      <c r="AA76" s="284"/>
      <c r="AB76" s="79"/>
      <c r="AC76" s="79"/>
      <c r="AD76" s="79"/>
      <c r="AE76" s="284"/>
      <c r="AF76" s="284"/>
      <c r="AK76" s="22"/>
      <c r="AL76" s="22"/>
    </row>
    <row r="77" spans="1:38">
      <c r="A77" s="587"/>
      <c r="B77" s="587"/>
      <c r="C77" s="281"/>
      <c r="D77" s="628" t="str">
        <f ca="1">AuxData!W113</f>
        <v>OINNCR</v>
      </c>
      <c r="E77" s="587"/>
      <c r="F77" s="289"/>
      <c r="G77" s="630">
        <f ca="1">MAX(0,IEAData!$W$126+IEAData!$W$123)</f>
        <v>0</v>
      </c>
      <c r="H77" s="289"/>
      <c r="I77" s="630">
        <f ca="1">MAX(0,AuxData!$W$126+AuxData!$W$123)</f>
        <v>0</v>
      </c>
      <c r="J77" s="79"/>
      <c r="K77" s="285"/>
      <c r="L77" s="79"/>
      <c r="M77" s="285"/>
      <c r="N77" s="285"/>
      <c r="O77" s="79"/>
      <c r="P77" s="285"/>
      <c r="Q77" s="79"/>
      <c r="R77" s="284"/>
      <c r="S77" s="284"/>
      <c r="T77" s="79"/>
      <c r="U77" s="79"/>
      <c r="V77" s="79"/>
      <c r="W77" s="79"/>
      <c r="X77" s="284"/>
      <c r="Y77" s="79"/>
      <c r="Z77" s="79"/>
      <c r="AA77" s="284"/>
      <c r="AB77" s="79"/>
      <c r="AC77" s="79"/>
      <c r="AD77" s="79"/>
      <c r="AE77" s="284"/>
      <c r="AF77" s="284"/>
      <c r="AK77" s="22"/>
      <c r="AL77" s="22"/>
    </row>
    <row r="78" spans="1:38">
      <c r="A78" s="627"/>
      <c r="B78" s="587"/>
      <c r="C78" s="572" t="str">
        <f ca="1">AuxData!$C$130</f>
        <v>UPNNGA</v>
      </c>
      <c r="D78" s="636"/>
      <c r="E78" s="587"/>
      <c r="F78" s="637">
        <f ca="1">-IEAData!C162</f>
        <v>0</v>
      </c>
      <c r="G78" s="638"/>
      <c r="H78" s="637">
        <f ca="1">-AuxData!C162</f>
        <v>0</v>
      </c>
      <c r="I78" s="638"/>
      <c r="J78" s="631"/>
      <c r="K78" s="285">
        <f t="shared" ref="K78:K85" si="10">IF(R$74&gt;0,F78/R$74,0)</f>
        <v>0</v>
      </c>
      <c r="L78" s="631"/>
      <c r="M78" s="285">
        <f t="shared" ref="M78:M85" si="11">IF(S$74&gt;0,H78/S$74,0)</f>
        <v>0</v>
      </c>
      <c r="N78" s="79"/>
      <c r="O78" s="285"/>
      <c r="P78" s="79"/>
      <c r="Q78" s="285"/>
      <c r="R78" s="284"/>
      <c r="S78" s="284"/>
      <c r="T78" s="79"/>
      <c r="U78" s="79"/>
      <c r="V78" s="79"/>
      <c r="W78" s="79"/>
      <c r="X78" s="284"/>
      <c r="Y78" s="79"/>
      <c r="Z78" s="79"/>
      <c r="AA78" s="284"/>
      <c r="AB78" s="79"/>
      <c r="AC78" s="79"/>
      <c r="AD78" s="79"/>
      <c r="AE78" s="284"/>
      <c r="AF78" s="284"/>
      <c r="AK78" s="22"/>
      <c r="AL78" s="22"/>
    </row>
    <row r="79" spans="1:38">
      <c r="A79" s="635"/>
      <c r="B79" s="635"/>
      <c r="C79" s="572" t="str">
        <f ca="1">AuxData!$D$130</f>
        <v>UPNCOA</v>
      </c>
      <c r="D79" s="636"/>
      <c r="E79" s="635"/>
      <c r="F79" s="637">
        <f ca="1">-IEAData!D162</f>
        <v>0</v>
      </c>
      <c r="G79" s="638"/>
      <c r="H79" s="637">
        <f ca="1">-AuxData!D162</f>
        <v>0</v>
      </c>
      <c r="I79" s="638"/>
      <c r="J79" s="103"/>
      <c r="K79" s="285">
        <f t="shared" si="10"/>
        <v>0</v>
      </c>
      <c r="L79" s="103"/>
      <c r="M79" s="285">
        <f t="shared" si="11"/>
        <v>0</v>
      </c>
      <c r="N79" s="285"/>
      <c r="O79" s="103"/>
      <c r="P79" s="285"/>
      <c r="Q79" s="103"/>
      <c r="R79" s="639"/>
      <c r="S79" s="639"/>
      <c r="T79" s="103"/>
      <c r="U79" s="103"/>
      <c r="V79" s="103"/>
      <c r="W79" s="103"/>
      <c r="X79" s="639"/>
      <c r="Y79" s="103"/>
      <c r="Z79" s="103"/>
      <c r="AA79" s="639"/>
      <c r="AB79" s="103"/>
      <c r="AC79" s="103"/>
      <c r="AD79" s="103"/>
      <c r="AE79" s="639"/>
      <c r="AF79" s="639"/>
      <c r="AK79" s="22"/>
      <c r="AL79" s="22"/>
    </row>
    <row r="80" spans="1:38">
      <c r="A80" s="635"/>
      <c r="B80" s="635"/>
      <c r="C80" s="572" t="str">
        <f ca="1">AuxData!$E$130</f>
        <v>UPNCRD</v>
      </c>
      <c r="D80" s="636"/>
      <c r="E80" s="635"/>
      <c r="F80" s="637">
        <f ca="1">-IEAData!E162</f>
        <v>0</v>
      </c>
      <c r="G80" s="638"/>
      <c r="H80" s="637">
        <f ca="1">-AuxData!E162</f>
        <v>0</v>
      </c>
      <c r="I80" s="638"/>
      <c r="J80" s="103"/>
      <c r="K80" s="285">
        <f t="shared" si="10"/>
        <v>0</v>
      </c>
      <c r="L80" s="103"/>
      <c r="M80" s="285">
        <f t="shared" si="11"/>
        <v>0</v>
      </c>
      <c r="N80" s="285"/>
      <c r="O80" s="103"/>
      <c r="P80" s="285"/>
      <c r="Q80" s="103"/>
      <c r="R80" s="639"/>
      <c r="S80" s="639"/>
      <c r="T80" s="103"/>
      <c r="U80" s="103"/>
      <c r="V80" s="103"/>
      <c r="W80" s="103"/>
      <c r="X80" s="639"/>
      <c r="Y80" s="103"/>
      <c r="Z80" s="103"/>
      <c r="AA80" s="639"/>
      <c r="AB80" s="103"/>
      <c r="AC80" s="103"/>
      <c r="AD80" s="103"/>
      <c r="AE80" s="639"/>
      <c r="AF80" s="639"/>
      <c r="AK80" s="22"/>
      <c r="AL80" s="22"/>
    </row>
    <row r="81" spans="1:50">
      <c r="A81" s="635"/>
      <c r="B81" s="635"/>
      <c r="C81" s="572" t="str">
        <f ca="1">AuxData!$F$130</f>
        <v>UPNRPP</v>
      </c>
      <c r="D81" s="636"/>
      <c r="E81" s="635"/>
      <c r="F81" s="637">
        <f ca="1">-IEAData!F162</f>
        <v>0</v>
      </c>
      <c r="G81" s="638"/>
      <c r="H81" s="637">
        <f ca="1">-AuxData!F162</f>
        <v>0</v>
      </c>
      <c r="I81" s="638"/>
      <c r="J81" s="103"/>
      <c r="K81" s="285">
        <f t="shared" si="10"/>
        <v>0</v>
      </c>
      <c r="L81" s="103"/>
      <c r="M81" s="285">
        <f t="shared" si="11"/>
        <v>0</v>
      </c>
      <c r="N81" s="285"/>
      <c r="O81" s="103"/>
      <c r="P81" s="285"/>
      <c r="Q81" s="103"/>
      <c r="R81" s="639"/>
      <c r="S81" s="639"/>
      <c r="T81" s="103"/>
      <c r="U81" s="103"/>
      <c r="V81" s="103"/>
      <c r="W81" s="103"/>
      <c r="X81" s="639"/>
      <c r="Y81" s="103"/>
      <c r="Z81" s="103"/>
      <c r="AA81" s="639"/>
      <c r="AB81" s="103"/>
      <c r="AC81" s="103"/>
      <c r="AD81" s="103"/>
      <c r="AE81" s="639"/>
      <c r="AF81" s="639"/>
      <c r="AK81" s="22"/>
      <c r="AL81" s="22"/>
    </row>
    <row r="82" spans="1:50">
      <c r="A82" s="635"/>
      <c r="B82" s="635"/>
      <c r="C82" s="572" t="str">
        <f ca="1">AuxData!$G$130</f>
        <v>UPNRPG</v>
      </c>
      <c r="D82" s="636"/>
      <c r="E82" s="635"/>
      <c r="F82" s="637">
        <f ca="1">-IEAData!G162</f>
        <v>0</v>
      </c>
      <c r="G82" s="638"/>
      <c r="H82" s="637">
        <f ca="1">-AuxData!G162</f>
        <v>0</v>
      </c>
      <c r="I82" s="638"/>
      <c r="J82" s="103"/>
      <c r="K82" s="285">
        <f t="shared" si="10"/>
        <v>0</v>
      </c>
      <c r="L82" s="103"/>
      <c r="M82" s="285">
        <f t="shared" si="11"/>
        <v>0</v>
      </c>
      <c r="N82" s="285"/>
      <c r="O82" s="103"/>
      <c r="P82" s="285"/>
      <c r="Q82" s="103"/>
      <c r="R82" s="639"/>
      <c r="S82" s="639"/>
      <c r="T82" s="103"/>
      <c r="U82" s="103"/>
      <c r="V82" s="103"/>
      <c r="W82" s="103"/>
      <c r="X82" s="639"/>
      <c r="Y82" s="103"/>
      <c r="Z82" s="103"/>
      <c r="AA82" s="639"/>
      <c r="AB82" s="103"/>
      <c r="AC82" s="103"/>
      <c r="AD82" s="103"/>
      <c r="AE82" s="639"/>
      <c r="AF82" s="639"/>
      <c r="AK82" s="22"/>
      <c r="AL82" s="22"/>
    </row>
    <row r="83" spans="1:50">
      <c r="A83" s="635"/>
      <c r="B83" s="635"/>
      <c r="C83" s="572" t="str">
        <f ca="1">AuxData!$H$130</f>
        <v>UPNREN</v>
      </c>
      <c r="D83" s="636"/>
      <c r="E83" s="635"/>
      <c r="F83" s="637">
        <f ca="1">-IEAData!H162</f>
        <v>0</v>
      </c>
      <c r="G83" s="638"/>
      <c r="H83" s="637">
        <f ca="1">-AuxData!H162</f>
        <v>0</v>
      </c>
      <c r="I83" s="638"/>
      <c r="J83" s="103"/>
      <c r="K83" s="285">
        <f t="shared" si="10"/>
        <v>0</v>
      </c>
      <c r="L83" s="103"/>
      <c r="M83" s="285">
        <f t="shared" si="11"/>
        <v>0</v>
      </c>
      <c r="N83" s="285"/>
      <c r="O83" s="103"/>
      <c r="P83" s="285"/>
      <c r="Q83" s="103"/>
      <c r="R83" s="639"/>
      <c r="S83" s="639"/>
      <c r="T83" s="103"/>
      <c r="U83" s="103"/>
      <c r="V83" s="103"/>
      <c r="W83" s="103"/>
      <c r="X83" s="639"/>
      <c r="Y83" s="103"/>
      <c r="Z83" s="103"/>
      <c r="AA83" s="639"/>
      <c r="AB83" s="103"/>
      <c r="AC83" s="103"/>
      <c r="AD83" s="103"/>
      <c r="AE83" s="639"/>
      <c r="AF83" s="639"/>
      <c r="AK83" s="22"/>
      <c r="AL83" s="22"/>
    </row>
    <row r="84" spans="1:50">
      <c r="A84" s="635"/>
      <c r="B84" s="635"/>
      <c r="C84" s="572" t="str">
        <f ca="1">AuxData!$I$130</f>
        <v>UPNELC</v>
      </c>
      <c r="D84" s="636"/>
      <c r="E84" s="635"/>
      <c r="F84" s="637">
        <f ca="1">-IEAData!I162</f>
        <v>0</v>
      </c>
      <c r="G84" s="638"/>
      <c r="H84" s="637">
        <f ca="1">-AuxData!I162</f>
        <v>0</v>
      </c>
      <c r="I84" s="638"/>
      <c r="J84" s="103"/>
      <c r="K84" s="285">
        <f t="shared" si="10"/>
        <v>0</v>
      </c>
      <c r="L84" s="103"/>
      <c r="M84" s="285">
        <f t="shared" si="11"/>
        <v>0</v>
      </c>
      <c r="N84" s="285"/>
      <c r="O84" s="103"/>
      <c r="P84" s="285"/>
      <c r="Q84" s="103"/>
      <c r="R84" s="639"/>
      <c r="S84" s="639"/>
      <c r="T84" s="103"/>
      <c r="U84" s="103"/>
      <c r="V84" s="103"/>
      <c r="W84" s="103"/>
      <c r="X84" s="639"/>
      <c r="Y84" s="103"/>
      <c r="Z84" s="103"/>
      <c r="AA84" s="639"/>
      <c r="AB84" s="103"/>
      <c r="AC84" s="103"/>
      <c r="AD84" s="103"/>
      <c r="AE84" s="639"/>
      <c r="AF84" s="639"/>
      <c r="AK84" s="22"/>
      <c r="AL84" s="22"/>
    </row>
    <row r="85" spans="1:50">
      <c r="A85" s="635"/>
      <c r="B85" s="635"/>
      <c r="C85" s="654" t="str">
        <f ca="1">AuxData!$J$130</f>
        <v>UPNSTM</v>
      </c>
      <c r="D85" s="655"/>
      <c r="E85" s="635"/>
      <c r="F85" s="656">
        <f ca="1">-IEAData!J162</f>
        <v>0</v>
      </c>
      <c r="G85" s="657"/>
      <c r="H85" s="656">
        <f ca="1">-AuxData!J162</f>
        <v>0</v>
      </c>
      <c r="I85" s="657"/>
      <c r="J85" s="103"/>
      <c r="K85" s="285">
        <f t="shared" si="10"/>
        <v>0</v>
      </c>
      <c r="L85" s="103"/>
      <c r="M85" s="285">
        <f t="shared" si="11"/>
        <v>0</v>
      </c>
      <c r="N85" s="285"/>
      <c r="O85" s="103"/>
      <c r="P85" s="285"/>
      <c r="Q85" s="103"/>
      <c r="R85" s="639"/>
      <c r="S85" s="639"/>
      <c r="T85" s="103"/>
      <c r="U85" s="103"/>
      <c r="V85" s="103"/>
      <c r="W85" s="103"/>
      <c r="X85" s="639"/>
      <c r="Y85" s="103"/>
      <c r="Z85" s="103"/>
      <c r="AA85" s="639"/>
      <c r="AB85" s="103"/>
      <c r="AC85" s="103"/>
      <c r="AD85" s="103"/>
      <c r="AE85" s="639"/>
      <c r="AF85" s="639"/>
      <c r="AK85" s="22"/>
      <c r="AL85" s="22"/>
    </row>
    <row r="86" spans="1:50">
      <c r="A86" s="88"/>
      <c r="B86" s="658"/>
      <c r="C86" s="22"/>
      <c r="D86" s="314"/>
      <c r="E86" s="61"/>
      <c r="I86" s="57"/>
      <c r="L86" s="57"/>
      <c r="M86" s="57"/>
      <c r="P86" s="57"/>
      <c r="Q86" s="51"/>
      <c r="S86" s="22"/>
      <c r="T86" s="51"/>
      <c r="V86" s="51"/>
      <c r="W86" s="57"/>
      <c r="X86" s="51"/>
      <c r="Y86" s="51"/>
      <c r="Z86" s="51"/>
      <c r="AA86" s="51"/>
      <c r="AB86" s="51"/>
      <c r="AC86" s="51"/>
      <c r="AD86" s="57"/>
      <c r="AE86" s="57"/>
      <c r="AF86" s="57"/>
      <c r="AK86" s="57"/>
      <c r="AL86" s="57"/>
      <c r="AM86" s="57"/>
      <c r="AN86" s="57"/>
      <c r="AO86" s="57"/>
      <c r="AP86" s="57"/>
      <c r="AQ86" s="57"/>
      <c r="AR86" s="57"/>
      <c r="AS86" s="22"/>
      <c r="AT86" s="22"/>
      <c r="AU86" s="22"/>
      <c r="AV86" s="22"/>
      <c r="AW86" s="22"/>
      <c r="AX86" s="22"/>
    </row>
    <row r="87" spans="1:50">
      <c r="A87" s="88"/>
      <c r="B87" s="658"/>
      <c r="C87" s="22"/>
      <c r="D87" s="314"/>
      <c r="E87" s="659"/>
      <c r="F87" s="57"/>
      <c r="G87" s="57"/>
      <c r="H87" s="57"/>
      <c r="I87" s="57"/>
      <c r="J87" s="57"/>
      <c r="K87" s="51"/>
      <c r="L87" s="51"/>
      <c r="M87" s="51"/>
      <c r="N87" s="51"/>
      <c r="O87" s="51"/>
      <c r="P87" s="51"/>
      <c r="Q87" s="51"/>
      <c r="R87" s="51"/>
      <c r="S87" s="57"/>
      <c r="T87" s="57"/>
      <c r="U87" s="57"/>
      <c r="V87" s="57"/>
      <c r="W87" s="51"/>
      <c r="X87" s="57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22"/>
      <c r="AT87" s="22"/>
      <c r="AU87" s="22"/>
      <c r="AV87" s="22"/>
      <c r="AW87" s="22"/>
      <c r="AX87" s="22"/>
    </row>
    <row r="88" spans="1:50">
      <c r="A88" s="88"/>
      <c r="B88" s="658"/>
      <c r="C88" s="22"/>
      <c r="D88" s="314"/>
      <c r="E88" s="93"/>
      <c r="F88" s="57"/>
      <c r="G88" s="57"/>
      <c r="H88" s="57"/>
      <c r="I88" s="57"/>
      <c r="J88" s="57"/>
      <c r="K88" s="51"/>
      <c r="L88" s="51"/>
      <c r="M88" s="51"/>
      <c r="N88" s="51"/>
      <c r="O88" s="51"/>
      <c r="P88" s="51"/>
      <c r="Q88" s="51"/>
      <c r="R88" s="51"/>
      <c r="S88" s="57"/>
      <c r="T88" s="57"/>
      <c r="U88" s="57"/>
      <c r="V88" s="57"/>
      <c r="W88" s="51"/>
      <c r="X88" s="57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22"/>
      <c r="AT88" s="22"/>
      <c r="AU88" s="22"/>
      <c r="AV88" s="22"/>
      <c r="AW88" s="22"/>
      <c r="AX88" s="22"/>
    </row>
    <row r="89" spans="1:50">
      <c r="B89" s="88"/>
      <c r="C89" s="88"/>
      <c r="D89" s="88"/>
      <c r="E89" s="55"/>
      <c r="F89" s="660"/>
      <c r="G89" s="88"/>
      <c r="H89" s="288"/>
      <c r="I89" s="79" t="s">
        <v>1052</v>
      </c>
      <c r="J89" s="463">
        <f ca="1">SUM(G96:G101)</f>
        <v>615.90669063600001</v>
      </c>
      <c r="K89" s="463">
        <f ca="1">SUM(I96:I101)</f>
        <v>637.09401819999994</v>
      </c>
      <c r="L89" s="107" t="s">
        <v>1053</v>
      </c>
      <c r="M89" s="2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</row>
    <row r="90" spans="1:50">
      <c r="A90" s="14"/>
      <c r="B90" s="88"/>
      <c r="C90" s="88"/>
      <c r="D90" s="88"/>
      <c r="E90" s="659"/>
      <c r="F90" s="660"/>
      <c r="G90" s="88"/>
      <c r="H90" s="288"/>
      <c r="I90" s="79" t="s">
        <v>1054</v>
      </c>
      <c r="J90" s="463">
        <f ca="1">SUM(H103:H120)</f>
        <v>607.21032956399995</v>
      </c>
      <c r="K90" s="463">
        <f ca="1">SUM(J103:J120)</f>
        <v>645.79289112300012</v>
      </c>
      <c r="L90" s="107" t="s">
        <v>1053</v>
      </c>
      <c r="M90" s="2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</row>
    <row r="91" spans="1:50">
      <c r="A91" s="14"/>
      <c r="B91" s="88"/>
      <c r="C91" s="88"/>
      <c r="D91" s="88"/>
      <c r="E91" s="659"/>
      <c r="F91" s="660"/>
      <c r="G91" s="88"/>
      <c r="H91" s="288"/>
      <c r="I91" s="79" t="s">
        <v>1055</v>
      </c>
      <c r="J91" s="463">
        <f ca="1">J89-J90</f>
        <v>8.6963610720000588</v>
      </c>
      <c r="K91" s="463">
        <f ca="1">K89-K90</f>
        <v>-8.6988729230001809</v>
      </c>
      <c r="L91" s="107" t="s">
        <v>1053</v>
      </c>
      <c r="M91" s="2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</row>
    <row r="92" spans="1:50">
      <c r="A92" s="14"/>
      <c r="B92" s="88"/>
      <c r="C92" s="88"/>
      <c r="D92" s="88"/>
      <c r="E92" s="659"/>
      <c r="F92" s="660"/>
      <c r="G92" s="88"/>
      <c r="H92" s="90"/>
      <c r="J92" s="661">
        <f ca="1">IF(J89&gt;0,J90/SUM(G96:G128))</f>
        <v>0.91595560375000173</v>
      </c>
      <c r="K92" s="661">
        <f ca="1">K90/SUM(I96:I128)</f>
        <v>0.93490667924870663</v>
      </c>
      <c r="L92" s="88"/>
      <c r="M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</row>
    <row r="93" spans="1:50">
      <c r="A93" s="14"/>
      <c r="B93" s="88"/>
      <c r="C93" s="88"/>
      <c r="D93" s="88"/>
      <c r="E93" s="659"/>
      <c r="F93" s="660"/>
      <c r="G93" s="88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</row>
    <row r="94" spans="1:50" ht="18">
      <c r="A94" s="47" t="s">
        <v>1056</v>
      </c>
      <c r="B94" s="662"/>
      <c r="C94" s="663"/>
      <c r="D94" s="663"/>
      <c r="F94" s="232" t="str">
        <f>"~FI_T: "&amp;Region&amp;"~EUR00"</f>
        <v>~FI_T: FIN~EUR00</v>
      </c>
      <c r="G94" s="664"/>
      <c r="H94" s="664"/>
      <c r="I94" s="664"/>
      <c r="J94" s="664"/>
      <c r="K94" s="22"/>
      <c r="L94" s="55"/>
      <c r="M94" s="48"/>
      <c r="N94" s="48"/>
      <c r="O94" s="48"/>
      <c r="P94" s="48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22"/>
      <c r="AH94" s="57"/>
      <c r="AI94" s="57"/>
      <c r="AJ94" s="57"/>
      <c r="AK94" s="57"/>
      <c r="AL94" s="57"/>
      <c r="AM94" s="22"/>
      <c r="AN94" s="57"/>
      <c r="AO94" s="57"/>
      <c r="AP94" s="57"/>
      <c r="AQ94" s="57"/>
      <c r="AR94" s="57"/>
      <c r="AS94" s="48"/>
      <c r="AT94" s="22"/>
      <c r="AU94" s="22"/>
      <c r="AV94" s="22"/>
      <c r="AW94" s="22"/>
      <c r="AX94" s="22"/>
    </row>
    <row r="95" spans="1:50" ht="45.75" thickBot="1">
      <c r="A95" s="619" t="s">
        <v>529</v>
      </c>
      <c r="B95" s="233" t="s">
        <v>530</v>
      </c>
      <c r="C95" s="234" t="s">
        <v>531</v>
      </c>
      <c r="D95" s="234" t="s">
        <v>532</v>
      </c>
      <c r="E95" s="233" t="s">
        <v>323</v>
      </c>
      <c r="F95" s="233" t="s">
        <v>545</v>
      </c>
      <c r="G95" s="235" t="str">
        <f ca="1">"\I:FINAL ENERGY (input) - "&amp;BaseYear</f>
        <v>\I:FINAL ENERGY (input) - 2010</v>
      </c>
      <c r="H95" s="235" t="str">
        <f ca="1">"\I:FINAL ENERGY (output) - "&amp;BaseYear</f>
        <v>\I:FINAL ENERGY (output) - 2010</v>
      </c>
      <c r="I95" s="235" t="str">
        <f ca="1">"\I:FINAL ENERGY (input) - "&amp;Auxyear</f>
        <v>\I:FINAL ENERGY (input) - 2017</v>
      </c>
      <c r="J95" s="235" t="str">
        <f ca="1">"\I:FINAL ENERGY (output) - "&amp;Auxyear</f>
        <v>\I:FINAL ENERGY (output) - 2017</v>
      </c>
      <c r="K95" s="235" t="s">
        <v>1057</v>
      </c>
      <c r="L95" s="665" t="str">
        <f ca="1">"Input~"&amp;BaseYear</f>
        <v>Input~2010</v>
      </c>
      <c r="M95" s="235" t="str">
        <f ca="1">"Share~FX~"&amp;BaseYear</f>
        <v>Share~FX~2010</v>
      </c>
      <c r="N95" s="665" t="str">
        <f ca="1">"Input~"&amp;Auxyear</f>
        <v>Input~2017</v>
      </c>
      <c r="O95" s="235" t="str">
        <f ca="1">"Share~FX~"&amp;Auxyear</f>
        <v>Share~FX~2017</v>
      </c>
      <c r="P95" s="235" t="s">
        <v>1058</v>
      </c>
      <c r="Q95" s="235" t="s">
        <v>1059</v>
      </c>
      <c r="R95" s="235" t="s">
        <v>537</v>
      </c>
      <c r="S95" s="235" t="s">
        <v>539</v>
      </c>
      <c r="T95" s="235" t="s">
        <v>540</v>
      </c>
      <c r="U95" s="549" t="str">
        <f ca="1">"ACT_BND~UP~"&amp;BaseYear</f>
        <v>ACT_BND~UP~2010</v>
      </c>
      <c r="V95" s="549" t="str">
        <f ca="1">"ACT_BND~UP~"&amp;Auxyear</f>
        <v>ACT_BND~UP~2017</v>
      </c>
      <c r="W95" s="549" t="str">
        <f ca="1">"ACT_BND~UP~"&amp;BaseYear+5</f>
        <v>ACT_BND~UP~2015</v>
      </c>
      <c r="X95" s="549" t="s">
        <v>947</v>
      </c>
      <c r="Y95" s="549" t="str">
        <f ca="1">"ACT_BND~LO~"&amp;BaseYear</f>
        <v>ACT_BND~LO~2010</v>
      </c>
      <c r="Z95" s="549" t="str">
        <f ca="1">"ACT_BND~LO~"&amp;Auxyear</f>
        <v>ACT_BND~LO~2017</v>
      </c>
      <c r="AA95" s="549" t="s">
        <v>1060</v>
      </c>
      <c r="AB95" s="549" t="s">
        <v>1061</v>
      </c>
      <c r="AC95" s="235" t="s">
        <v>582</v>
      </c>
      <c r="AD95" s="235" t="str">
        <f ca="1">"RESID~"&amp;BaseYear</f>
        <v>RESID~2010</v>
      </c>
      <c r="AE95" s="235" t="str">
        <f ca="1">"RESID~"&amp;Auxyear</f>
        <v>RESID~2017</v>
      </c>
      <c r="AF95" s="235" t="s">
        <v>1145</v>
      </c>
      <c r="AG95" s="235" t="s">
        <v>1062</v>
      </c>
      <c r="AH95" s="666" t="s">
        <v>538</v>
      </c>
    </row>
    <row r="96" spans="1:50">
      <c r="A96" s="237" t="s">
        <v>1063</v>
      </c>
      <c r="B96" s="107" t="s">
        <v>1064</v>
      </c>
      <c r="C96" s="628" t="s">
        <v>330</v>
      </c>
      <c r="D96" s="667" t="s">
        <v>829</v>
      </c>
      <c r="E96" s="668"/>
      <c r="F96" s="668" t="s">
        <v>329</v>
      </c>
      <c r="G96" s="669">
        <f ca="1">MAX(-IEAData!P122,IEAData!$O$45)</f>
        <v>10.488</v>
      </c>
      <c r="H96" s="670"/>
      <c r="I96" s="669">
        <f ca="1">MAX(-AuxData!P122,AuxData!$O$45)</f>
        <v>12.9714977</v>
      </c>
      <c r="J96" s="670"/>
      <c r="K96" s="343">
        <v>0.5</v>
      </c>
      <c r="L96" s="285">
        <f t="shared" ref="L96:L102" ca="1" si="12">IF(G$98=0,0,G96/H$130)</f>
        <v>1.7272433437571427E-2</v>
      </c>
      <c r="M96" s="446"/>
      <c r="N96" s="285">
        <f ca="1">IF($I$98=0,0,I96/J$130)</f>
        <v>2.0086157463646344E-2</v>
      </c>
      <c r="O96" s="79"/>
      <c r="P96" s="79"/>
      <c r="Q96" s="239"/>
      <c r="R96" s="239">
        <v>40</v>
      </c>
      <c r="S96" s="671">
        <f>$AH96*0.01</f>
        <v>4.58E-2</v>
      </c>
      <c r="T96" s="671">
        <v>1.3</v>
      </c>
      <c r="U96" s="672">
        <f ca="1">J90*1.02</f>
        <v>619.3545361552799</v>
      </c>
      <c r="V96" s="672">
        <f ca="1">K90*1.02</f>
        <v>658.70874894546012</v>
      </c>
      <c r="W96" s="395">
        <f ca="1">K90*1.06^5</f>
        <v>864.21656473305109</v>
      </c>
      <c r="X96" s="395">
        <f ca="1">V96*5+5000</f>
        <v>8293.5437447272998</v>
      </c>
      <c r="Y96" s="239">
        <f ca="1">FLOOR(J90,10)</f>
        <v>600</v>
      </c>
      <c r="Z96" s="239">
        <f ca="1">FLOOR(K90,10)</f>
        <v>640</v>
      </c>
      <c r="AA96" s="53">
        <f ca="1">K90*0.45</f>
        <v>290.60680100535006</v>
      </c>
      <c r="AB96" s="53">
        <v>0</v>
      </c>
      <c r="AC96" s="239"/>
      <c r="AD96" s="31">
        <f ca="1">U96</f>
        <v>619.3545361552799</v>
      </c>
      <c r="AE96" s="258">
        <f ca="1">AVERAGE(V96,Z96)</f>
        <v>649.35437447273011</v>
      </c>
      <c r="AF96" s="740">
        <f ca="1">AE96*0.85</f>
        <v>551.95121830182063</v>
      </c>
      <c r="AG96" s="673">
        <f>0</f>
        <v>0</v>
      </c>
      <c r="AH96" s="671">
        <v>4.58</v>
      </c>
    </row>
    <row r="97" spans="1:34">
      <c r="A97" s="107"/>
      <c r="B97" s="668"/>
      <c r="C97" s="628" t="str">
        <f ca="1">IF(OPEC,AuxData!$R$113,"GASNGA")</f>
        <v>GASNGA</v>
      </c>
      <c r="D97" s="281"/>
      <c r="E97" s="668"/>
      <c r="F97" s="668"/>
      <c r="G97" s="623">
        <f ca="1">-IEAData!R122</f>
        <v>0</v>
      </c>
      <c r="H97" s="624"/>
      <c r="I97" s="623">
        <f ca="1">-AuxData!R122</f>
        <v>0</v>
      </c>
      <c r="J97" s="624"/>
      <c r="K97" s="284"/>
      <c r="L97" s="285">
        <f t="shared" ca="1" si="12"/>
        <v>0</v>
      </c>
      <c r="M97" s="446"/>
      <c r="N97" s="285">
        <f ca="1">IF($I$98=0,0,I97/J$130)</f>
        <v>0</v>
      </c>
      <c r="O97" s="79"/>
      <c r="P97" s="79"/>
      <c r="Q97" s="79"/>
      <c r="R97" s="239"/>
      <c r="S97" s="239"/>
      <c r="T97" s="286"/>
      <c r="U97" s="286"/>
      <c r="V97" s="286"/>
      <c r="W97" s="239"/>
      <c r="X97" s="286"/>
      <c r="Y97" s="239"/>
      <c r="Z97" s="239"/>
      <c r="AA97" s="239"/>
      <c r="AB97" s="239"/>
      <c r="AC97" s="284"/>
      <c r="AD97" s="284"/>
      <c r="AE97" s="284"/>
      <c r="AF97" s="284"/>
      <c r="AG97" s="284"/>
      <c r="AH97" s="284"/>
    </row>
    <row r="98" spans="1:34">
      <c r="A98" s="107"/>
      <c r="B98" s="668"/>
      <c r="C98" s="628" t="str">
        <f ca="1">AuxData!$S$113</f>
        <v>OINCRD</v>
      </c>
      <c r="D98" s="281"/>
      <c r="E98" s="668"/>
      <c r="F98" s="668"/>
      <c r="G98" s="623">
        <f ca="1">-IEAData!S122-IEAData!W122</f>
        <v>457.19152617600002</v>
      </c>
      <c r="H98" s="624"/>
      <c r="I98" s="623">
        <f ca="1">-AuxData!S122-MIN(0,AuxData!W122+I102)</f>
        <v>479.79701819999997</v>
      </c>
      <c r="J98" s="624"/>
      <c r="K98" s="284"/>
      <c r="L98" s="285">
        <f t="shared" ca="1" si="12"/>
        <v>0.75293766248061178</v>
      </c>
      <c r="M98" s="446"/>
      <c r="N98" s="285">
        <f ca="1">IF($I$98=0,0,I98/J$130)</f>
        <v>0.7429580362299405</v>
      </c>
      <c r="O98" s="79"/>
      <c r="P98" s="79"/>
      <c r="Q98" s="79"/>
      <c r="R98" s="239"/>
      <c r="S98" s="239"/>
      <c r="T98" s="286"/>
      <c r="U98" s="286"/>
      <c r="V98" s="286"/>
      <c r="W98" s="239"/>
      <c r="X98" s="286"/>
      <c r="Y98" s="239"/>
      <c r="Z98" s="239"/>
      <c r="AA98" s="239"/>
      <c r="AB98" s="239"/>
      <c r="AC98" s="284"/>
      <c r="AD98" s="284"/>
      <c r="AE98" s="284"/>
      <c r="AF98" s="284"/>
      <c r="AG98" s="284"/>
      <c r="AH98" s="284"/>
    </row>
    <row r="99" spans="1:34">
      <c r="A99" s="107"/>
      <c r="B99" s="668"/>
      <c r="C99" s="628" t="str">
        <f ca="1">AuxData!$U$113</f>
        <v>OINFEE</v>
      </c>
      <c r="D99" s="281"/>
      <c r="E99" s="668"/>
      <c r="F99" s="668"/>
      <c r="G99" s="623">
        <f ca="1">-IEAData!U122</f>
        <v>116.184076812</v>
      </c>
      <c r="H99" s="624"/>
      <c r="I99" s="623">
        <f ca="1">-AuxData!U122</f>
        <v>86.232500899999991</v>
      </c>
      <c r="J99" s="624"/>
      <c r="K99" s="284"/>
      <c r="L99" s="285">
        <f t="shared" ca="1" si="12"/>
        <v>0.19134074496958012</v>
      </c>
      <c r="M99" s="446"/>
      <c r="N99" s="285">
        <f ca="1">IF($I$98=0,0,I99/J$130)</f>
        <v>0.13352965336928094</v>
      </c>
      <c r="O99" s="79"/>
      <c r="P99" s="79"/>
      <c r="Q99" s="79"/>
      <c r="R99" s="239"/>
      <c r="S99" s="239"/>
      <c r="T99" s="286"/>
      <c r="U99" s="286"/>
      <c r="V99" s="286"/>
      <c r="W99" s="239"/>
      <c r="X99" s="286"/>
      <c r="Y99" s="239"/>
      <c r="Z99" s="239"/>
      <c r="AA99" s="239"/>
      <c r="AB99" s="239"/>
      <c r="AC99" s="284"/>
      <c r="AD99" s="284"/>
      <c r="AE99" s="284"/>
      <c r="AF99" s="284"/>
      <c r="AG99" s="284"/>
      <c r="AH99" s="284"/>
    </row>
    <row r="100" spans="1:34">
      <c r="A100" s="107"/>
      <c r="B100" s="668"/>
      <c r="C100" s="628" t="str">
        <f ca="1">AuxData!$V$113</f>
        <v>OINADD</v>
      </c>
      <c r="D100" s="281"/>
      <c r="E100" s="668"/>
      <c r="F100" s="668"/>
      <c r="G100" s="623">
        <f ca="1">-IEAData!V122</f>
        <v>1.6830936000000003</v>
      </c>
      <c r="H100" s="624"/>
      <c r="I100" s="623">
        <f ca="1">-AuxData!V122</f>
        <v>2.1250020000000003</v>
      </c>
      <c r="J100" s="624"/>
      <c r="K100" s="284"/>
      <c r="L100" s="285">
        <f t="shared" ca="1" si="12"/>
        <v>2.7718461265448585E-3</v>
      </c>
      <c r="M100" s="446"/>
      <c r="N100" s="285">
        <f ca="1">IF(I$98=0,0,I100/J$130)</f>
        <v>3.2905317311634273E-3</v>
      </c>
      <c r="O100" s="79"/>
      <c r="P100" s="79"/>
      <c r="Q100" s="79"/>
      <c r="R100" s="239"/>
      <c r="S100" s="239"/>
      <c r="T100" s="286"/>
      <c r="U100" s="286"/>
      <c r="V100" s="286"/>
      <c r="W100" s="239"/>
      <c r="X100" s="286"/>
      <c r="Y100" s="239"/>
      <c r="Z100" s="239"/>
      <c r="AA100" s="239"/>
      <c r="AB100" s="239"/>
      <c r="AC100" s="284"/>
      <c r="AD100" s="284"/>
      <c r="AE100" s="284"/>
      <c r="AF100" s="284"/>
      <c r="AG100" s="284"/>
      <c r="AH100" s="284"/>
    </row>
    <row r="101" spans="1:34">
      <c r="A101" s="107"/>
      <c r="B101" s="668"/>
      <c r="C101" s="628" t="str">
        <f ca="1">AuxData!T113</f>
        <v>OINNGL</v>
      </c>
      <c r="D101" s="281"/>
      <c r="E101" s="668"/>
      <c r="F101" s="668"/>
      <c r="G101" s="623">
        <f ca="1">-IEAData!T122</f>
        <v>30.359994048000001</v>
      </c>
      <c r="H101" s="624"/>
      <c r="I101" s="623">
        <f ca="1">-AuxData!T122</f>
        <v>55.967999400000004</v>
      </c>
      <c r="J101" s="624"/>
      <c r="K101" s="284"/>
      <c r="L101" s="285">
        <f t="shared" ca="1" si="12"/>
        <v>4.9999139622344084E-2</v>
      </c>
      <c r="M101" s="446"/>
      <c r="N101" s="285">
        <f ca="1">IF($I$98=0,0,I101/J$130)</f>
        <v>8.666555511732961E-2</v>
      </c>
      <c r="O101" s="79"/>
      <c r="P101" s="79"/>
      <c r="Q101" s="79"/>
      <c r="R101" s="239"/>
      <c r="S101" s="239"/>
      <c r="T101" s="286"/>
      <c r="U101" s="286"/>
      <c r="V101" s="286"/>
      <c r="W101" s="239"/>
      <c r="X101" s="286"/>
      <c r="Y101" s="239"/>
      <c r="Z101" s="239"/>
      <c r="AA101" s="239"/>
      <c r="AB101" s="239"/>
      <c r="AC101" s="284"/>
      <c r="AD101" s="284"/>
      <c r="AE101" s="284"/>
      <c r="AF101" s="284"/>
      <c r="AG101" s="284"/>
      <c r="AH101" s="284"/>
    </row>
    <row r="102" spans="1:34">
      <c r="A102" s="107"/>
      <c r="B102" s="668"/>
      <c r="C102" s="628" t="s">
        <v>421</v>
      </c>
      <c r="D102" s="281"/>
      <c r="E102" s="668"/>
      <c r="F102" s="668"/>
      <c r="G102" s="623">
        <f ca="1">IEAData!$P$8*J90</f>
        <v>12.54</v>
      </c>
      <c r="H102" s="624"/>
      <c r="I102" s="623">
        <f ca="1">AuxData!$P$8*K90</f>
        <v>13.464</v>
      </c>
      <c r="J102" s="624"/>
      <c r="K102" s="284"/>
      <c r="L102" s="285">
        <f t="shared" ca="1" si="12"/>
        <v>2.065182258840062E-2</v>
      </c>
      <c r="M102" s="446"/>
      <c r="N102" s="285">
        <f ca="1">IF($I$98=0,0,I102/J$130)</f>
        <v>2.0848789426261425E-2</v>
      </c>
      <c r="O102" s="79"/>
      <c r="P102" s="79"/>
      <c r="Q102" s="79"/>
      <c r="R102" s="239"/>
      <c r="S102" s="239"/>
      <c r="T102" s="286"/>
      <c r="U102" s="286"/>
      <c r="V102" s="286"/>
      <c r="W102" s="239"/>
      <c r="X102" s="286"/>
      <c r="Y102" s="239"/>
      <c r="Z102" s="239"/>
      <c r="AA102" s="239"/>
      <c r="AB102" s="239"/>
      <c r="AC102" s="284"/>
      <c r="AD102" s="284"/>
      <c r="AE102" s="284"/>
      <c r="AF102" s="284"/>
      <c r="AG102" s="284"/>
      <c r="AH102" s="284"/>
    </row>
    <row r="103" spans="1:34">
      <c r="A103" s="674"/>
      <c r="B103" s="675"/>
      <c r="C103" s="281"/>
      <c r="D103" s="628" t="str">
        <f ca="1">AuxData!$X$113</f>
        <v>GANRFG</v>
      </c>
      <c r="E103" s="629" t="s">
        <v>740</v>
      </c>
      <c r="F103" s="676" t="s">
        <v>829</v>
      </c>
      <c r="G103" s="289"/>
      <c r="H103" s="630">
        <f ca="1">IEAData!X$122</f>
        <v>22.274990172000003</v>
      </c>
      <c r="I103" s="289"/>
      <c r="J103" s="630">
        <f ca="1">AuxData!X$122</f>
        <v>28.3635017</v>
      </c>
      <c r="K103" s="284"/>
      <c r="L103" s="446"/>
      <c r="M103" s="285">
        <f ca="1">OFFSET(F103,0,2)/OFFSET(F$130,0,2)</f>
        <v>3.6684142359689913E-2</v>
      </c>
      <c r="N103" s="285"/>
      <c r="O103" s="285">
        <f ca="1">J103/J$130</f>
        <v>4.3920430357598628E-2</v>
      </c>
      <c r="P103" s="285"/>
      <c r="Q103" s="79"/>
      <c r="R103" s="239"/>
      <c r="S103" s="239"/>
      <c r="T103" s="286"/>
      <c r="U103" s="286"/>
      <c r="V103" s="286"/>
      <c r="W103" s="239"/>
      <c r="X103" s="286"/>
      <c r="Y103" s="239"/>
      <c r="Z103" s="239"/>
      <c r="AA103" s="239"/>
      <c r="AB103" s="239"/>
      <c r="AC103" s="284"/>
      <c r="AD103" s="284"/>
      <c r="AE103" s="284"/>
      <c r="AF103" s="284"/>
      <c r="AG103" s="284"/>
      <c r="AH103" s="284"/>
    </row>
    <row r="104" spans="1:34">
      <c r="A104" s="677"/>
      <c r="B104" s="678"/>
      <c r="C104" s="281"/>
      <c r="D104" s="628" t="str">
        <f ca="1">AuxData!$Y$113</f>
        <v>GANETH</v>
      </c>
      <c r="E104" s="629" t="s">
        <v>743</v>
      </c>
      <c r="F104" s="676" t="s">
        <v>829</v>
      </c>
      <c r="G104" s="289"/>
      <c r="H104" s="630">
        <f ca="1">IEAData!Y$122</f>
        <v>0</v>
      </c>
      <c r="I104" s="289"/>
      <c r="J104" s="630">
        <f ca="1">AuxData!Y$122</f>
        <v>0</v>
      </c>
      <c r="K104" s="284"/>
      <c r="L104" s="446"/>
      <c r="M104" s="446"/>
      <c r="N104" s="79"/>
      <c r="O104" s="285"/>
      <c r="P104" s="285">
        <f ca="1">MAX(J104/J$130+0.01,0.02)</f>
        <v>0.02</v>
      </c>
      <c r="Q104" s="79"/>
      <c r="R104" s="239"/>
      <c r="S104" s="239"/>
      <c r="T104" s="286"/>
      <c r="U104" s="286"/>
      <c r="V104" s="286"/>
      <c r="W104" s="239"/>
      <c r="X104" s="286"/>
      <c r="Y104" s="239"/>
      <c r="Z104" s="239"/>
      <c r="AA104" s="239"/>
      <c r="AB104" s="239"/>
      <c r="AC104" s="284"/>
      <c r="AD104" s="284"/>
      <c r="AE104" s="284"/>
      <c r="AF104" s="284"/>
      <c r="AG104" s="284"/>
      <c r="AH104" s="284"/>
    </row>
    <row r="105" spans="1:34">
      <c r="A105" s="677"/>
      <c r="B105" s="678"/>
      <c r="C105" s="281"/>
      <c r="D105" s="628" t="str">
        <f ca="1">AuxData!$Z$113</f>
        <v>OINLPG</v>
      </c>
      <c r="E105" s="629" t="s">
        <v>770</v>
      </c>
      <c r="F105" s="676" t="s">
        <v>829</v>
      </c>
      <c r="G105" s="289"/>
      <c r="H105" s="630">
        <f ca="1">IEAData!Z$122</f>
        <v>11.315999304000002</v>
      </c>
      <c r="I105" s="289"/>
      <c r="J105" s="630">
        <f ca="1">AuxData!Z$122</f>
        <v>13.110001200000001</v>
      </c>
      <c r="K105" s="284"/>
      <c r="L105" s="446"/>
      <c r="M105" s="446"/>
      <c r="N105" s="79"/>
      <c r="O105" s="285"/>
      <c r="P105" s="285">
        <f ca="1">MAX(J105/J$130+0.01,0.1)</f>
        <v>0.1</v>
      </c>
      <c r="Q105" s="79"/>
      <c r="R105" s="239"/>
      <c r="S105" s="239"/>
      <c r="T105" s="286"/>
      <c r="U105" s="286"/>
      <c r="V105" s="286"/>
      <c r="W105" s="239"/>
      <c r="X105" s="286"/>
      <c r="Y105" s="239"/>
      <c r="Z105" s="239"/>
      <c r="AA105" s="239"/>
      <c r="AB105" s="239"/>
      <c r="AC105" s="284"/>
      <c r="AD105" s="284"/>
      <c r="AE105" s="284"/>
      <c r="AF105" s="284"/>
      <c r="AG105" s="284"/>
      <c r="AH105" s="284"/>
    </row>
    <row r="106" spans="1:34">
      <c r="A106" s="674"/>
      <c r="B106" s="678"/>
      <c r="C106" s="281"/>
      <c r="D106" s="628" t="str">
        <f ca="1">AuxData!$AA$113</f>
        <v>OINGSL</v>
      </c>
      <c r="E106" s="629" t="s">
        <v>761</v>
      </c>
      <c r="F106" s="676" t="s">
        <v>829</v>
      </c>
      <c r="G106" s="289"/>
      <c r="H106" s="630">
        <f ca="1">IEAData!AA$122</f>
        <v>171.02801671200001</v>
      </c>
      <c r="I106" s="289"/>
      <c r="J106" s="630">
        <f ca="1">AuxData!AA$122</f>
        <v>193.73199900000003</v>
      </c>
      <c r="K106" s="284"/>
      <c r="L106" s="446"/>
      <c r="M106" s="446"/>
      <c r="N106" s="79"/>
      <c r="O106" s="285"/>
      <c r="P106" s="285">
        <v>0.5</v>
      </c>
      <c r="Q106" s="79"/>
      <c r="R106" s="239"/>
      <c r="S106" s="239"/>
      <c r="T106" s="286"/>
      <c r="U106" s="286"/>
      <c r="V106" s="286"/>
      <c r="W106" s="239"/>
      <c r="X106" s="286"/>
      <c r="Y106" s="239"/>
      <c r="Z106" s="239"/>
      <c r="AA106" s="239"/>
      <c r="AB106" s="239"/>
      <c r="AC106" s="284"/>
      <c r="AD106" s="284"/>
      <c r="AE106" s="284"/>
      <c r="AF106" s="284"/>
      <c r="AG106" s="284"/>
      <c r="AH106" s="284"/>
    </row>
    <row r="107" spans="1:34">
      <c r="A107" s="677"/>
      <c r="B107" s="678"/>
      <c r="C107" s="281"/>
      <c r="D107" s="628" t="str">
        <f ca="1">AuxData!$AB$113</f>
        <v>OINAVG</v>
      </c>
      <c r="E107" s="629" t="s">
        <v>756</v>
      </c>
      <c r="F107" s="676" t="s">
        <v>829</v>
      </c>
      <c r="G107" s="289"/>
      <c r="H107" s="630">
        <f ca="1">IEAData!AB$122</f>
        <v>0</v>
      </c>
      <c r="I107" s="289"/>
      <c r="J107" s="630">
        <f ca="1">AuxData!AB$122</f>
        <v>0</v>
      </c>
      <c r="K107" s="284"/>
      <c r="L107" s="446"/>
      <c r="M107" s="446"/>
      <c r="N107" s="79"/>
      <c r="O107" s="285"/>
      <c r="P107" s="285">
        <v>0.5</v>
      </c>
      <c r="Q107" s="79"/>
      <c r="R107" s="239"/>
      <c r="S107" s="239"/>
      <c r="T107" s="286"/>
      <c r="U107" s="286"/>
      <c r="V107" s="286"/>
      <c r="W107" s="239"/>
      <c r="X107" s="286"/>
      <c r="Y107" s="239"/>
      <c r="Z107" s="239"/>
      <c r="AA107" s="239"/>
      <c r="AB107" s="239"/>
      <c r="AC107" s="284"/>
      <c r="AD107" s="284"/>
      <c r="AE107" s="284"/>
      <c r="AF107" s="284"/>
      <c r="AG107" s="284"/>
      <c r="AH107" s="284"/>
    </row>
    <row r="108" spans="1:34">
      <c r="A108" s="677"/>
      <c r="B108" s="678"/>
      <c r="C108" s="281"/>
      <c r="D108" s="628" t="str">
        <f ca="1">AuxData!$AC$113</f>
        <v>OINJTG</v>
      </c>
      <c r="E108" s="629" t="s">
        <v>765</v>
      </c>
      <c r="F108" s="676" t="s">
        <v>829</v>
      </c>
      <c r="G108" s="289"/>
      <c r="H108" s="630">
        <f ca="1">IEAData!AC$122</f>
        <v>0</v>
      </c>
      <c r="I108" s="289"/>
      <c r="J108" s="630">
        <f ca="1">AuxData!AC$122</f>
        <v>0</v>
      </c>
      <c r="K108" s="284"/>
      <c r="L108" s="446"/>
      <c r="M108" s="446"/>
      <c r="N108" s="79"/>
      <c r="O108" s="285"/>
      <c r="P108" s="285">
        <v>0.5</v>
      </c>
      <c r="Q108" s="79"/>
      <c r="R108" s="239"/>
      <c r="S108" s="239"/>
      <c r="T108" s="286"/>
      <c r="U108" s="286"/>
      <c r="V108" s="286"/>
      <c r="W108" s="239"/>
      <c r="X108" s="286"/>
      <c r="Y108" s="239"/>
      <c r="Z108" s="239"/>
      <c r="AA108" s="239"/>
      <c r="AB108" s="239"/>
      <c r="AC108" s="284"/>
      <c r="AD108" s="284"/>
      <c r="AE108" s="284"/>
      <c r="AF108" s="284"/>
      <c r="AG108" s="284"/>
      <c r="AH108" s="284"/>
    </row>
    <row r="109" spans="1:34">
      <c r="A109" s="677"/>
      <c r="B109" s="678"/>
      <c r="C109" s="281"/>
      <c r="D109" s="628" t="str">
        <f ca="1">AuxData!$AD$113</f>
        <v>OINJTK</v>
      </c>
      <c r="E109" s="629" t="s">
        <v>766</v>
      </c>
      <c r="F109" s="676" t="s">
        <v>829</v>
      </c>
      <c r="G109" s="289"/>
      <c r="H109" s="630">
        <f ca="1">IEAData!AD$122</f>
        <v>26.230008924000003</v>
      </c>
      <c r="I109" s="289"/>
      <c r="J109" s="630">
        <f ca="1">AuxData!AD$122</f>
        <v>32.464999899999995</v>
      </c>
      <c r="K109" s="284"/>
      <c r="L109" s="446"/>
      <c r="M109" s="446"/>
      <c r="N109" s="79"/>
      <c r="O109" s="285"/>
      <c r="P109" s="285">
        <v>0.5</v>
      </c>
      <c r="Q109" s="79"/>
      <c r="R109" s="239"/>
      <c r="S109" s="239"/>
      <c r="T109" s="286"/>
      <c r="U109" s="286"/>
      <c r="V109" s="286"/>
      <c r="W109" s="239"/>
      <c r="X109" s="286"/>
      <c r="Y109" s="239"/>
      <c r="Z109" s="239"/>
      <c r="AA109" s="239"/>
      <c r="AB109" s="239"/>
      <c r="AC109" s="284"/>
      <c r="AD109" s="284"/>
      <c r="AE109" s="284"/>
      <c r="AF109" s="284"/>
      <c r="AG109" s="284"/>
      <c r="AH109" s="284"/>
    </row>
    <row r="110" spans="1:34">
      <c r="A110" s="677"/>
      <c r="B110" s="678"/>
      <c r="C110" s="281"/>
      <c r="D110" s="628" t="str">
        <f ca="1">AuxData!$AE$113</f>
        <v>OINKER</v>
      </c>
      <c r="E110" s="629" t="s">
        <v>767</v>
      </c>
      <c r="F110" s="676" t="s">
        <v>829</v>
      </c>
      <c r="G110" s="289"/>
      <c r="H110" s="630">
        <f ca="1">IEAData!AE$122</f>
        <v>0</v>
      </c>
      <c r="I110" s="289"/>
      <c r="J110" s="630">
        <f ca="1">AuxData!AE$122</f>
        <v>0</v>
      </c>
      <c r="K110" s="284"/>
      <c r="L110" s="446"/>
      <c r="M110" s="446"/>
      <c r="N110" s="79"/>
      <c r="O110" s="285"/>
      <c r="P110" s="285">
        <v>0.5</v>
      </c>
      <c r="Q110" s="79"/>
      <c r="R110" s="239"/>
      <c r="S110" s="239"/>
      <c r="T110" s="286"/>
      <c r="U110" s="286"/>
      <c r="V110" s="286"/>
      <c r="W110" s="239"/>
      <c r="X110" s="286"/>
      <c r="Y110" s="239"/>
      <c r="Z110" s="239"/>
      <c r="AA110" s="239"/>
      <c r="AB110" s="239"/>
      <c r="AC110" s="284"/>
      <c r="AD110" s="284"/>
      <c r="AE110" s="284"/>
      <c r="AF110" s="284"/>
      <c r="AG110" s="284"/>
      <c r="AH110" s="284"/>
    </row>
    <row r="111" spans="1:34">
      <c r="A111" s="677"/>
      <c r="B111" s="678"/>
      <c r="C111" s="281"/>
      <c r="D111" s="628" t="str">
        <f ca="1">AuxData!$AF$113</f>
        <v>OINDST</v>
      </c>
      <c r="E111" s="629" t="s">
        <v>759</v>
      </c>
      <c r="F111" s="676" t="s">
        <v>829</v>
      </c>
      <c r="G111" s="289"/>
      <c r="H111" s="630">
        <f ca="1">IEAData!AF$122</f>
        <v>271.66018305600005</v>
      </c>
      <c r="I111" s="289"/>
      <c r="J111" s="630">
        <f ca="1">AuxData!AF$122</f>
        <v>268.63560110000003</v>
      </c>
      <c r="K111" s="284"/>
      <c r="L111" s="446"/>
      <c r="M111" s="446"/>
      <c r="N111" s="79"/>
      <c r="O111" s="285"/>
      <c r="P111" s="285">
        <v>0.5</v>
      </c>
      <c r="Q111" s="79"/>
      <c r="R111" s="239"/>
      <c r="S111" s="239"/>
      <c r="T111" s="286"/>
      <c r="U111" s="286"/>
      <c r="V111" s="286"/>
      <c r="W111" s="239"/>
      <c r="X111" s="286"/>
      <c r="Y111" s="239"/>
      <c r="Z111" s="239"/>
      <c r="AA111" s="239"/>
      <c r="AB111" s="239"/>
      <c r="AC111" s="284"/>
      <c r="AD111" s="284"/>
      <c r="AE111" s="284"/>
      <c r="AF111" s="284"/>
      <c r="AG111" s="284"/>
      <c r="AH111" s="284"/>
    </row>
    <row r="112" spans="1:34">
      <c r="A112" s="677"/>
      <c r="B112" s="678"/>
      <c r="C112" s="281"/>
      <c r="D112" s="628" t="str">
        <f ca="1">AuxData!$AG$113</f>
        <v>OINHFO</v>
      </c>
      <c r="E112" s="629" t="s">
        <v>764</v>
      </c>
      <c r="F112" s="676" t="s">
        <v>829</v>
      </c>
      <c r="G112" s="289"/>
      <c r="H112" s="630">
        <f ca="1">IEAData!AG$122</f>
        <v>48.360010211999999</v>
      </c>
      <c r="I112" s="289"/>
      <c r="J112" s="630">
        <f ca="1">AuxData!AG$122</f>
        <v>64.559999599999998</v>
      </c>
      <c r="K112" s="284"/>
      <c r="L112" s="446"/>
      <c r="M112" s="446"/>
      <c r="N112" s="79"/>
      <c r="O112" s="285"/>
      <c r="P112" s="285">
        <v>0.5</v>
      </c>
      <c r="Q112" s="79"/>
      <c r="R112" s="239"/>
      <c r="S112" s="239"/>
      <c r="T112" s="286"/>
      <c r="U112" s="286"/>
      <c r="V112" s="286"/>
      <c r="W112" s="239"/>
      <c r="X112" s="286"/>
      <c r="Y112" s="239"/>
      <c r="Z112" s="239"/>
      <c r="AA112" s="239"/>
      <c r="AB112" s="239"/>
      <c r="AC112" s="284"/>
      <c r="AD112" s="284"/>
      <c r="AE112" s="284"/>
      <c r="AF112" s="284"/>
      <c r="AG112" s="284"/>
      <c r="AH112" s="284"/>
    </row>
    <row r="113" spans="1:34">
      <c r="A113" s="677"/>
      <c r="B113" s="678"/>
      <c r="C113" s="281"/>
      <c r="D113" s="628" t="str">
        <f ca="1">AuxData!$AH$113</f>
        <v>OINNAP</v>
      </c>
      <c r="E113" s="629" t="s">
        <v>772</v>
      </c>
      <c r="F113" s="676" t="s">
        <v>829</v>
      </c>
      <c r="G113" s="289"/>
      <c r="H113" s="630">
        <f ca="1">IEAData!AH$122</f>
        <v>8.7999837120000013</v>
      </c>
      <c r="I113" s="289"/>
      <c r="J113" s="630">
        <f ca="1">AuxData!AH$122</f>
        <v>4.5320016999999995</v>
      </c>
      <c r="K113" s="284"/>
      <c r="L113" s="446"/>
      <c r="M113" s="446"/>
      <c r="N113" s="79"/>
      <c r="O113" s="285"/>
      <c r="P113" s="285">
        <f ca="1">MAX(J113/J$130+0.01,0.2)</f>
        <v>0.2</v>
      </c>
      <c r="Q113" s="79"/>
      <c r="R113" s="239"/>
      <c r="S113" s="239"/>
      <c r="T113" s="286"/>
      <c r="U113" s="286"/>
      <c r="V113" s="286"/>
      <c r="W113" s="239"/>
      <c r="X113" s="286"/>
      <c r="Y113" s="239"/>
      <c r="Z113" s="239"/>
      <c r="AA113" s="239"/>
      <c r="AB113" s="239"/>
      <c r="AC113" s="284"/>
      <c r="AD113" s="284"/>
      <c r="AE113" s="284"/>
      <c r="AF113" s="284"/>
      <c r="AG113" s="284"/>
      <c r="AH113" s="284"/>
    </row>
    <row r="114" spans="1:34">
      <c r="A114" s="677"/>
      <c r="B114" s="678"/>
      <c r="C114" s="281"/>
      <c r="D114" s="628" t="str">
        <f ca="1">AuxData!$AI$113</f>
        <v>OINWSP</v>
      </c>
      <c r="E114" s="629" t="s">
        <v>786</v>
      </c>
      <c r="F114" s="676" t="s">
        <v>829</v>
      </c>
      <c r="G114" s="289"/>
      <c r="H114" s="630">
        <f ca="1">IEAData!AI$122</f>
        <v>7.629982452000001</v>
      </c>
      <c r="I114" s="289"/>
      <c r="J114" s="630">
        <f ca="1">AuxData!AI$122</f>
        <v>5.6680019000000001</v>
      </c>
      <c r="K114" s="284"/>
      <c r="L114" s="446"/>
      <c r="M114" s="446"/>
      <c r="N114" s="79"/>
      <c r="O114" s="285"/>
      <c r="P114" s="285">
        <f ca="1">MAX(J114/J$130+0.01,0.02)</f>
        <v>0.02</v>
      </c>
      <c r="Q114" s="79"/>
      <c r="R114" s="239"/>
      <c r="S114" s="239"/>
      <c r="T114" s="286"/>
      <c r="U114" s="286"/>
      <c r="V114" s="286"/>
      <c r="W114" s="239"/>
      <c r="X114" s="286"/>
      <c r="Y114" s="239"/>
      <c r="Z114" s="239"/>
      <c r="AA114" s="239"/>
      <c r="AB114" s="239"/>
      <c r="AC114" s="284"/>
      <c r="AD114" s="284"/>
      <c r="AE114" s="284"/>
      <c r="AF114" s="284"/>
      <c r="AG114" s="284"/>
      <c r="AH114" s="284"/>
    </row>
    <row r="115" spans="1:34">
      <c r="A115" s="679"/>
      <c r="B115" s="678"/>
      <c r="C115" s="281"/>
      <c r="D115" s="628" t="str">
        <f ca="1">AuxData!$AJ$113</f>
        <v>OINLUB</v>
      </c>
      <c r="E115" s="629" t="s">
        <v>785</v>
      </c>
      <c r="F115" s="676" t="s">
        <v>829</v>
      </c>
      <c r="G115" s="289"/>
      <c r="H115" s="630">
        <f ca="1">IEAData!AJ$122</f>
        <v>10.710001872000001</v>
      </c>
      <c r="I115" s="289"/>
      <c r="J115" s="630">
        <f ca="1">AuxData!AJ$122</f>
        <v>12.4319992</v>
      </c>
      <c r="K115" s="284"/>
      <c r="L115" s="446"/>
      <c r="M115" s="446"/>
      <c r="N115" s="79"/>
      <c r="O115" s="285"/>
      <c r="P115" s="285">
        <f ca="1">MAX(J115/J$130+0.01,0.035)</f>
        <v>3.5000000000000003E-2</v>
      </c>
      <c r="Q115" s="79"/>
      <c r="R115" s="239"/>
      <c r="S115" s="239"/>
      <c r="T115" s="286"/>
      <c r="U115" s="286"/>
      <c r="V115" s="286"/>
      <c r="W115" s="239"/>
      <c r="X115" s="286"/>
      <c r="Y115" s="239"/>
      <c r="Z115" s="239"/>
      <c r="AA115" s="239"/>
      <c r="AB115" s="239"/>
      <c r="AC115" s="284"/>
      <c r="AD115" s="284"/>
      <c r="AE115" s="284"/>
      <c r="AF115" s="284"/>
      <c r="AG115" s="284"/>
      <c r="AH115" s="284"/>
    </row>
    <row r="116" spans="1:34">
      <c r="A116" s="679"/>
      <c r="B116" s="678"/>
      <c r="C116" s="281"/>
      <c r="D116" s="628" t="str">
        <f ca="1">AuxData!$AK$113</f>
        <v>OINASP</v>
      </c>
      <c r="E116" s="629" t="s">
        <v>771</v>
      </c>
      <c r="F116" s="676" t="s">
        <v>829</v>
      </c>
      <c r="G116" s="289"/>
      <c r="H116" s="630">
        <f ca="1">IEAData!AK$122</f>
        <v>9.9060106680000004</v>
      </c>
      <c r="I116" s="289"/>
      <c r="J116" s="630">
        <f ca="1">AuxData!AK$122</f>
        <v>5.4210016999999997</v>
      </c>
      <c r="K116" s="284"/>
      <c r="L116" s="446"/>
      <c r="M116" s="446"/>
      <c r="N116" s="79"/>
      <c r="O116" s="285"/>
      <c r="P116" s="285">
        <f ca="1">MAX(J116/J$130+0.01,0.05)</f>
        <v>0.05</v>
      </c>
      <c r="Q116" s="79"/>
      <c r="R116" s="239"/>
      <c r="S116" s="239"/>
      <c r="T116" s="286"/>
      <c r="U116" s="286"/>
      <c r="V116" s="286"/>
      <c r="W116" s="239"/>
      <c r="X116" s="286"/>
      <c r="Y116" s="239"/>
      <c r="Z116" s="239"/>
      <c r="AA116" s="239"/>
      <c r="AB116" s="239"/>
      <c r="AC116" s="284"/>
      <c r="AD116" s="284"/>
      <c r="AE116" s="284"/>
      <c r="AF116" s="284"/>
      <c r="AG116" s="284"/>
      <c r="AH116" s="284"/>
    </row>
    <row r="117" spans="1:34">
      <c r="A117" s="679"/>
      <c r="B117" s="678"/>
      <c r="C117" s="281"/>
      <c r="D117" s="628" t="str">
        <f ca="1">AuxData!$AL$113</f>
        <v>OINWAX</v>
      </c>
      <c r="E117" s="629" t="s">
        <v>755</v>
      </c>
      <c r="F117" s="676" t="s">
        <v>829</v>
      </c>
      <c r="G117" s="289"/>
      <c r="H117" s="630">
        <f ca="1">IEAData!AL$122</f>
        <v>0</v>
      </c>
      <c r="I117" s="289"/>
      <c r="J117" s="630">
        <f ca="1">AuxData!AL$122</f>
        <v>0</v>
      </c>
      <c r="K117" s="284"/>
      <c r="L117" s="446"/>
      <c r="M117" s="446"/>
      <c r="N117" s="79"/>
      <c r="O117" s="285"/>
      <c r="P117" s="285">
        <f ca="1">MAX(J117/J$130+0.01,0.02)</f>
        <v>0.02</v>
      </c>
      <c r="Q117" s="79"/>
      <c r="R117" s="239"/>
      <c r="S117" s="239"/>
      <c r="T117" s="286"/>
      <c r="U117" s="286"/>
      <c r="V117" s="286"/>
      <c r="W117" s="239"/>
      <c r="X117" s="286"/>
      <c r="Y117" s="239"/>
      <c r="Z117" s="239"/>
      <c r="AA117" s="239"/>
      <c r="AB117" s="239"/>
      <c r="AC117" s="284"/>
      <c r="AD117" s="284"/>
      <c r="AE117" s="284"/>
      <c r="AF117" s="284"/>
      <c r="AG117" s="284"/>
      <c r="AH117" s="284"/>
    </row>
    <row r="118" spans="1:34">
      <c r="A118" s="679"/>
      <c r="B118" s="678"/>
      <c r="C118" s="281"/>
      <c r="D118" s="628" t="str">
        <f ca="1">AuxData!$AM$113</f>
        <v>OINPTC</v>
      </c>
      <c r="E118" s="629" t="s">
        <v>780</v>
      </c>
      <c r="F118" s="676" t="s">
        <v>829</v>
      </c>
      <c r="G118" s="289"/>
      <c r="H118" s="630">
        <f ca="1">IEAData!AM$122</f>
        <v>4.0320140040000005</v>
      </c>
      <c r="I118" s="289"/>
      <c r="J118" s="630">
        <f ca="1">AuxData!AM$122</f>
        <v>4.0320014000000004</v>
      </c>
      <c r="K118" s="284"/>
      <c r="L118" s="446"/>
      <c r="M118" s="446"/>
      <c r="N118" s="79"/>
      <c r="O118" s="285"/>
      <c r="P118" s="285">
        <f ca="1">MAX(J118/J$130+0.01,0.03)</f>
        <v>0.03</v>
      </c>
      <c r="Q118" s="79"/>
      <c r="R118" s="239"/>
      <c r="S118" s="239"/>
      <c r="T118" s="286"/>
      <c r="U118" s="286"/>
      <c r="V118" s="286"/>
      <c r="W118" s="239"/>
      <c r="X118" s="286"/>
      <c r="Y118" s="239"/>
      <c r="Z118" s="239"/>
      <c r="AA118" s="239"/>
      <c r="AB118" s="239"/>
      <c r="AC118" s="284"/>
      <c r="AD118" s="284"/>
      <c r="AE118" s="284"/>
      <c r="AF118" s="284"/>
      <c r="AG118" s="284"/>
      <c r="AH118" s="284"/>
    </row>
    <row r="119" spans="1:34">
      <c r="A119" s="679"/>
      <c r="B119" s="678"/>
      <c r="C119" s="281"/>
      <c r="D119" s="628" t="str">
        <f ca="1">AuxData!$AN$113</f>
        <v>OINNSP</v>
      </c>
      <c r="E119" s="629" t="s">
        <v>775</v>
      </c>
      <c r="F119" s="676" t="s">
        <v>829</v>
      </c>
      <c r="G119" s="289"/>
      <c r="H119" s="630">
        <f ca="1">IEAData!AN$122</f>
        <v>4.8800084760000004</v>
      </c>
      <c r="I119" s="289"/>
      <c r="J119" s="630">
        <f ca="1">AuxData!AN$122</f>
        <v>0</v>
      </c>
      <c r="K119" s="284"/>
      <c r="L119" s="446"/>
      <c r="M119" s="446"/>
      <c r="N119" s="79"/>
      <c r="O119" s="285"/>
      <c r="P119" s="285">
        <f ca="1">MAX(J119/J$130+0.01,0.05)</f>
        <v>0.05</v>
      </c>
      <c r="Q119" s="79"/>
      <c r="R119" s="239"/>
      <c r="S119" s="239"/>
      <c r="T119" s="286"/>
      <c r="U119" s="286"/>
      <c r="V119" s="286"/>
      <c r="W119" s="239"/>
      <c r="X119" s="286"/>
      <c r="Y119" s="239"/>
      <c r="Z119" s="239"/>
      <c r="AA119" s="239"/>
      <c r="AB119" s="239"/>
      <c r="AC119" s="284"/>
      <c r="AD119" s="284"/>
      <c r="AE119" s="284"/>
      <c r="AF119" s="284"/>
      <c r="AG119" s="284"/>
      <c r="AH119" s="284"/>
    </row>
    <row r="120" spans="1:34">
      <c r="A120" s="679"/>
      <c r="B120" s="678"/>
      <c r="C120" s="281"/>
      <c r="D120" s="628" t="s">
        <v>343</v>
      </c>
      <c r="E120" s="629" t="s">
        <v>344</v>
      </c>
      <c r="F120" s="676" t="str">
        <f>$C$96</f>
        <v>BIOADD</v>
      </c>
      <c r="G120" s="289"/>
      <c r="H120" s="630">
        <f ca="1">G96*0.99</f>
        <v>10.38312</v>
      </c>
      <c r="I120" s="289"/>
      <c r="J120" s="630">
        <f ca="1">I96*0.99</f>
        <v>12.841782723</v>
      </c>
      <c r="K120" s="284"/>
      <c r="L120" s="446"/>
      <c r="M120" s="31">
        <f ca="1">J$92</f>
        <v>0.91595560375000173</v>
      </c>
      <c r="N120" s="31"/>
      <c r="O120" s="31">
        <f ca="1">K$92</f>
        <v>0.93490667924870663</v>
      </c>
      <c r="P120" s="285"/>
      <c r="Q120" s="79"/>
      <c r="R120" s="239"/>
      <c r="S120" s="239"/>
      <c r="T120" s="286"/>
      <c r="U120" s="286"/>
      <c r="V120" s="286"/>
      <c r="W120" s="239"/>
      <c r="X120" s="286"/>
      <c r="Y120" s="239"/>
      <c r="Z120" s="239"/>
      <c r="AA120" s="239"/>
      <c r="AB120" s="239"/>
      <c r="AC120" s="284"/>
      <c r="AD120" s="284"/>
      <c r="AE120" s="284"/>
      <c r="AF120" s="284"/>
      <c r="AG120" s="284"/>
      <c r="AH120" s="284"/>
    </row>
    <row r="121" spans="1:34">
      <c r="A121" s="679"/>
      <c r="B121" s="680"/>
      <c r="C121" s="572" t="str">
        <f ca="1">AuxData!$C$130</f>
        <v>UPNNGA</v>
      </c>
      <c r="D121" s="636"/>
      <c r="E121" s="681"/>
      <c r="F121" s="681"/>
      <c r="G121" s="637">
        <f ca="1">MAX(-IEAData!C161*0.1,-IEAData!C161-G102)</f>
        <v>1.120974057543781</v>
      </c>
      <c r="H121" s="638"/>
      <c r="I121" s="637">
        <f ca="1">MAX(-AuxData!C161*0.06,-AuxData!C161-MAX(0,AuxData!$R$126*1.25+I102))</f>
        <v>2.9180594449133928</v>
      </c>
      <c r="J121" s="638"/>
      <c r="K121" s="639"/>
      <c r="L121" s="285">
        <f t="shared" ref="L121:L128" ca="1" si="13">IF(G$98=0,0,G121/H$130)</f>
        <v>1.8461050528384175E-3</v>
      </c>
      <c r="M121" s="446"/>
      <c r="N121" s="285">
        <f t="shared" ref="N121:N128" ca="1" si="14">IF($I$98=0,0,I121/J$130)</f>
        <v>4.518568545774853E-3</v>
      </c>
      <c r="O121" s="682"/>
      <c r="P121" s="682"/>
      <c r="Q121" s="639"/>
      <c r="R121" s="683"/>
      <c r="S121" s="684"/>
      <c r="T121" s="683"/>
      <c r="U121" s="683"/>
      <c r="V121" s="683"/>
      <c r="W121" s="683"/>
      <c r="X121" s="683"/>
      <c r="Y121" s="683"/>
      <c r="Z121" s="683"/>
      <c r="AA121" s="683"/>
      <c r="AB121" s="683"/>
      <c r="AC121" s="639"/>
      <c r="AD121" s="639"/>
      <c r="AE121" s="639"/>
      <c r="AF121" s="639"/>
      <c r="AG121" s="639"/>
      <c r="AH121" s="639"/>
    </row>
    <row r="122" spans="1:34">
      <c r="A122" s="679"/>
      <c r="B122" s="680"/>
      <c r="C122" s="572" t="str">
        <f ca="1">AuxData!$D$130</f>
        <v>UPNCOA</v>
      </c>
      <c r="D122" s="636"/>
      <c r="E122" s="681"/>
      <c r="F122" s="681"/>
      <c r="G122" s="637">
        <f ca="1">-IEAData!D161</f>
        <v>0</v>
      </c>
      <c r="H122" s="638"/>
      <c r="I122" s="637">
        <f ca="1">-AuxData!D161</f>
        <v>0</v>
      </c>
      <c r="J122" s="638"/>
      <c r="K122" s="639"/>
      <c r="L122" s="285">
        <f t="shared" ca="1" si="13"/>
        <v>0</v>
      </c>
      <c r="M122" s="446"/>
      <c r="N122" s="285">
        <f t="shared" ca="1" si="14"/>
        <v>0</v>
      </c>
      <c r="O122" s="639"/>
      <c r="P122" s="639"/>
      <c r="Q122" s="639"/>
      <c r="R122" s="683"/>
      <c r="S122" s="684"/>
      <c r="T122" s="683"/>
      <c r="U122" s="683"/>
      <c r="V122" s="683"/>
      <c r="W122" s="683"/>
      <c r="X122" s="683"/>
      <c r="Y122" s="683"/>
      <c r="Z122" s="683"/>
      <c r="AA122" s="683"/>
      <c r="AB122" s="683"/>
      <c r="AC122" s="639"/>
      <c r="AD122" s="639"/>
      <c r="AE122" s="639"/>
      <c r="AF122" s="639"/>
      <c r="AG122" s="639"/>
      <c r="AH122" s="639"/>
    </row>
    <row r="123" spans="1:34">
      <c r="A123" s="679"/>
      <c r="B123" s="680"/>
      <c r="C123" s="572" t="str">
        <f ca="1">AuxData!$E$130</f>
        <v>UPNCRD</v>
      </c>
      <c r="D123" s="636"/>
      <c r="E123" s="681"/>
      <c r="F123" s="681"/>
      <c r="G123" s="637">
        <f ca="1">-IEAData!E161</f>
        <v>0</v>
      </c>
      <c r="H123" s="638"/>
      <c r="I123" s="637">
        <f ca="1">-AuxData!E161</f>
        <v>0</v>
      </c>
      <c r="J123" s="638"/>
      <c r="K123" s="639"/>
      <c r="L123" s="285">
        <f t="shared" ca="1" si="13"/>
        <v>0</v>
      </c>
      <c r="M123" s="446"/>
      <c r="N123" s="285">
        <f t="shared" ca="1" si="14"/>
        <v>0</v>
      </c>
      <c r="O123" s="639"/>
      <c r="P123" s="639"/>
      <c r="Q123" s="639"/>
      <c r="R123" s="683"/>
      <c r="S123" s="684"/>
      <c r="T123" s="683"/>
      <c r="U123" s="683"/>
      <c r="V123" s="683"/>
      <c r="W123" s="683"/>
      <c r="X123" s="683"/>
      <c r="Y123" s="683"/>
      <c r="Z123" s="683"/>
      <c r="AA123" s="683"/>
      <c r="AB123" s="683"/>
      <c r="AC123" s="639"/>
      <c r="AD123" s="639"/>
      <c r="AE123" s="639"/>
      <c r="AF123" s="639"/>
      <c r="AG123" s="639"/>
      <c r="AH123" s="639"/>
    </row>
    <row r="124" spans="1:34">
      <c r="A124" s="685"/>
      <c r="B124" s="680"/>
      <c r="C124" s="572" t="str">
        <f ca="1">AuxData!$F$130</f>
        <v>UPNRPP</v>
      </c>
      <c r="D124" s="636"/>
      <c r="E124" s="681"/>
      <c r="F124" s="681"/>
      <c r="G124" s="637">
        <f ca="1">-IEAData!F161</f>
        <v>6.3530598713327064</v>
      </c>
      <c r="H124" s="638"/>
      <c r="I124" s="637">
        <f ca="1">-AuxData!F161</f>
        <v>3.7772066199030494</v>
      </c>
      <c r="J124" s="638"/>
      <c r="K124" s="639"/>
      <c r="L124" s="285">
        <f t="shared" ca="1" si="13"/>
        <v>1.0462700586622834E-2</v>
      </c>
      <c r="M124" s="446"/>
      <c r="N124" s="285">
        <f t="shared" ca="1" si="14"/>
        <v>5.8489442541473074E-3</v>
      </c>
      <c r="O124" s="639"/>
      <c r="P124" s="639"/>
      <c r="Q124" s="639"/>
      <c r="R124" s="683"/>
      <c r="S124" s="684"/>
      <c r="T124" s="683"/>
      <c r="U124" s="683"/>
      <c r="V124" s="683"/>
      <c r="W124" s="683"/>
      <c r="X124" s="683"/>
      <c r="Y124" s="683"/>
      <c r="Z124" s="683"/>
      <c r="AA124" s="683"/>
      <c r="AB124" s="683"/>
      <c r="AC124" s="639"/>
      <c r="AD124" s="639"/>
      <c r="AE124" s="639"/>
      <c r="AF124" s="639"/>
      <c r="AG124" s="639"/>
      <c r="AH124" s="639"/>
    </row>
    <row r="125" spans="1:34">
      <c r="A125" s="685"/>
      <c r="B125" s="680"/>
      <c r="C125" s="572" t="str">
        <f ca="1">AuxData!$G$130</f>
        <v>UPNRPG</v>
      </c>
      <c r="D125" s="636"/>
      <c r="E125" s="681"/>
      <c r="F125" s="681"/>
      <c r="G125" s="637">
        <f ca="1">-IEAData!G161</f>
        <v>18.198795264740703</v>
      </c>
      <c r="H125" s="638"/>
      <c r="I125" s="637">
        <f ca="1">-AuxData!G161</f>
        <v>22.026671018553337</v>
      </c>
      <c r="J125" s="638"/>
      <c r="K125" s="639"/>
      <c r="L125" s="285">
        <f t="shared" ca="1" si="13"/>
        <v>2.9971155592508E-2</v>
      </c>
      <c r="M125" s="446"/>
      <c r="N125" s="285">
        <f t="shared" ca="1" si="14"/>
        <v>3.410794903649389E-2</v>
      </c>
      <c r="O125" s="639"/>
      <c r="P125" s="639"/>
      <c r="Q125" s="639"/>
      <c r="R125" s="683"/>
      <c r="S125" s="684"/>
      <c r="T125" s="683"/>
      <c r="U125" s="683"/>
      <c r="V125" s="683"/>
      <c r="W125" s="683"/>
      <c r="X125" s="683"/>
      <c r="Y125" s="683"/>
      <c r="Z125" s="683"/>
      <c r="AA125" s="683"/>
      <c r="AB125" s="683"/>
      <c r="AC125" s="639"/>
      <c r="AD125" s="639"/>
      <c r="AE125" s="639"/>
      <c r="AF125" s="639"/>
      <c r="AG125" s="639"/>
      <c r="AH125" s="639"/>
    </row>
    <row r="126" spans="1:34">
      <c r="A126" s="685"/>
      <c r="B126" s="680"/>
      <c r="C126" s="572" t="str">
        <f ca="1">AuxData!$H$130</f>
        <v>UPNREN</v>
      </c>
      <c r="D126" s="636"/>
      <c r="E126" s="681"/>
      <c r="F126" s="681"/>
      <c r="G126" s="637">
        <f ca="1">-IEAData!H161</f>
        <v>0</v>
      </c>
      <c r="H126" s="638"/>
      <c r="I126" s="637">
        <f ca="1">-AuxData!H161</f>
        <v>0</v>
      </c>
      <c r="J126" s="638"/>
      <c r="K126" s="639"/>
      <c r="L126" s="285">
        <f t="shared" ca="1" si="13"/>
        <v>0</v>
      </c>
      <c r="M126" s="446"/>
      <c r="N126" s="285">
        <f t="shared" ca="1" si="14"/>
        <v>0</v>
      </c>
      <c r="O126" s="639"/>
      <c r="P126" s="639"/>
      <c r="Q126" s="639"/>
      <c r="R126" s="683"/>
      <c r="S126" s="684"/>
      <c r="T126" s="683"/>
      <c r="U126" s="683"/>
      <c r="V126" s="683"/>
      <c r="W126" s="683"/>
      <c r="X126" s="683"/>
      <c r="Y126" s="683"/>
      <c r="Z126" s="683"/>
      <c r="AA126" s="683"/>
      <c r="AB126" s="683"/>
      <c r="AC126" s="639"/>
      <c r="AD126" s="639"/>
      <c r="AE126" s="639"/>
      <c r="AF126" s="639"/>
      <c r="AG126" s="639"/>
      <c r="AH126" s="639"/>
    </row>
    <row r="127" spans="1:34">
      <c r="A127" s="685"/>
      <c r="B127" s="680"/>
      <c r="C127" s="572" t="str">
        <f ca="1">AuxData!$I$130</f>
        <v>UPNELC</v>
      </c>
      <c r="D127" s="636"/>
      <c r="E127" s="681"/>
      <c r="F127" s="681"/>
      <c r="G127" s="637">
        <f ca="1">-IEAData!I161</f>
        <v>4.6484365680000002</v>
      </c>
      <c r="H127" s="638"/>
      <c r="I127" s="637">
        <f ca="1">-AuxData!I161</f>
        <v>4.4496012</v>
      </c>
      <c r="J127" s="638"/>
      <c r="K127" s="639"/>
      <c r="L127" s="285">
        <f t="shared" ca="1" si="13"/>
        <v>7.6553977125813294E-3</v>
      </c>
      <c r="M127" s="446"/>
      <c r="N127" s="285">
        <f t="shared" ca="1" si="14"/>
        <v>6.8901365455763626E-3</v>
      </c>
      <c r="O127" s="639"/>
      <c r="P127" s="639"/>
      <c r="Q127" s="639"/>
      <c r="R127" s="683"/>
      <c r="S127" s="684"/>
      <c r="T127" s="683"/>
      <c r="U127" s="683"/>
      <c r="V127" s="683"/>
      <c r="W127" s="683"/>
      <c r="X127" s="683"/>
      <c r="Y127" s="683"/>
      <c r="Z127" s="683"/>
      <c r="AA127" s="683"/>
      <c r="AB127" s="683"/>
      <c r="AC127" s="639"/>
      <c r="AD127" s="639"/>
      <c r="AE127" s="639"/>
      <c r="AF127" s="639"/>
      <c r="AG127" s="639"/>
      <c r="AH127" s="639"/>
    </row>
    <row r="128" spans="1:34">
      <c r="A128" s="685"/>
      <c r="B128" s="680"/>
      <c r="C128" s="572" t="str">
        <f ca="1">AuxData!$J$130</f>
        <v>UPNSTM</v>
      </c>
      <c r="D128" s="636"/>
      <c r="E128" s="681"/>
      <c r="F128" s="681"/>
      <c r="G128" s="637">
        <f ca="1">-IEAData!J161</f>
        <v>4.1575468451472002</v>
      </c>
      <c r="H128" s="638"/>
      <c r="I128" s="637">
        <f ca="1">-(AuxData!J161)</f>
        <v>7.0269708333041789</v>
      </c>
      <c r="J128" s="638"/>
      <c r="K128" s="639"/>
      <c r="L128" s="285">
        <f t="shared" ca="1" si="13"/>
        <v>6.8469633053384917E-3</v>
      </c>
      <c r="M128" s="446"/>
      <c r="N128" s="285">
        <f t="shared" ca="1" si="14"/>
        <v>1.0881152347596524E-2</v>
      </c>
      <c r="O128" s="639"/>
      <c r="P128" s="639"/>
      <c r="Q128" s="639"/>
      <c r="R128" s="683"/>
      <c r="S128" s="684"/>
      <c r="T128" s="683"/>
      <c r="U128" s="683"/>
      <c r="V128" s="683"/>
      <c r="W128" s="683"/>
      <c r="X128" s="683"/>
      <c r="Y128" s="683"/>
      <c r="Z128" s="683"/>
      <c r="AA128" s="683"/>
      <c r="AB128" s="683"/>
      <c r="AC128" s="639"/>
      <c r="AD128" s="639"/>
      <c r="AE128" s="639"/>
      <c r="AF128" s="639"/>
      <c r="AG128" s="639"/>
      <c r="AH128" s="639"/>
    </row>
    <row r="129" spans="1:50">
      <c r="A129" s="599"/>
      <c r="B129" s="675"/>
      <c r="C129" s="238" t="s">
        <v>832</v>
      </c>
      <c r="D129" s="238" t="s">
        <v>508</v>
      </c>
      <c r="E129" s="238"/>
      <c r="F129" s="238"/>
      <c r="G129" s="31"/>
      <c r="H129" s="31"/>
      <c r="I129" s="31"/>
      <c r="J129" s="31"/>
      <c r="K129" s="79"/>
      <c r="L129" s="446"/>
      <c r="M129" s="446"/>
      <c r="N129" s="285"/>
      <c r="O129" s="79"/>
      <c r="P129" s="79"/>
      <c r="Q129" s="79"/>
      <c r="R129" s="239"/>
      <c r="S129" s="239"/>
      <c r="T129" s="286"/>
      <c r="U129" s="286"/>
      <c r="V129" s="286"/>
      <c r="W129" s="286"/>
      <c r="X129" s="286"/>
      <c r="Y129" s="286"/>
      <c r="Z129" s="286"/>
      <c r="AA129" s="286"/>
      <c r="AB129" s="286"/>
      <c r="AC129" s="284"/>
      <c r="AD129" s="284"/>
      <c r="AE129" s="284"/>
      <c r="AF129" s="284"/>
      <c r="AG129" s="284"/>
      <c r="AH129" s="284"/>
    </row>
    <row r="130" spans="1:50">
      <c r="A130" s="482" t="s">
        <v>1065</v>
      </c>
      <c r="B130" s="482"/>
      <c r="C130" s="482"/>
      <c r="D130" s="482"/>
      <c r="E130" s="482"/>
      <c r="F130" s="482"/>
      <c r="G130" s="686">
        <f ca="1">MAX(Tiny,SUM(G96:G129))</f>
        <v>662.92550324276431</v>
      </c>
      <c r="H130" s="686">
        <f ca="1">MAX(Tiny,SUM(H96:H129))</f>
        <v>607.21032956399995</v>
      </c>
      <c r="I130" s="686">
        <f ca="1">SUM(I96:I129)</f>
        <v>690.7565273166739</v>
      </c>
      <c r="J130" s="686">
        <f ca="1">SUM(J96:J129)</f>
        <v>645.79289112300012</v>
      </c>
      <c r="K130" s="482">
        <f ca="1">J130/I130</f>
        <v>0.93490667924870663</v>
      </c>
      <c r="L130" s="482"/>
      <c r="M130" s="482"/>
      <c r="N130" s="687">
        <f ca="1">SUM(N96:N129)</f>
        <v>1.0696254740672115</v>
      </c>
      <c r="O130" s="482"/>
      <c r="P130" s="482"/>
      <c r="Q130" s="482"/>
    </row>
    <row r="131" spans="1:50">
      <c r="I131" s="6"/>
      <c r="J131" s="6"/>
      <c r="K131" s="34"/>
      <c r="L131" s="11"/>
      <c r="M131" s="34"/>
      <c r="N131" s="34"/>
      <c r="P131" s="34"/>
      <c r="Q131" s="34"/>
      <c r="R131" s="34"/>
      <c r="S131" s="34"/>
      <c r="T131" s="6"/>
      <c r="U131" s="6"/>
      <c r="V131" s="34"/>
      <c r="W131" s="6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6"/>
      <c r="AK131" s="6"/>
      <c r="AL131" s="6"/>
      <c r="AM131" s="6"/>
      <c r="AN131" s="6"/>
      <c r="AO131" s="6"/>
      <c r="AP131" s="6"/>
      <c r="AQ131" s="6"/>
      <c r="AR131" s="6"/>
    </row>
    <row r="132" spans="1:50">
      <c r="D132" s="688"/>
    </row>
    <row r="133" spans="1:50">
      <c r="D133" s="688"/>
    </row>
    <row r="134" spans="1:50">
      <c r="D134" s="688"/>
    </row>
    <row r="135" spans="1:50">
      <c r="D135" s="688"/>
    </row>
    <row r="136" spans="1:50" ht="18">
      <c r="A136" s="47" t="s">
        <v>1066</v>
      </c>
      <c r="B136" s="689"/>
      <c r="C136" s="690"/>
      <c r="E136" s="232" t="str">
        <f>"~FI_T: "&amp;Region</f>
        <v>~FI_T: FIN</v>
      </c>
      <c r="F136" s="691" t="s">
        <v>527</v>
      </c>
      <c r="G136" s="691" t="s">
        <v>527</v>
      </c>
      <c r="H136" s="691" t="s">
        <v>527</v>
      </c>
      <c r="I136" s="691" t="s">
        <v>527</v>
      </c>
      <c r="J136" s="691" t="s">
        <v>527</v>
      </c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 spans="1:50" ht="23.25" thickBot="1">
      <c r="A137" s="324" t="s">
        <v>529</v>
      </c>
      <c r="B137" s="324" t="s">
        <v>530</v>
      </c>
      <c r="C137" s="324" t="s">
        <v>531</v>
      </c>
      <c r="D137" s="324" t="s">
        <v>532</v>
      </c>
      <c r="E137" s="233" t="s">
        <v>533</v>
      </c>
      <c r="F137" s="235" t="s">
        <v>1067</v>
      </c>
      <c r="G137" s="235" t="s">
        <v>1067</v>
      </c>
      <c r="H137" s="235" t="s">
        <v>1068</v>
      </c>
      <c r="I137" s="235" t="s">
        <v>1069</v>
      </c>
      <c r="J137" s="235" t="s">
        <v>1070</v>
      </c>
      <c r="K137" s="324" t="s">
        <v>1071</v>
      </c>
      <c r="L137" s="324" t="s">
        <v>1072</v>
      </c>
      <c r="M137" s="324" t="s">
        <v>1073</v>
      </c>
      <c r="N137" s="324" t="s">
        <v>1074</v>
      </c>
      <c r="O137" s="235" t="s">
        <v>1075</v>
      </c>
      <c r="P137" s="692" t="s">
        <v>536</v>
      </c>
      <c r="Q137" s="666" t="s">
        <v>538</v>
      </c>
      <c r="R137" s="235" t="s">
        <v>539</v>
      </c>
      <c r="S137" s="324" t="s">
        <v>540</v>
      </c>
      <c r="T137" s="324" t="s">
        <v>1076</v>
      </c>
      <c r="U137" s="235" t="s">
        <v>534</v>
      </c>
      <c r="V137" s="235" t="s">
        <v>537</v>
      </c>
      <c r="W137" s="666" t="str">
        <f ca="1">"RESID~"&amp;BaseYear</f>
        <v>RESID~2010</v>
      </c>
      <c r="X137" s="666" t="str">
        <f ca="1">"RESID~"&amp;Auxyear</f>
        <v>RESID~2017</v>
      </c>
      <c r="Y137" s="666" t="s">
        <v>1077</v>
      </c>
      <c r="Z137" s="666" t="s">
        <v>1078</v>
      </c>
      <c r="AA137" s="666" t="s">
        <v>1079</v>
      </c>
      <c r="AB137" s="666" t="s">
        <v>581</v>
      </c>
      <c r="AC137" s="693" t="str">
        <f ca="1">"FLO_MARK~UP~"&amp;Auxyear</f>
        <v>FLO_MARK~UP~2017</v>
      </c>
      <c r="AD137" s="693" t="s">
        <v>1080</v>
      </c>
      <c r="AK137" s="11"/>
      <c r="AL137" s="11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</row>
    <row r="138" spans="1:50">
      <c r="A138" s="565" t="s">
        <v>1081</v>
      </c>
      <c r="B138" s="329" t="s">
        <v>1082</v>
      </c>
      <c r="C138" s="238" t="str">
        <f ca="1">AuxData!$O$180</f>
        <v>UPNNGA</v>
      </c>
      <c r="D138" s="329"/>
      <c r="E138" s="329" t="s">
        <v>543</v>
      </c>
      <c r="F138" s="694">
        <f ca="1">IEAData!$S$180</f>
        <v>0.98628222056219139</v>
      </c>
      <c r="G138" s="694">
        <f ca="1">AuxData!$S$180</f>
        <v>0.19684025508660732</v>
      </c>
      <c r="H138" s="695">
        <f ca="1">AuxData!Q180</f>
        <v>0.8</v>
      </c>
      <c r="I138" s="594">
        <f>G138*H138</f>
        <v>0.15747220406928586</v>
      </c>
      <c r="J138" s="696">
        <v>1</v>
      </c>
      <c r="K138" s="697">
        <f>1/H138/J138</f>
        <v>1.25</v>
      </c>
      <c r="L138" s="697">
        <f>1/K138</f>
        <v>0.8</v>
      </c>
      <c r="M138" s="697">
        <v>0.88</v>
      </c>
      <c r="N138" s="329">
        <v>0.93</v>
      </c>
      <c r="O138" s="576">
        <v>0.7</v>
      </c>
      <c r="P138" s="698">
        <v>0.9</v>
      </c>
      <c r="Q138" s="576">
        <v>135</v>
      </c>
      <c r="R138" s="576">
        <v>10</v>
      </c>
      <c r="S138" s="576"/>
      <c r="T138" s="576"/>
      <c r="U138" s="329">
        <v>31.536000000000001</v>
      </c>
      <c r="V138" s="576">
        <v>30</v>
      </c>
      <c r="W138" s="696">
        <f ca="1">OFFSET(E138,0,1)*$L138/$O138/$U138</f>
        <v>3.5742633201500014E-2</v>
      </c>
      <c r="X138" s="594">
        <f>G138*$L138/$O138/$U138</f>
        <v>7.1334440489456879E-3</v>
      </c>
      <c r="Y138" s="696">
        <f>X138</f>
        <v>7.1334440489456879E-3</v>
      </c>
      <c r="Z138" s="696">
        <f>Y138/2</f>
        <v>3.5667220244728439E-3</v>
      </c>
      <c r="AA138" s="576">
        <v>0</v>
      </c>
      <c r="AB138" s="576"/>
      <c r="AC138" s="696"/>
      <c r="AD138" s="696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 spans="1:50">
      <c r="A139" s="329"/>
      <c r="B139" s="329"/>
      <c r="C139" s="329"/>
      <c r="D139" s="106" t="str">
        <f ca="1">UPS_FUELS!$D$58</f>
        <v>UPNHET</v>
      </c>
      <c r="E139" s="106"/>
      <c r="F139" s="699"/>
      <c r="G139" s="699"/>
      <c r="H139" s="695"/>
      <c r="I139" s="594"/>
      <c r="J139" s="696"/>
      <c r="K139" s="697"/>
      <c r="L139" s="697"/>
      <c r="M139" s="697"/>
      <c r="N139" s="329"/>
      <c r="O139" s="576"/>
      <c r="P139" s="698"/>
      <c r="Q139" s="576"/>
      <c r="R139" s="576"/>
      <c r="S139" s="576"/>
      <c r="T139" s="576"/>
      <c r="U139" s="329"/>
      <c r="V139" s="576"/>
      <c r="W139" s="576"/>
      <c r="X139" s="594"/>
      <c r="Y139" s="576"/>
      <c r="Z139" s="576"/>
      <c r="AA139" s="576"/>
      <c r="AB139" s="576"/>
      <c r="AC139" s="696">
        <f ca="1">IF(I138&gt;0,MAX(I138/SUM(I$138:I$146,UPS_FUELS!J$57)+0.01,0.5),0)</f>
        <v>0.5</v>
      </c>
      <c r="AD139" s="696">
        <v>5</v>
      </c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 spans="1:50">
      <c r="A140" s="565" t="s">
        <v>1083</v>
      </c>
      <c r="B140" s="329" t="s">
        <v>1084</v>
      </c>
      <c r="C140" s="238" t="str">
        <f ca="1">AuxData!$O$181</f>
        <v>UPNRPP</v>
      </c>
      <c r="D140" s="329"/>
      <c r="E140" s="329" t="s">
        <v>543</v>
      </c>
      <c r="F140" s="699">
        <f ca="1">IEAData!$S$181</f>
        <v>0.5589701166672939</v>
      </c>
      <c r="G140" s="699">
        <f ca="1">AuxData!$S$181</f>
        <v>0.25479478009695078</v>
      </c>
      <c r="H140" s="695">
        <f ca="1">AuxData!Q181</f>
        <v>0.8</v>
      </c>
      <c r="I140" s="594">
        <f>G140*H140</f>
        <v>0.20383582407756062</v>
      </c>
      <c r="J140" s="696">
        <v>1</v>
      </c>
      <c r="K140" s="697">
        <f>1/H140/J140</f>
        <v>1.25</v>
      </c>
      <c r="L140" s="697">
        <f>1/K140</f>
        <v>0.8</v>
      </c>
      <c r="M140" s="697">
        <v>0.86</v>
      </c>
      <c r="N140" s="329">
        <v>0.9</v>
      </c>
      <c r="O140" s="576">
        <v>0.7</v>
      </c>
      <c r="P140" s="698">
        <v>0.9</v>
      </c>
      <c r="Q140" s="576">
        <v>150</v>
      </c>
      <c r="R140" s="576">
        <v>10</v>
      </c>
      <c r="S140" s="576"/>
      <c r="T140" s="576"/>
      <c r="U140" s="329">
        <v>31.536000000000001</v>
      </c>
      <c r="V140" s="576">
        <v>30</v>
      </c>
      <c r="W140" s="696">
        <f ca="1">OFFSET(E140,0,1)*$L140/$O140/$U140</f>
        <v>2.0256944142469157E-2</v>
      </c>
      <c r="X140" s="594">
        <f>G140*L140/O140/U140</f>
        <v>9.2337022576266872E-3</v>
      </c>
      <c r="Y140" s="696">
        <f>X140</f>
        <v>9.2337022576266872E-3</v>
      </c>
      <c r="Z140" s="696">
        <f>Y140/2</f>
        <v>4.6168511288133436E-3</v>
      </c>
      <c r="AA140" s="576">
        <v>0</v>
      </c>
      <c r="AB140" s="576"/>
      <c r="AC140" s="576"/>
      <c r="AD140" s="576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 spans="1:50">
      <c r="A141" s="329"/>
      <c r="B141" s="329"/>
      <c r="C141" s="329"/>
      <c r="D141" s="106" t="str">
        <f ca="1">UPS_FUELS!$D$58</f>
        <v>UPNHET</v>
      </c>
      <c r="E141" s="106"/>
      <c r="F141" s="699"/>
      <c r="G141" s="699"/>
      <c r="H141" s="695"/>
      <c r="I141" s="594"/>
      <c r="J141" s="696"/>
      <c r="K141" s="697"/>
      <c r="L141" s="697"/>
      <c r="M141" s="697"/>
      <c r="N141" s="329"/>
      <c r="O141" s="576"/>
      <c r="P141" s="698"/>
      <c r="Q141" s="576"/>
      <c r="R141" s="576"/>
      <c r="S141" s="576"/>
      <c r="T141" s="576"/>
      <c r="U141" s="329"/>
      <c r="V141" s="576"/>
      <c r="W141" s="576"/>
      <c r="X141" s="594"/>
      <c r="Y141" s="576"/>
      <c r="Z141" s="576"/>
      <c r="AA141" s="576"/>
      <c r="AB141" s="576"/>
      <c r="AC141" s="576"/>
      <c r="AD141" s="576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 spans="1:50">
      <c r="A142" s="565" t="s">
        <v>1085</v>
      </c>
      <c r="B142" s="329" t="s">
        <v>1086</v>
      </c>
      <c r="C142" s="238" t="str">
        <f ca="1">AuxData!$O$182</f>
        <v>UPNRPG</v>
      </c>
      <c r="D142" s="329"/>
      <c r="E142" s="329" t="s">
        <v>543</v>
      </c>
      <c r="F142" s="699">
        <f ca="1">IEAData!$S$182</f>
        <v>1.6012099552593013</v>
      </c>
      <c r="G142" s="699">
        <f ca="1">AuxData!$S$182</f>
        <v>1.4858283814466648</v>
      </c>
      <c r="H142" s="695">
        <f ca="1">AuxData!Q182</f>
        <v>0.8</v>
      </c>
      <c r="I142" s="594">
        <f>G142*H142</f>
        <v>1.188662705157332</v>
      </c>
      <c r="J142" s="696">
        <v>1</v>
      </c>
      <c r="K142" s="697">
        <f>1/H142/J142</f>
        <v>1.25</v>
      </c>
      <c r="L142" s="697">
        <f>1/K142</f>
        <v>0.8</v>
      </c>
      <c r="M142" s="697">
        <v>0.84499999999999997</v>
      </c>
      <c r="N142" s="697">
        <v>0.88</v>
      </c>
      <c r="O142" s="576">
        <v>0.7</v>
      </c>
      <c r="P142" s="698">
        <v>0.9</v>
      </c>
      <c r="Q142" s="576">
        <v>150</v>
      </c>
      <c r="R142" s="576">
        <v>11</v>
      </c>
      <c r="S142" s="576"/>
      <c r="T142" s="576"/>
      <c r="U142" s="329">
        <v>31.536000000000001</v>
      </c>
      <c r="V142" s="576">
        <v>30</v>
      </c>
      <c r="W142" s="696">
        <f ca="1">OFFSET(E142,0,1)*$L142/$O142/$U142</f>
        <v>5.8027468118406228E-2</v>
      </c>
      <c r="X142" s="594">
        <f>G142*L142/O142/U142</f>
        <v>5.3846067313425568E-2</v>
      </c>
      <c r="Y142" s="696">
        <f>X142</f>
        <v>5.3846067313425568E-2</v>
      </c>
      <c r="Z142" s="696">
        <f>Y142/2</f>
        <v>2.6923033656712784E-2</v>
      </c>
      <c r="AA142" s="576">
        <v>0</v>
      </c>
      <c r="AB142" s="576"/>
      <c r="AC142" s="576"/>
      <c r="AD142" s="576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 spans="1:50">
      <c r="A143" s="329"/>
      <c r="B143" s="329"/>
      <c r="C143" s="329"/>
      <c r="D143" s="106" t="str">
        <f ca="1">UPS_FUELS!$D$58</f>
        <v>UPNHET</v>
      </c>
      <c r="E143" s="106"/>
      <c r="F143" s="699"/>
      <c r="G143" s="699"/>
      <c r="H143" s="695"/>
      <c r="I143" s="594"/>
      <c r="J143" s="696"/>
      <c r="K143" s="697"/>
      <c r="L143" s="697"/>
      <c r="M143" s="697"/>
      <c r="N143" s="697"/>
      <c r="O143" s="576"/>
      <c r="P143" s="698"/>
      <c r="Q143" s="576"/>
      <c r="R143" s="576"/>
      <c r="S143" s="576"/>
      <c r="T143" s="576"/>
      <c r="U143" s="329"/>
      <c r="V143" s="576"/>
      <c r="W143" s="576"/>
      <c r="X143" s="594"/>
      <c r="Y143" s="576"/>
      <c r="Z143" s="576"/>
      <c r="AA143" s="576"/>
      <c r="AB143" s="576"/>
      <c r="AC143" s="576"/>
      <c r="AD143" s="576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 spans="1:50">
      <c r="A144" s="565" t="s">
        <v>1087</v>
      </c>
      <c r="B144" s="329" t="s">
        <v>1088</v>
      </c>
      <c r="C144" s="238" t="str">
        <f ca="1">AuxData!$O$183</f>
        <v>UPNCOA</v>
      </c>
      <c r="D144" s="329"/>
      <c r="E144" s="329" t="s">
        <v>543</v>
      </c>
      <c r="F144" s="699">
        <f ca="1">IEAData!$S$183</f>
        <v>0</v>
      </c>
      <c r="G144" s="699">
        <f ca="1">AuxData!$S$183</f>
        <v>0</v>
      </c>
      <c r="H144" s="695">
        <f ca="1">AuxData!Q183</f>
        <v>0.8</v>
      </c>
      <c r="I144" s="594">
        <f>G144*H144</f>
        <v>0</v>
      </c>
      <c r="J144" s="696">
        <v>1</v>
      </c>
      <c r="K144" s="697">
        <f>1/H144/J144</f>
        <v>1.25</v>
      </c>
      <c r="L144" s="697">
        <f>1/K144</f>
        <v>0.8</v>
      </c>
      <c r="M144" s="697">
        <v>0.82499999999999996</v>
      </c>
      <c r="N144" s="697">
        <v>0.85</v>
      </c>
      <c r="O144" s="576">
        <v>0.7</v>
      </c>
      <c r="P144" s="698">
        <v>0.9</v>
      </c>
      <c r="Q144" s="576">
        <v>220</v>
      </c>
      <c r="R144" s="576">
        <v>16</v>
      </c>
      <c r="S144" s="576"/>
      <c r="T144" s="576"/>
      <c r="U144" s="329">
        <v>31.536000000000001</v>
      </c>
      <c r="V144" s="576">
        <v>30</v>
      </c>
      <c r="W144" s="696">
        <f ca="1">OFFSET(E144,0,1)*$L144/$O144/$U144</f>
        <v>0</v>
      </c>
      <c r="X144" s="594">
        <f>G144*L144/O144/U144</f>
        <v>0</v>
      </c>
      <c r="Y144" s="696">
        <f>X144</f>
        <v>0</v>
      </c>
      <c r="Z144" s="696">
        <f>Y144/2</f>
        <v>0</v>
      </c>
      <c r="AA144" s="576">
        <v>0</v>
      </c>
      <c r="AB144" s="576"/>
      <c r="AC144" s="576"/>
      <c r="AD144" s="576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 spans="1:48">
      <c r="A145" s="329"/>
      <c r="B145" s="700"/>
      <c r="C145" s="329"/>
      <c r="D145" s="106" t="str">
        <f ca="1">UPS_FUELS!$D$58</f>
        <v>UPNHET</v>
      </c>
      <c r="E145" s="106"/>
      <c r="F145" s="699"/>
      <c r="G145" s="699"/>
      <c r="H145" s="695"/>
      <c r="I145" s="594"/>
      <c r="J145" s="696"/>
      <c r="K145" s="697"/>
      <c r="L145" s="697"/>
      <c r="M145" s="697"/>
      <c r="N145" s="697"/>
      <c r="O145" s="576"/>
      <c r="P145" s="698"/>
      <c r="Q145" s="576"/>
      <c r="R145" s="576"/>
      <c r="S145" s="576"/>
      <c r="T145" s="576"/>
      <c r="U145" s="329"/>
      <c r="V145" s="576"/>
      <c r="W145" s="576"/>
      <c r="X145" s="594"/>
      <c r="Y145" s="576"/>
      <c r="Z145" s="576"/>
      <c r="AA145" s="576"/>
      <c r="AB145" s="576"/>
      <c r="AC145" s="696">
        <f ca="1">IF(I144&gt;0,I144/SUM(I$138:I$146,UPS_FUELS!J$57)+0.01,0)</f>
        <v>0</v>
      </c>
      <c r="AD145" s="696">
        <v>5</v>
      </c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 spans="1:48">
      <c r="A146" s="599" t="s">
        <v>1089</v>
      </c>
      <c r="B146" s="106"/>
      <c r="C146" s="106"/>
      <c r="D146" s="106"/>
      <c r="E146" s="106"/>
      <c r="F146" s="701"/>
      <c r="G146" s="701"/>
      <c r="H146" s="702"/>
      <c r="I146" s="470"/>
      <c r="J146" s="703"/>
      <c r="K146" s="704"/>
      <c r="L146" s="704"/>
      <c r="M146" s="704"/>
      <c r="N146" s="704"/>
      <c r="O146" s="705"/>
      <c r="P146" s="706"/>
      <c r="Q146" s="705"/>
      <c r="R146" s="705"/>
      <c r="S146" s="705"/>
      <c r="T146" s="705"/>
      <c r="U146" s="106"/>
      <c r="V146" s="705"/>
      <c r="W146" s="705"/>
      <c r="X146" s="470"/>
      <c r="Y146" s="705"/>
      <c r="Z146" s="705"/>
      <c r="AA146" s="705"/>
      <c r="AB146" s="705"/>
      <c r="AC146" s="705"/>
      <c r="AD146" s="705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50" spans="1:48">
      <c r="A150" s="11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IEAData</vt:lpstr>
      <vt:lpstr>AuxData</vt:lpstr>
      <vt:lpstr>COMM</vt:lpstr>
      <vt:lpstr>MIN</vt:lpstr>
      <vt:lpstr>RNW</vt:lpstr>
      <vt:lpstr>UPS_FUELS</vt:lpstr>
      <vt:lpstr>PRIM_PRD</vt:lpstr>
      <vt:lpstr>SCND_TRF</vt:lpstr>
      <vt:lpstr>Stock_stat</vt:lpstr>
      <vt:lpstr>TRADES</vt:lpstr>
      <vt:lpstr>UPS_Emi</vt:lpstr>
      <vt:lpstr>MiscPar</vt:lpstr>
      <vt:lpstr>Processes</vt:lpstr>
      <vt:lpstr>IEAData2</vt:lpstr>
      <vt:lpstr>AuxData2</vt:lpstr>
      <vt:lpstr>PPROD2</vt:lpstr>
      <vt:lpstr>UPS_FUELS2</vt:lpstr>
      <vt:lpstr>UPS_Emi2</vt:lpstr>
      <vt:lpstr>Processes2</vt:lpstr>
      <vt:lpstr>Auxyear</vt:lpstr>
      <vt:lpstr>BaseYear</vt:lpstr>
      <vt:lpstr>NOPEC</vt:lpstr>
      <vt:lpstr>Tiny</vt:lpstr>
    </vt:vector>
  </TitlesOfParts>
  <Company>VTT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L</dc:creator>
  <cp:lastModifiedBy>Antti-L</cp:lastModifiedBy>
  <dcterms:created xsi:type="dcterms:W3CDTF">2020-09-04T09:08:10Z</dcterms:created>
  <dcterms:modified xsi:type="dcterms:W3CDTF">2021-02-02T16:57:11Z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475052952766418</vt:r8>
  </property>
</Properties>
</file>